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Sourav\2025\Sales Report\Primary Sales\"/>
    </mc:Choice>
  </mc:AlternateContent>
  <xr:revisionPtr revIDLastSave="0" documentId="13_ncr:1_{FDDD72A0-9290-44DC-AD19-DA3027F39BF4}" xr6:coauthVersionLast="47" xr6:coauthVersionMax="47" xr10:uidLastSave="{00000000-0000-0000-0000-000000000000}"/>
  <bookViews>
    <workbookView xWindow="-110" yWindow="-110" windowWidth="19420" windowHeight="10300" tabRatio="582" firstSheet="1" activeTab="1" xr2:uid="{00000000-000D-0000-FFFF-FFFF00000000}"/>
  </bookViews>
  <sheets>
    <sheet name="Sheet1" sheetId="41" r:id="rId1"/>
    <sheet name="Order Data" sheetId="9" r:id="rId2"/>
    <sheet name="Search(test)" sheetId="38" state="hidden" r:id="rId3"/>
    <sheet name="Customized Sales Report" sheetId="25" r:id="rId4"/>
    <sheet name="Stock(yr)" sheetId="33" state="hidden" r:id="rId5"/>
    <sheet name="Transfer-Draft" sheetId="37" state="hidden" r:id="rId6"/>
    <sheet name="S.Order" sheetId="28" r:id="rId7"/>
    <sheet name="Sales Report" sheetId="12" r:id="rId8"/>
    <sheet name="Products" sheetId="17" state="hidden" r:id="rId9"/>
    <sheet name="SP" sheetId="18" state="hidden" r:id="rId10"/>
    <sheet name="MMD" sheetId="22" state="hidden" r:id="rId11"/>
    <sheet name="EBM" sheetId="29" state="hidden" r:id="rId12"/>
    <sheet name="Customized Stock Report" sheetId="40" r:id="rId13"/>
    <sheet name="Stock Report" sheetId="31" r:id="rId14"/>
    <sheet name="Target" sheetId="35" r:id="rId15"/>
    <sheet name="AIT" sheetId="36" state="hidden" r:id="rId16"/>
    <sheet name="Rough" sheetId="34" state="hidden" r:id="rId17"/>
  </sheets>
  <functionGroups builtInGroupCount="19"/>
  <definedNames>
    <definedName name="_xlnm._FilterDatabase" localSheetId="15" hidden="1">AIT!$A$1:$E$71</definedName>
    <definedName name="_xlnm._FilterDatabase" localSheetId="1" hidden="1">'Order Data'!#REF!</definedName>
    <definedName name="_xlnm._FilterDatabase" localSheetId="6" hidden="1">S.Order!$A$5:$R$33</definedName>
    <definedName name="_xlnm._FilterDatabase" localSheetId="5" hidden="1">'Transfer-Draft'!$B$2:$F$72</definedName>
    <definedName name="_xlcn.WorksheetConnection_PrimarySalesDailyReport2025.xlsmCurrent_Stock1" hidden="1">Current_Stock[]</definedName>
    <definedName name="_xlcn.WorksheetConnection_PrimarySalesDailyReport2025.xlsmSKU1" hidden="1">SKU[]</definedName>
  </definedNames>
  <calcPr calcId="191029"/>
  <pivotCaches>
    <pivotCache cacheId="1" r:id="rId18"/>
    <pivotCache cacheId="43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KU" name="SKU" connection="WorksheetConnection_Primary Sales Daily Report 2025.xlsm!SKU"/>
          <x15:modelTable id="Current_Stock" name="Current_Stock" connection="WorksheetConnection_Primary Sales Daily Report 2025.xlsm!Current_Stock"/>
        </x15:modelTables>
        <x15:modelRelationships>
          <x15:modelRelationship fromTable="Current_Stock" fromColumn="SKU ID" toTable="SKU" toColumn="SKU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89" i="9" l="1"/>
  <c r="AE589" i="9"/>
  <c r="AF589" i="9"/>
  <c r="AG589" i="9"/>
  <c r="AH589" i="9"/>
  <c r="AI589" i="9"/>
  <c r="AJ589" i="9"/>
  <c r="AK589" i="9"/>
  <c r="AL589" i="9"/>
  <c r="AM589" i="9" s="1"/>
  <c r="AN589" i="9"/>
  <c r="AO589" i="9" a="1"/>
  <c r="AO589" i="9" s="1"/>
  <c r="L574" i="9" l="1"/>
  <c r="L575" i="9"/>
  <c r="L576" i="9"/>
  <c r="L577" i="9"/>
  <c r="L578" i="9"/>
  <c r="L579" i="9"/>
  <c r="L580" i="9"/>
  <c r="L581" i="9"/>
  <c r="L582" i="9"/>
  <c r="L583" i="9"/>
  <c r="L584" i="9"/>
  <c r="L585" i="9"/>
  <c r="L586" i="9"/>
  <c r="L587" i="9"/>
  <c r="L588" i="9"/>
  <c r="AE584" i="9"/>
  <c r="AE585" i="9"/>
  <c r="AE586" i="9"/>
  <c r="AE587" i="9"/>
  <c r="AE588" i="9"/>
  <c r="AF584" i="9"/>
  <c r="AF585" i="9"/>
  <c r="AF586" i="9"/>
  <c r="AF587" i="9"/>
  <c r="AF588" i="9"/>
  <c r="AG584" i="9"/>
  <c r="AG585" i="9"/>
  <c r="AG586" i="9"/>
  <c r="AG587" i="9"/>
  <c r="AG588" i="9"/>
  <c r="AH584" i="9"/>
  <c r="AH585" i="9"/>
  <c r="AH586" i="9"/>
  <c r="AH587" i="9"/>
  <c r="AH588" i="9"/>
  <c r="AI584" i="9"/>
  <c r="AI585" i="9"/>
  <c r="AI586" i="9"/>
  <c r="AI587" i="9"/>
  <c r="AI588" i="9"/>
  <c r="AJ584" i="9"/>
  <c r="AJ585" i="9"/>
  <c r="AJ586" i="9"/>
  <c r="AJ587" i="9"/>
  <c r="AJ588" i="9"/>
  <c r="AK584" i="9"/>
  <c r="AK585" i="9"/>
  <c r="AK586" i="9"/>
  <c r="AK587" i="9"/>
  <c r="AK588" i="9"/>
  <c r="AL584" i="9"/>
  <c r="AL585" i="9"/>
  <c r="AM585" i="9" s="1"/>
  <c r="AL586" i="9"/>
  <c r="AM586" i="9" s="1"/>
  <c r="AL587" i="9"/>
  <c r="AM587" i="9" s="1"/>
  <c r="AL588" i="9"/>
  <c r="AM588" i="9" s="1"/>
  <c r="AM584" i="9"/>
  <c r="AN584" i="9"/>
  <c r="AN585" i="9"/>
  <c r="AN586" i="9"/>
  <c r="AN587" i="9"/>
  <c r="AN588" i="9"/>
  <c r="AO584" i="9" a="1"/>
  <c r="AO584" i="9" s="1"/>
  <c r="AO585" i="9" a="1"/>
  <c r="AO585" i="9" s="1"/>
  <c r="AO586" i="9" a="1"/>
  <c r="AO586" i="9" s="1"/>
  <c r="AO587" i="9" a="1"/>
  <c r="AO587" i="9" s="1"/>
  <c r="AO588" i="9" a="1"/>
  <c r="AO588" i="9" s="1"/>
  <c r="AE581" i="9"/>
  <c r="AE582" i="9"/>
  <c r="AE583" i="9"/>
  <c r="AF581" i="9"/>
  <c r="AF582" i="9"/>
  <c r="AF583" i="9"/>
  <c r="AG581" i="9"/>
  <c r="AG582" i="9"/>
  <c r="AG583" i="9"/>
  <c r="AH581" i="9"/>
  <c r="AH582" i="9"/>
  <c r="AH583" i="9"/>
  <c r="AI581" i="9"/>
  <c r="AI582" i="9"/>
  <c r="AI583" i="9"/>
  <c r="AJ581" i="9"/>
  <c r="AJ582" i="9"/>
  <c r="AJ583" i="9"/>
  <c r="AK581" i="9"/>
  <c r="AK582" i="9"/>
  <c r="AK583" i="9"/>
  <c r="AL581" i="9"/>
  <c r="AM581" i="9" s="1"/>
  <c r="AL582" i="9"/>
  <c r="AM582" i="9" s="1"/>
  <c r="AL583" i="9"/>
  <c r="AM583" i="9" s="1"/>
  <c r="AN581" i="9"/>
  <c r="AN582" i="9"/>
  <c r="AN583" i="9"/>
  <c r="AO581" i="9" a="1"/>
  <c r="AO581" i="9" s="1"/>
  <c r="AO582" i="9" a="1"/>
  <c r="AO582" i="9" s="1"/>
  <c r="AO583" i="9" a="1"/>
  <c r="AO583" i="9" s="1"/>
  <c r="AE578" i="9" l="1"/>
  <c r="AE579" i="9"/>
  <c r="AE580" i="9"/>
  <c r="AF578" i="9"/>
  <c r="AF579" i="9"/>
  <c r="AF580" i="9"/>
  <c r="AG578" i="9"/>
  <c r="AG579" i="9"/>
  <c r="AG580" i="9"/>
  <c r="AH578" i="9"/>
  <c r="AH579" i="9"/>
  <c r="AH580" i="9"/>
  <c r="AI578" i="9"/>
  <c r="AI579" i="9"/>
  <c r="AI580" i="9"/>
  <c r="AJ578" i="9"/>
  <c r="AJ579" i="9"/>
  <c r="AJ580" i="9"/>
  <c r="AK578" i="9"/>
  <c r="AK579" i="9"/>
  <c r="AK580" i="9"/>
  <c r="AL578" i="9"/>
  <c r="AM578" i="9" s="1"/>
  <c r="AL579" i="9"/>
  <c r="AM579" i="9" s="1"/>
  <c r="AL580" i="9"/>
  <c r="AM580" i="9" s="1"/>
  <c r="AN578" i="9"/>
  <c r="AN579" i="9"/>
  <c r="AN580" i="9"/>
  <c r="AO578" i="9" a="1"/>
  <c r="AO578" i="9" s="1"/>
  <c r="AO579" i="9" a="1"/>
  <c r="AO579" i="9" s="1"/>
  <c r="AO580" i="9" a="1"/>
  <c r="AO580" i="9" s="1"/>
  <c r="AE575" i="9"/>
  <c r="AE576" i="9"/>
  <c r="AE577" i="9"/>
  <c r="AF575" i="9"/>
  <c r="AF576" i="9"/>
  <c r="AF577" i="9"/>
  <c r="AG575" i="9"/>
  <c r="AG576" i="9"/>
  <c r="AG577" i="9"/>
  <c r="AH575" i="9"/>
  <c r="AH576" i="9"/>
  <c r="AH577" i="9"/>
  <c r="AI575" i="9"/>
  <c r="AI576" i="9"/>
  <c r="AI577" i="9"/>
  <c r="AJ575" i="9"/>
  <c r="AJ576" i="9"/>
  <c r="AJ577" i="9"/>
  <c r="AK575" i="9"/>
  <c r="AK576" i="9"/>
  <c r="AK577" i="9"/>
  <c r="AL575" i="9"/>
  <c r="AM575" i="9" s="1"/>
  <c r="AL576" i="9"/>
  <c r="AM576" i="9" s="1"/>
  <c r="AL577" i="9"/>
  <c r="AM577" i="9" s="1"/>
  <c r="AN575" i="9"/>
  <c r="AN576" i="9"/>
  <c r="AN577" i="9"/>
  <c r="AO575" i="9" a="1"/>
  <c r="AO575" i="9" s="1"/>
  <c r="AO576" i="9" a="1"/>
  <c r="AO576" i="9" s="1"/>
  <c r="AO577" i="9" a="1"/>
  <c r="AO577" i="9" s="1"/>
  <c r="AE574" i="9"/>
  <c r="AF574" i="9"/>
  <c r="AG574" i="9"/>
  <c r="AH574" i="9"/>
  <c r="AI574" i="9"/>
  <c r="AJ574" i="9"/>
  <c r="AK574" i="9"/>
  <c r="AL574" i="9"/>
  <c r="AM574" i="9" s="1"/>
  <c r="AN574" i="9"/>
  <c r="AO574" i="9" a="1"/>
  <c r="AO574" i="9" s="1"/>
  <c r="L573" i="9" l="1"/>
  <c r="AE573" i="9"/>
  <c r="AF573" i="9"/>
  <c r="AG573" i="9"/>
  <c r="AH573" i="9"/>
  <c r="AI573" i="9"/>
  <c r="AJ573" i="9"/>
  <c r="AK573" i="9"/>
  <c r="AL573" i="9"/>
  <c r="AM573" i="9" s="1"/>
  <c r="AN573" i="9"/>
  <c r="AO573" i="9" a="1"/>
  <c r="AO573" i="9" s="1"/>
  <c r="L565" i="9" l="1"/>
  <c r="L566" i="9"/>
  <c r="L567" i="9"/>
  <c r="L568" i="9"/>
  <c r="L569" i="9"/>
  <c r="L570" i="9"/>
  <c r="L571" i="9"/>
  <c r="L572" i="9"/>
  <c r="AE572" i="9"/>
  <c r="AF572" i="9"/>
  <c r="AG572" i="9"/>
  <c r="AH572" i="9"/>
  <c r="AI572" i="9"/>
  <c r="AJ572" i="9"/>
  <c r="AK572" i="9"/>
  <c r="AL572" i="9"/>
  <c r="AM572" i="9" s="1"/>
  <c r="AN572" i="9"/>
  <c r="AO572" i="9" a="1"/>
  <c r="AO572" i="9" s="1"/>
  <c r="AE571" i="9" l="1"/>
  <c r="AF571" i="9"/>
  <c r="AG571" i="9"/>
  <c r="AH571" i="9"/>
  <c r="AI571" i="9"/>
  <c r="AJ571" i="9"/>
  <c r="AK571" i="9"/>
  <c r="AL571" i="9"/>
  <c r="AM571" i="9" s="1"/>
  <c r="AN571" i="9"/>
  <c r="AO571" i="9" a="1"/>
  <c r="AO571" i="9" s="1"/>
  <c r="AE569" i="9" l="1"/>
  <c r="AE570" i="9"/>
  <c r="AF569" i="9"/>
  <c r="AF570" i="9"/>
  <c r="AG569" i="9"/>
  <c r="AG570" i="9"/>
  <c r="AH569" i="9"/>
  <c r="AH570" i="9"/>
  <c r="AI569" i="9"/>
  <c r="AI570" i="9"/>
  <c r="AJ569" i="9"/>
  <c r="AJ570" i="9"/>
  <c r="AK569" i="9"/>
  <c r="AK570" i="9"/>
  <c r="AL569" i="9"/>
  <c r="AM569" i="9" s="1"/>
  <c r="AL570" i="9"/>
  <c r="AM570" i="9" s="1"/>
  <c r="AN569" i="9"/>
  <c r="AN570" i="9"/>
  <c r="AO569" i="9" a="1"/>
  <c r="AO569" i="9" s="1"/>
  <c r="AO570" i="9" a="1"/>
  <c r="AO570" i="9" s="1"/>
  <c r="AE567" i="9"/>
  <c r="AE568" i="9"/>
  <c r="AF567" i="9"/>
  <c r="AF568" i="9"/>
  <c r="AG567" i="9"/>
  <c r="AG568" i="9"/>
  <c r="AH567" i="9"/>
  <c r="AH568" i="9"/>
  <c r="AI567" i="9"/>
  <c r="AI568" i="9"/>
  <c r="AJ567" i="9"/>
  <c r="AJ568" i="9"/>
  <c r="AK567" i="9"/>
  <c r="AK568" i="9"/>
  <c r="AL567" i="9"/>
  <c r="AM567" i="9" s="1"/>
  <c r="AL568" i="9"/>
  <c r="AM568" i="9" s="1"/>
  <c r="AN567" i="9"/>
  <c r="AN568" i="9"/>
  <c r="AO567" i="9" a="1"/>
  <c r="AO567" i="9" s="1"/>
  <c r="AO568" i="9" a="1"/>
  <c r="AO568" i="9" s="1"/>
  <c r="AE566" i="9" l="1"/>
  <c r="AF566" i="9"/>
  <c r="AG566" i="9"/>
  <c r="AH566" i="9"/>
  <c r="AI566" i="9"/>
  <c r="AJ566" i="9"/>
  <c r="AK566" i="9"/>
  <c r="AL566" i="9"/>
  <c r="AM566" i="9" s="1"/>
  <c r="AN566" i="9"/>
  <c r="AO566" i="9" a="1"/>
  <c r="AO566" i="9" s="1"/>
  <c r="AE565" i="9"/>
  <c r="AF565" i="9"/>
  <c r="AG565" i="9"/>
  <c r="AH565" i="9"/>
  <c r="AI565" i="9"/>
  <c r="AJ565" i="9"/>
  <c r="AK565" i="9"/>
  <c r="AL565" i="9"/>
  <c r="AM565" i="9" s="1"/>
  <c r="AN565" i="9"/>
  <c r="AO565" i="9" a="1"/>
  <c r="AO565" i="9" s="1"/>
  <c r="Q64" i="33" l="1"/>
  <c r="D64" i="33"/>
  <c r="Q63" i="33"/>
  <c r="D63" i="33"/>
  <c r="D7" i="33"/>
  <c r="D4" i="33"/>
  <c r="L371" i="9"/>
  <c r="L372" i="9"/>
  <c r="L373" i="9"/>
  <c r="L564" i="9"/>
  <c r="AE564" i="9"/>
  <c r="AF564" i="9"/>
  <c r="AG564" i="9"/>
  <c r="AH564" i="9"/>
  <c r="AI564" i="9"/>
  <c r="AJ564" i="9"/>
  <c r="AK564" i="9"/>
  <c r="AL564" i="9"/>
  <c r="AM564" i="9" s="1"/>
  <c r="AN564" i="9"/>
  <c r="AO564" i="9" a="1"/>
  <c r="AO564" i="9" s="1"/>
  <c r="L553" i="9" l="1"/>
  <c r="L554" i="9"/>
  <c r="L555" i="9"/>
  <c r="L556" i="9"/>
  <c r="L557" i="9"/>
  <c r="L558" i="9"/>
  <c r="L559" i="9"/>
  <c r="L560" i="9"/>
  <c r="L561" i="9"/>
  <c r="L562" i="9"/>
  <c r="L563" i="9"/>
  <c r="AE556" i="9"/>
  <c r="AE557" i="9"/>
  <c r="AE558" i="9"/>
  <c r="AE559" i="9"/>
  <c r="AE560" i="9"/>
  <c r="AE561" i="9"/>
  <c r="AE562" i="9"/>
  <c r="AE563" i="9"/>
  <c r="AF556" i="9"/>
  <c r="AF557" i="9"/>
  <c r="AF558" i="9"/>
  <c r="AF559" i="9"/>
  <c r="AF560" i="9"/>
  <c r="AF561" i="9"/>
  <c r="AF562" i="9"/>
  <c r="AF563" i="9"/>
  <c r="AG556" i="9"/>
  <c r="AG557" i="9"/>
  <c r="AG558" i="9"/>
  <c r="AG559" i="9"/>
  <c r="AG560" i="9"/>
  <c r="AG561" i="9"/>
  <c r="AG562" i="9"/>
  <c r="AG563" i="9"/>
  <c r="AH556" i="9"/>
  <c r="AH557" i="9"/>
  <c r="AH558" i="9"/>
  <c r="AH559" i="9"/>
  <c r="AH560" i="9"/>
  <c r="AH561" i="9"/>
  <c r="AH562" i="9"/>
  <c r="AH563" i="9"/>
  <c r="AI556" i="9"/>
  <c r="AI557" i="9"/>
  <c r="AI558" i="9"/>
  <c r="AI559" i="9"/>
  <c r="AI560" i="9"/>
  <c r="AI561" i="9"/>
  <c r="AI562" i="9"/>
  <c r="AI563" i="9"/>
  <c r="AJ556" i="9"/>
  <c r="AJ557" i="9"/>
  <c r="AJ558" i="9"/>
  <c r="AJ559" i="9"/>
  <c r="AJ560" i="9"/>
  <c r="AJ561" i="9"/>
  <c r="AJ562" i="9"/>
  <c r="AJ563" i="9"/>
  <c r="AK556" i="9"/>
  <c r="AK557" i="9"/>
  <c r="AK558" i="9"/>
  <c r="AK559" i="9"/>
  <c r="AK560" i="9"/>
  <c r="AK561" i="9"/>
  <c r="AK562" i="9"/>
  <c r="AK563" i="9"/>
  <c r="AL556" i="9"/>
  <c r="AM556" i="9" s="1"/>
  <c r="AL557" i="9"/>
  <c r="AM557" i="9" s="1"/>
  <c r="AL558" i="9"/>
  <c r="AM558" i="9" s="1"/>
  <c r="AL559" i="9"/>
  <c r="AM559" i="9" s="1"/>
  <c r="AL560" i="9"/>
  <c r="AM560" i="9" s="1"/>
  <c r="AL561" i="9"/>
  <c r="AM561" i="9" s="1"/>
  <c r="AL562" i="9"/>
  <c r="AM562" i="9" s="1"/>
  <c r="AL563" i="9"/>
  <c r="AM563" i="9" s="1"/>
  <c r="AN556" i="9"/>
  <c r="AN557" i="9"/>
  <c r="AN558" i="9"/>
  <c r="AN559" i="9"/>
  <c r="AN560" i="9"/>
  <c r="AN561" i="9"/>
  <c r="AN562" i="9"/>
  <c r="AN563" i="9"/>
  <c r="AO556" i="9" a="1"/>
  <c r="AO556" i="9" s="1"/>
  <c r="AO557" i="9" a="1"/>
  <c r="AO557" i="9" s="1"/>
  <c r="AO558" i="9" a="1"/>
  <c r="AO558" i="9" s="1"/>
  <c r="AO559" i="9" a="1"/>
  <c r="AO559" i="9" s="1"/>
  <c r="AO560" i="9" a="1"/>
  <c r="AO560" i="9" s="1"/>
  <c r="AO561" i="9" a="1"/>
  <c r="AO561" i="9" s="1"/>
  <c r="AO562" i="9" a="1"/>
  <c r="AO562" i="9" s="1"/>
  <c r="AO563" i="9" a="1"/>
  <c r="AO563" i="9" s="1"/>
  <c r="L544" i="9" l="1"/>
  <c r="L545" i="9"/>
  <c r="L546" i="9"/>
  <c r="L547" i="9"/>
  <c r="L548" i="9"/>
  <c r="L549" i="9"/>
  <c r="L550" i="9"/>
  <c r="L551" i="9"/>
  <c r="L552" i="9"/>
  <c r="AO2" i="9" a="1"/>
  <c r="AO2" i="9" s="1"/>
  <c r="AO3" i="9" a="1"/>
  <c r="AO3" i="9" s="1"/>
  <c r="AO4" i="9" a="1"/>
  <c r="AO4" i="9" s="1"/>
  <c r="AO5" i="9" a="1"/>
  <c r="AO5" i="9" s="1"/>
  <c r="AO6" i="9" a="1"/>
  <c r="AO6" i="9" s="1"/>
  <c r="AO7" i="9" a="1"/>
  <c r="AO7" i="9" s="1"/>
  <c r="AO8" i="9" a="1"/>
  <c r="AO8" i="9" s="1"/>
  <c r="AO9" i="9" a="1"/>
  <c r="AO9" i="9" s="1"/>
  <c r="AO10" i="9" a="1"/>
  <c r="AO10" i="9" s="1"/>
  <c r="AO11" i="9" a="1"/>
  <c r="AO11" i="9" s="1"/>
  <c r="AO12" i="9" a="1"/>
  <c r="AO12" i="9" s="1"/>
  <c r="AO13" i="9" a="1"/>
  <c r="AO13" i="9" s="1"/>
  <c r="AO14" i="9" a="1"/>
  <c r="AO14" i="9" s="1"/>
  <c r="AO15" i="9" a="1"/>
  <c r="AO15" i="9" s="1"/>
  <c r="AO16" i="9" a="1"/>
  <c r="AO16" i="9" s="1"/>
  <c r="AO17" i="9" a="1"/>
  <c r="AO17" i="9" s="1"/>
  <c r="AO18" i="9" a="1"/>
  <c r="AO18" i="9" s="1"/>
  <c r="AO19" i="9" a="1"/>
  <c r="AO19" i="9" s="1"/>
  <c r="AO20" i="9" a="1"/>
  <c r="AO20" i="9" s="1"/>
  <c r="AO21" i="9" a="1"/>
  <c r="AO21" i="9" s="1"/>
  <c r="AO22" i="9" a="1"/>
  <c r="AO22" i="9" s="1"/>
  <c r="AO23" i="9" a="1"/>
  <c r="AO23" i="9" s="1"/>
  <c r="AO24" i="9" a="1"/>
  <c r="AO24" i="9" s="1"/>
  <c r="AO25" i="9" a="1"/>
  <c r="AO25" i="9" s="1"/>
  <c r="AO26" i="9" a="1"/>
  <c r="AO26" i="9" s="1"/>
  <c r="AO27" i="9" a="1"/>
  <c r="AO27" i="9" s="1"/>
  <c r="AO28" i="9" a="1"/>
  <c r="AO28" i="9" s="1"/>
  <c r="AO29" i="9" a="1"/>
  <c r="AO29" i="9" s="1"/>
  <c r="AO30" i="9" a="1"/>
  <c r="AO30" i="9" s="1"/>
  <c r="AO31" i="9" a="1"/>
  <c r="AO31" i="9" s="1"/>
  <c r="AO32" i="9" a="1"/>
  <c r="AO32" i="9" s="1"/>
  <c r="AO33" i="9" a="1"/>
  <c r="AO33" i="9" s="1"/>
  <c r="AO34" i="9" a="1"/>
  <c r="AO34" i="9" s="1"/>
  <c r="AO35" i="9" a="1"/>
  <c r="AO35" i="9" s="1"/>
  <c r="AO36" i="9" a="1"/>
  <c r="AO36" i="9" s="1"/>
  <c r="AO37" i="9" a="1"/>
  <c r="AO37" i="9" s="1"/>
  <c r="AO38" i="9" a="1"/>
  <c r="AO38" i="9" s="1"/>
  <c r="AO39" i="9" a="1"/>
  <c r="AO39" i="9" s="1"/>
  <c r="AO40" i="9" a="1"/>
  <c r="AO40" i="9" s="1"/>
  <c r="AO41" i="9" a="1"/>
  <c r="AO41" i="9" s="1"/>
  <c r="AO42" i="9" a="1"/>
  <c r="AO42" i="9" s="1"/>
  <c r="AO43" i="9" a="1"/>
  <c r="AO43" i="9" s="1"/>
  <c r="AO44" i="9" a="1"/>
  <c r="AO44" i="9" s="1"/>
  <c r="AO45" i="9" a="1"/>
  <c r="AO45" i="9" s="1"/>
  <c r="AO46" i="9" a="1"/>
  <c r="AO46" i="9" s="1"/>
  <c r="AO47" i="9" a="1"/>
  <c r="AO47" i="9" s="1"/>
  <c r="AO48" i="9" a="1"/>
  <c r="AO48" i="9" s="1"/>
  <c r="AO49" i="9" a="1"/>
  <c r="AO49" i="9" s="1"/>
  <c r="AO50" i="9" a="1"/>
  <c r="AO50" i="9" s="1"/>
  <c r="AO51" i="9" a="1"/>
  <c r="AO51" i="9" s="1"/>
  <c r="AO52" i="9" a="1"/>
  <c r="AO52" i="9" s="1"/>
  <c r="AO53" i="9" a="1"/>
  <c r="AO53" i="9" s="1"/>
  <c r="AO54" i="9" a="1"/>
  <c r="AO54" i="9" s="1"/>
  <c r="AO55" i="9" a="1"/>
  <c r="AO55" i="9" s="1"/>
  <c r="AO56" i="9" a="1"/>
  <c r="AO56" i="9" s="1"/>
  <c r="AO57" i="9" a="1"/>
  <c r="AO57" i="9" s="1"/>
  <c r="AO58" i="9" a="1"/>
  <c r="AO58" i="9" s="1"/>
  <c r="AO59" i="9" a="1"/>
  <c r="AO59" i="9" s="1"/>
  <c r="AO60" i="9" a="1"/>
  <c r="AO60" i="9" s="1"/>
  <c r="AO61" i="9" a="1"/>
  <c r="AO61" i="9" s="1"/>
  <c r="AO62" i="9" a="1"/>
  <c r="AO62" i="9" s="1"/>
  <c r="AO63" i="9" a="1"/>
  <c r="AO63" i="9" s="1"/>
  <c r="AO64" i="9" a="1"/>
  <c r="AO64" i="9" s="1"/>
  <c r="AO65" i="9" a="1"/>
  <c r="AO65" i="9" s="1"/>
  <c r="AO66" i="9" a="1"/>
  <c r="AO66" i="9" s="1"/>
  <c r="AO67" i="9" a="1"/>
  <c r="AO67" i="9" s="1"/>
  <c r="AO68" i="9" a="1"/>
  <c r="AO68" i="9" s="1"/>
  <c r="AO69" i="9" a="1"/>
  <c r="AO69" i="9" s="1"/>
  <c r="AO70" i="9" a="1"/>
  <c r="AO70" i="9" s="1"/>
  <c r="AO71" i="9" a="1"/>
  <c r="AO71" i="9" s="1"/>
  <c r="AO72" i="9" a="1"/>
  <c r="AO72" i="9" s="1"/>
  <c r="AO73" i="9" a="1"/>
  <c r="AO73" i="9" s="1"/>
  <c r="AO74" i="9" a="1"/>
  <c r="AO74" i="9" s="1"/>
  <c r="AO75" i="9" a="1"/>
  <c r="AO75" i="9" s="1"/>
  <c r="AO76" i="9" a="1"/>
  <c r="AO76" i="9" s="1"/>
  <c r="AO77" i="9" a="1"/>
  <c r="AO77" i="9" s="1"/>
  <c r="AO78" i="9" a="1"/>
  <c r="AO78" i="9" s="1"/>
  <c r="AO79" i="9" a="1"/>
  <c r="AO79" i="9" s="1"/>
  <c r="AO80" i="9" a="1"/>
  <c r="AO80" i="9" s="1"/>
  <c r="AO81" i="9" a="1"/>
  <c r="AO81" i="9" s="1"/>
  <c r="AO82" i="9" a="1"/>
  <c r="AO82" i="9" s="1"/>
  <c r="AO83" i="9" a="1"/>
  <c r="AO83" i="9" s="1"/>
  <c r="AO84" i="9" a="1"/>
  <c r="AO84" i="9" s="1"/>
  <c r="AO85" i="9" a="1"/>
  <c r="AO85" i="9" s="1"/>
  <c r="AO86" i="9" a="1"/>
  <c r="AO86" i="9" s="1"/>
  <c r="AO87" i="9" a="1"/>
  <c r="AO87" i="9" s="1"/>
  <c r="AO88" i="9" a="1"/>
  <c r="AO88" i="9" s="1"/>
  <c r="AO89" i="9" a="1"/>
  <c r="AO89" i="9" s="1"/>
  <c r="AO90" i="9" a="1"/>
  <c r="AO90" i="9" s="1"/>
  <c r="AO91" i="9" a="1"/>
  <c r="AO91" i="9" s="1"/>
  <c r="AO92" i="9" a="1"/>
  <c r="AO92" i="9" s="1"/>
  <c r="AO93" i="9" a="1"/>
  <c r="AO93" i="9" s="1"/>
  <c r="AO94" i="9" a="1"/>
  <c r="AO94" i="9" s="1"/>
  <c r="AO95" i="9" a="1"/>
  <c r="AO95" i="9" s="1"/>
  <c r="AO96" i="9" a="1"/>
  <c r="AO96" i="9" s="1"/>
  <c r="AO97" i="9" a="1"/>
  <c r="AO97" i="9" s="1"/>
  <c r="AO98" i="9" a="1"/>
  <c r="AO98" i="9" s="1"/>
  <c r="AO99" i="9" a="1"/>
  <c r="AO99" i="9" s="1"/>
  <c r="AO100" i="9" a="1"/>
  <c r="AO100" i="9" s="1"/>
  <c r="AO101" i="9" a="1"/>
  <c r="AO101" i="9" s="1"/>
  <c r="AO102" i="9" a="1"/>
  <c r="AO102" i="9" s="1"/>
  <c r="AO103" i="9" a="1"/>
  <c r="AO103" i="9" s="1"/>
  <c r="AO104" i="9" a="1"/>
  <c r="AO104" i="9" s="1"/>
  <c r="AO105" i="9" a="1"/>
  <c r="AO105" i="9" s="1"/>
  <c r="AO106" i="9" a="1"/>
  <c r="AO106" i="9" s="1"/>
  <c r="AO107" i="9" a="1"/>
  <c r="AO107" i="9" s="1"/>
  <c r="AO108" i="9" a="1"/>
  <c r="AO108" i="9" s="1"/>
  <c r="AO109" i="9" a="1"/>
  <c r="AO109" i="9" s="1"/>
  <c r="AO110" i="9" a="1"/>
  <c r="AO110" i="9" s="1"/>
  <c r="AO111" i="9" a="1"/>
  <c r="AO111" i="9" s="1"/>
  <c r="AO112" i="9" a="1"/>
  <c r="AO112" i="9" s="1"/>
  <c r="AO113" i="9" a="1"/>
  <c r="AO113" i="9" s="1"/>
  <c r="AO114" i="9" a="1"/>
  <c r="AO114" i="9" s="1"/>
  <c r="AO115" i="9" a="1"/>
  <c r="AO115" i="9" s="1"/>
  <c r="AO116" i="9" a="1"/>
  <c r="AO116" i="9" s="1"/>
  <c r="AO117" i="9" a="1"/>
  <c r="AO117" i="9" s="1"/>
  <c r="AO118" i="9" a="1"/>
  <c r="AO118" i="9" s="1"/>
  <c r="AO119" i="9" a="1"/>
  <c r="AO119" i="9" s="1"/>
  <c r="AO120" i="9" a="1"/>
  <c r="AO120" i="9" s="1"/>
  <c r="AO121" i="9" a="1"/>
  <c r="AO121" i="9" s="1"/>
  <c r="AO122" i="9" a="1"/>
  <c r="AO122" i="9" s="1"/>
  <c r="AO123" i="9" a="1"/>
  <c r="AO123" i="9" s="1"/>
  <c r="AO124" i="9" a="1"/>
  <c r="AO124" i="9" s="1"/>
  <c r="AO125" i="9" a="1"/>
  <c r="AO125" i="9" s="1"/>
  <c r="AO126" i="9" a="1"/>
  <c r="AO126" i="9" s="1"/>
  <c r="AO127" i="9" a="1"/>
  <c r="AO127" i="9" s="1"/>
  <c r="AO128" i="9" a="1"/>
  <c r="AO128" i="9" s="1"/>
  <c r="AO129" i="9" a="1"/>
  <c r="AO129" i="9" s="1"/>
  <c r="AO130" i="9" a="1"/>
  <c r="AO130" i="9" s="1"/>
  <c r="AO131" i="9" a="1"/>
  <c r="AO131" i="9" s="1"/>
  <c r="AO132" i="9" a="1"/>
  <c r="AO132" i="9" s="1"/>
  <c r="AO133" i="9" a="1"/>
  <c r="AO133" i="9" s="1"/>
  <c r="AO134" i="9" a="1"/>
  <c r="AO134" i="9" s="1"/>
  <c r="AO135" i="9" a="1"/>
  <c r="AO135" i="9" s="1"/>
  <c r="AO136" i="9" a="1"/>
  <c r="AO136" i="9" s="1"/>
  <c r="AO137" i="9" a="1"/>
  <c r="AO137" i="9" s="1"/>
  <c r="AO138" i="9" a="1"/>
  <c r="AO138" i="9" s="1"/>
  <c r="AO139" i="9" a="1"/>
  <c r="AO139" i="9" s="1"/>
  <c r="AO140" i="9" a="1"/>
  <c r="AO140" i="9" s="1"/>
  <c r="AO141" i="9" a="1"/>
  <c r="AO141" i="9" s="1"/>
  <c r="AO142" i="9" a="1"/>
  <c r="AO142" i="9" s="1"/>
  <c r="AO143" i="9" a="1"/>
  <c r="AO143" i="9" s="1"/>
  <c r="AO144" i="9" a="1"/>
  <c r="AO144" i="9" s="1"/>
  <c r="AO145" i="9" a="1"/>
  <c r="AO145" i="9" s="1"/>
  <c r="AO146" i="9" a="1"/>
  <c r="AO146" i="9" s="1"/>
  <c r="AO147" i="9" a="1"/>
  <c r="AO147" i="9" s="1"/>
  <c r="AO148" i="9" a="1"/>
  <c r="AO148" i="9" s="1"/>
  <c r="AO149" i="9" a="1"/>
  <c r="AO149" i="9" s="1"/>
  <c r="AO150" i="9" a="1"/>
  <c r="AO150" i="9" s="1"/>
  <c r="AO151" i="9" a="1"/>
  <c r="AO151" i="9" s="1"/>
  <c r="AO152" i="9" a="1"/>
  <c r="AO152" i="9" s="1"/>
  <c r="AO153" i="9" a="1"/>
  <c r="AO153" i="9" s="1"/>
  <c r="AO154" i="9" a="1"/>
  <c r="AO154" i="9" s="1"/>
  <c r="AO155" i="9" a="1"/>
  <c r="AO155" i="9" s="1"/>
  <c r="AO156" i="9" a="1"/>
  <c r="AO156" i="9" s="1"/>
  <c r="AO157" i="9" a="1"/>
  <c r="AO157" i="9" s="1"/>
  <c r="AO158" i="9" a="1"/>
  <c r="AO158" i="9" s="1"/>
  <c r="AO159" i="9" a="1"/>
  <c r="AO159" i="9" s="1"/>
  <c r="AO160" i="9" a="1"/>
  <c r="AO160" i="9" s="1"/>
  <c r="AO161" i="9" a="1"/>
  <c r="AO161" i="9" s="1"/>
  <c r="AO162" i="9" a="1"/>
  <c r="AO162" i="9" s="1"/>
  <c r="AO163" i="9" a="1"/>
  <c r="AO163" i="9" s="1"/>
  <c r="AO164" i="9" a="1"/>
  <c r="AO164" i="9" s="1"/>
  <c r="AO165" i="9" a="1"/>
  <c r="AO165" i="9" s="1"/>
  <c r="AO166" i="9" a="1"/>
  <c r="AO166" i="9" s="1"/>
  <c r="AO167" i="9" a="1"/>
  <c r="AO167" i="9" s="1"/>
  <c r="AO168" i="9" a="1"/>
  <c r="AO168" i="9" s="1"/>
  <c r="AO169" i="9" a="1"/>
  <c r="AO169" i="9" s="1"/>
  <c r="AO170" i="9" a="1"/>
  <c r="AO170" i="9" s="1"/>
  <c r="AO171" i="9" a="1"/>
  <c r="AO171" i="9" s="1"/>
  <c r="AO172" i="9" a="1"/>
  <c r="AO172" i="9" s="1"/>
  <c r="AO173" i="9" a="1"/>
  <c r="AO173" i="9" s="1"/>
  <c r="AO174" i="9" a="1"/>
  <c r="AO174" i="9" s="1"/>
  <c r="AO175" i="9" a="1"/>
  <c r="AO175" i="9" s="1"/>
  <c r="AO176" i="9" a="1"/>
  <c r="AO176" i="9" s="1"/>
  <c r="AO177" i="9" a="1"/>
  <c r="AO177" i="9" s="1"/>
  <c r="AO178" i="9" a="1"/>
  <c r="AO178" i="9" s="1"/>
  <c r="AO179" i="9" a="1"/>
  <c r="AO179" i="9" s="1"/>
  <c r="AO180" i="9" a="1"/>
  <c r="AO180" i="9" s="1"/>
  <c r="AO181" i="9" a="1"/>
  <c r="AO181" i="9" s="1"/>
  <c r="AO182" i="9" a="1"/>
  <c r="AO182" i="9" s="1"/>
  <c r="AO183" i="9" a="1"/>
  <c r="AO183" i="9" s="1"/>
  <c r="AO184" i="9" a="1"/>
  <c r="AO184" i="9" s="1"/>
  <c r="AO185" i="9" a="1"/>
  <c r="AO185" i="9" s="1"/>
  <c r="AO186" i="9" a="1"/>
  <c r="AO186" i="9" s="1"/>
  <c r="AO187" i="9" a="1"/>
  <c r="AO187" i="9" s="1"/>
  <c r="AO188" i="9" a="1"/>
  <c r="AO188" i="9" s="1"/>
  <c r="AO189" i="9" a="1"/>
  <c r="AO189" i="9" s="1"/>
  <c r="AO190" i="9" a="1"/>
  <c r="AO190" i="9" s="1"/>
  <c r="AO191" i="9" a="1"/>
  <c r="AO191" i="9" s="1"/>
  <c r="AO192" i="9" a="1"/>
  <c r="AO192" i="9" s="1"/>
  <c r="AO193" i="9" a="1"/>
  <c r="AO193" i="9" s="1"/>
  <c r="AO194" i="9" a="1"/>
  <c r="AO194" i="9" s="1"/>
  <c r="AO195" i="9" a="1"/>
  <c r="AO195" i="9" s="1"/>
  <c r="AO196" i="9" a="1"/>
  <c r="AO196" i="9" s="1"/>
  <c r="AO197" i="9" a="1"/>
  <c r="AO197" i="9" s="1"/>
  <c r="AO198" i="9" a="1"/>
  <c r="AO198" i="9" s="1"/>
  <c r="AO199" i="9" a="1"/>
  <c r="AO199" i="9" s="1"/>
  <c r="AO200" i="9" a="1"/>
  <c r="AO200" i="9" s="1"/>
  <c r="AO201" i="9" a="1"/>
  <c r="AO201" i="9" s="1"/>
  <c r="AO202" i="9" a="1"/>
  <c r="AO202" i="9" s="1"/>
  <c r="AO203" i="9" a="1"/>
  <c r="AO203" i="9" s="1"/>
  <c r="AO204" i="9" a="1"/>
  <c r="AO204" i="9" s="1"/>
  <c r="AO205" i="9" a="1"/>
  <c r="AO205" i="9" s="1"/>
  <c r="AO206" i="9" a="1"/>
  <c r="AO206" i="9" s="1"/>
  <c r="AO207" i="9" a="1"/>
  <c r="AO207" i="9" s="1"/>
  <c r="AO208" i="9" a="1"/>
  <c r="AO208" i="9" s="1"/>
  <c r="AO209" i="9" a="1"/>
  <c r="AO209" i="9" s="1"/>
  <c r="AO210" i="9" a="1"/>
  <c r="AO210" i="9" s="1"/>
  <c r="AO211" i="9" a="1"/>
  <c r="AO211" i="9" s="1"/>
  <c r="AO212" i="9" a="1"/>
  <c r="AO212" i="9" s="1"/>
  <c r="AO213" i="9" a="1"/>
  <c r="AO213" i="9" s="1"/>
  <c r="AO214" i="9" a="1"/>
  <c r="AO214" i="9" s="1"/>
  <c r="AO215" i="9" a="1"/>
  <c r="AO215" i="9" s="1"/>
  <c r="AO216" i="9" a="1"/>
  <c r="AO216" i="9" s="1"/>
  <c r="AO217" i="9" a="1"/>
  <c r="AO217" i="9" s="1"/>
  <c r="AO218" i="9" a="1"/>
  <c r="AO218" i="9" s="1"/>
  <c r="AO219" i="9" a="1"/>
  <c r="AO219" i="9" s="1"/>
  <c r="AO220" i="9" a="1"/>
  <c r="AO220" i="9" s="1"/>
  <c r="AO221" i="9" a="1"/>
  <c r="AO221" i="9" s="1"/>
  <c r="AO222" i="9" a="1"/>
  <c r="AO222" i="9" s="1"/>
  <c r="AO223" i="9" a="1"/>
  <c r="AO223" i="9" s="1"/>
  <c r="AO224" i="9" a="1"/>
  <c r="AO224" i="9" s="1"/>
  <c r="AO225" i="9" a="1"/>
  <c r="AO225" i="9" s="1"/>
  <c r="AO226" i="9" a="1"/>
  <c r="AO226" i="9" s="1"/>
  <c r="AO227" i="9" a="1"/>
  <c r="AO227" i="9" s="1"/>
  <c r="AO228" i="9" a="1"/>
  <c r="AO228" i="9" s="1"/>
  <c r="AO229" i="9" a="1"/>
  <c r="AO229" i="9" s="1"/>
  <c r="AO230" i="9" a="1"/>
  <c r="AO230" i="9" s="1"/>
  <c r="AO231" i="9" a="1"/>
  <c r="AO231" i="9" s="1"/>
  <c r="AO232" i="9" a="1"/>
  <c r="AO232" i="9" s="1"/>
  <c r="AO233" i="9" a="1"/>
  <c r="AO233" i="9" s="1"/>
  <c r="AO234" i="9" a="1"/>
  <c r="AO234" i="9" s="1"/>
  <c r="AO235" i="9" a="1"/>
  <c r="AO235" i="9" s="1"/>
  <c r="AO236" i="9" a="1"/>
  <c r="AO236" i="9" s="1"/>
  <c r="AO237" i="9" a="1"/>
  <c r="AO237" i="9" s="1"/>
  <c r="AO238" i="9" a="1"/>
  <c r="AO238" i="9" s="1"/>
  <c r="AO239" i="9" a="1"/>
  <c r="AO239" i="9" s="1"/>
  <c r="AO240" i="9" a="1"/>
  <c r="AO240" i="9" s="1"/>
  <c r="AO241" i="9" a="1"/>
  <c r="AO241" i="9" s="1"/>
  <c r="AO242" i="9" a="1"/>
  <c r="AO242" i="9" s="1"/>
  <c r="AO243" i="9" a="1"/>
  <c r="AO243" i="9" s="1"/>
  <c r="AO244" i="9" a="1"/>
  <c r="AO244" i="9" s="1"/>
  <c r="AO245" i="9" a="1"/>
  <c r="AO245" i="9" s="1"/>
  <c r="AO246" i="9" a="1"/>
  <c r="AO246" i="9" s="1"/>
  <c r="AO247" i="9" a="1"/>
  <c r="AO247" i="9" s="1"/>
  <c r="AO248" i="9" a="1"/>
  <c r="AO248" i="9" s="1"/>
  <c r="AO249" i="9" a="1"/>
  <c r="AO249" i="9" s="1"/>
  <c r="AO250" i="9" a="1"/>
  <c r="AO250" i="9" s="1"/>
  <c r="AO251" i="9" a="1"/>
  <c r="AO251" i="9" s="1"/>
  <c r="AO252" i="9" a="1"/>
  <c r="AO252" i="9" s="1"/>
  <c r="AO253" i="9" a="1"/>
  <c r="AO253" i="9" s="1"/>
  <c r="AO254" i="9" a="1"/>
  <c r="AO254" i="9" s="1"/>
  <c r="AO255" i="9" a="1"/>
  <c r="AO255" i="9" s="1"/>
  <c r="AO256" i="9" a="1"/>
  <c r="AO256" i="9" s="1"/>
  <c r="AO257" i="9" a="1"/>
  <c r="AO257" i="9" s="1"/>
  <c r="AO258" i="9" a="1"/>
  <c r="AO258" i="9" s="1"/>
  <c r="AO259" i="9" a="1"/>
  <c r="AO259" i="9" s="1"/>
  <c r="AO260" i="9" a="1"/>
  <c r="AO260" i="9" s="1"/>
  <c r="AO261" i="9" a="1"/>
  <c r="AO261" i="9" s="1"/>
  <c r="AO262" i="9" a="1"/>
  <c r="AO262" i="9" s="1"/>
  <c r="AO263" i="9" a="1"/>
  <c r="AO263" i="9" s="1"/>
  <c r="AO264" i="9" a="1"/>
  <c r="AO264" i="9" s="1"/>
  <c r="AO265" i="9" a="1"/>
  <c r="AO265" i="9" s="1"/>
  <c r="AO266" i="9" a="1"/>
  <c r="AO266" i="9" s="1"/>
  <c r="AO267" i="9" a="1"/>
  <c r="AO267" i="9" s="1"/>
  <c r="AO268" i="9" a="1"/>
  <c r="AO268" i="9" s="1"/>
  <c r="AO269" i="9" a="1"/>
  <c r="AO269" i="9" s="1"/>
  <c r="AO270" i="9" a="1"/>
  <c r="AO270" i="9" s="1"/>
  <c r="AO271" i="9" a="1"/>
  <c r="AO271" i="9" s="1"/>
  <c r="AO272" i="9" a="1"/>
  <c r="AO272" i="9" s="1"/>
  <c r="AO273" i="9" a="1"/>
  <c r="AO273" i="9" s="1"/>
  <c r="AO274" i="9" a="1"/>
  <c r="AO274" i="9" s="1"/>
  <c r="AO275" i="9" a="1"/>
  <c r="AO275" i="9" s="1"/>
  <c r="AO276" i="9" a="1"/>
  <c r="AO276" i="9" s="1"/>
  <c r="AO277" i="9" a="1"/>
  <c r="AO277" i="9" s="1"/>
  <c r="AO278" i="9" a="1"/>
  <c r="AO278" i="9" s="1"/>
  <c r="AO279" i="9" a="1"/>
  <c r="AO279" i="9" s="1"/>
  <c r="AO280" i="9" a="1"/>
  <c r="AO280" i="9" s="1"/>
  <c r="AO281" i="9" a="1"/>
  <c r="AO281" i="9" s="1"/>
  <c r="AO282" i="9" a="1"/>
  <c r="AO282" i="9" s="1"/>
  <c r="AO283" i="9" a="1"/>
  <c r="AO283" i="9" s="1"/>
  <c r="AO284" i="9" a="1"/>
  <c r="AO284" i="9" s="1"/>
  <c r="AO285" i="9" a="1"/>
  <c r="AO285" i="9" s="1"/>
  <c r="AO286" i="9" a="1"/>
  <c r="AO286" i="9" s="1"/>
  <c r="AO287" i="9" a="1"/>
  <c r="AO287" i="9" s="1"/>
  <c r="AO288" i="9" a="1"/>
  <c r="AO288" i="9" s="1"/>
  <c r="AO289" i="9" a="1"/>
  <c r="AO289" i="9" s="1"/>
  <c r="AO290" i="9" a="1"/>
  <c r="AO290" i="9" s="1"/>
  <c r="AO291" i="9" a="1"/>
  <c r="AO291" i="9" s="1"/>
  <c r="AO292" i="9" a="1"/>
  <c r="AO292" i="9" s="1"/>
  <c r="AO293" i="9" a="1"/>
  <c r="AO293" i="9" s="1"/>
  <c r="AO294" i="9" a="1"/>
  <c r="AO294" i="9" s="1"/>
  <c r="AO295" i="9" a="1"/>
  <c r="AO295" i="9" s="1"/>
  <c r="AO296" i="9" a="1"/>
  <c r="AO296" i="9" s="1"/>
  <c r="AO297" i="9" a="1"/>
  <c r="AO297" i="9" s="1"/>
  <c r="AO298" i="9" a="1"/>
  <c r="AO298" i="9" s="1"/>
  <c r="AO299" i="9" a="1"/>
  <c r="AO299" i="9" s="1"/>
  <c r="AO300" i="9" a="1"/>
  <c r="AO300" i="9" s="1"/>
  <c r="AO301" i="9" a="1"/>
  <c r="AO301" i="9" s="1"/>
  <c r="AO302" i="9" a="1"/>
  <c r="AO302" i="9" s="1"/>
  <c r="AO303" i="9" a="1"/>
  <c r="AO303" i="9" s="1"/>
  <c r="AO304" i="9" a="1"/>
  <c r="AO304" i="9" s="1"/>
  <c r="AO305" i="9" a="1"/>
  <c r="AO305" i="9" s="1"/>
  <c r="AO306" i="9" a="1"/>
  <c r="AO306" i="9" s="1"/>
  <c r="AO307" i="9" a="1"/>
  <c r="AO307" i="9" s="1"/>
  <c r="AO308" i="9" a="1"/>
  <c r="AO308" i="9" s="1"/>
  <c r="AO309" i="9" a="1"/>
  <c r="AO309" i="9" s="1"/>
  <c r="AO310" i="9" a="1"/>
  <c r="AO310" i="9" s="1"/>
  <c r="AO311" i="9" a="1"/>
  <c r="AO311" i="9" s="1"/>
  <c r="AO312" i="9" a="1"/>
  <c r="AO312" i="9" s="1"/>
  <c r="AO313" i="9" a="1"/>
  <c r="AO313" i="9" s="1"/>
  <c r="AO314" i="9" a="1"/>
  <c r="AO314" i="9" s="1"/>
  <c r="AO315" i="9" a="1"/>
  <c r="AO315" i="9" s="1"/>
  <c r="AO316" i="9" a="1"/>
  <c r="AO316" i="9" s="1"/>
  <c r="AO317" i="9" a="1"/>
  <c r="AO317" i="9" s="1"/>
  <c r="AO318" i="9" a="1"/>
  <c r="AO318" i="9" s="1"/>
  <c r="AO319" i="9" a="1"/>
  <c r="AO319" i="9" s="1"/>
  <c r="AO320" i="9" a="1"/>
  <c r="AO320" i="9" s="1"/>
  <c r="AO321" i="9" a="1"/>
  <c r="AO321" i="9" s="1"/>
  <c r="AO322" i="9" a="1"/>
  <c r="AO322" i="9" s="1"/>
  <c r="AO323" i="9" a="1"/>
  <c r="AO323" i="9" s="1"/>
  <c r="AO324" i="9" a="1"/>
  <c r="AO324" i="9" s="1"/>
  <c r="AO325" i="9" a="1"/>
  <c r="AO325" i="9" s="1"/>
  <c r="AO326" i="9" a="1"/>
  <c r="AO326" i="9" s="1"/>
  <c r="AO327" i="9" a="1"/>
  <c r="AO327" i="9" s="1"/>
  <c r="AO328" i="9" a="1"/>
  <c r="AO328" i="9" s="1"/>
  <c r="AO329" i="9" a="1"/>
  <c r="AO329" i="9" s="1"/>
  <c r="AO330" i="9" a="1"/>
  <c r="AO330" i="9" s="1"/>
  <c r="AO331" i="9" a="1"/>
  <c r="AO331" i="9" s="1"/>
  <c r="AO332" i="9" a="1"/>
  <c r="AO332" i="9" s="1"/>
  <c r="AO333" i="9" a="1"/>
  <c r="AO333" i="9" s="1"/>
  <c r="AO334" i="9" a="1"/>
  <c r="AO334" i="9" s="1"/>
  <c r="AO335" i="9" a="1"/>
  <c r="AO335" i="9" s="1"/>
  <c r="AO336" i="9" a="1"/>
  <c r="AO336" i="9" s="1"/>
  <c r="AO337" i="9" a="1"/>
  <c r="AO337" i="9" s="1"/>
  <c r="AO338" i="9" a="1"/>
  <c r="AO338" i="9" s="1"/>
  <c r="AO339" i="9" a="1"/>
  <c r="AO339" i="9" s="1"/>
  <c r="AO340" i="9" a="1"/>
  <c r="AO340" i="9" s="1"/>
  <c r="AO341" i="9" a="1"/>
  <c r="AO341" i="9" s="1"/>
  <c r="AO342" i="9" a="1"/>
  <c r="AO342" i="9" s="1"/>
  <c r="AO343" i="9" a="1"/>
  <c r="AO343" i="9" s="1"/>
  <c r="AO344" i="9" a="1"/>
  <c r="AO344" i="9" s="1"/>
  <c r="AO345" i="9" a="1"/>
  <c r="AO345" i="9" s="1"/>
  <c r="AO346" i="9" a="1"/>
  <c r="AO346" i="9" s="1"/>
  <c r="AO347" i="9" a="1"/>
  <c r="AO347" i="9" s="1"/>
  <c r="AO348" i="9" a="1"/>
  <c r="AO348" i="9" s="1"/>
  <c r="AO349" i="9" a="1"/>
  <c r="AO349" i="9" s="1"/>
  <c r="AO350" i="9" a="1"/>
  <c r="AO350" i="9" s="1"/>
  <c r="AO351" i="9" a="1"/>
  <c r="AO351" i="9" s="1"/>
  <c r="AO352" i="9" a="1"/>
  <c r="AO352" i="9" s="1"/>
  <c r="AO353" i="9" a="1"/>
  <c r="AO353" i="9" s="1"/>
  <c r="AO354" i="9" a="1"/>
  <c r="AO354" i="9" s="1"/>
  <c r="AO355" i="9" a="1"/>
  <c r="AO355" i="9" s="1"/>
  <c r="AO356" i="9" a="1"/>
  <c r="AO356" i="9" s="1"/>
  <c r="AO357" i="9" a="1"/>
  <c r="AO357" i="9" s="1"/>
  <c r="AO358" i="9" a="1"/>
  <c r="AO358" i="9" s="1"/>
  <c r="AO359" i="9" a="1"/>
  <c r="AO359" i="9" s="1"/>
  <c r="AO360" i="9" a="1"/>
  <c r="AO360" i="9" s="1"/>
  <c r="AO361" i="9" a="1"/>
  <c r="AO361" i="9" s="1"/>
  <c r="AO362" i="9" a="1"/>
  <c r="AO362" i="9" s="1"/>
  <c r="AO363" i="9" a="1"/>
  <c r="AO363" i="9" s="1"/>
  <c r="AO364" i="9" a="1"/>
  <c r="AO364" i="9" s="1"/>
  <c r="AO365" i="9" a="1"/>
  <c r="AO365" i="9" s="1"/>
  <c r="AO366" i="9" a="1"/>
  <c r="AO366" i="9" s="1"/>
  <c r="AO367" i="9" a="1"/>
  <c r="AO367" i="9" s="1"/>
  <c r="AO368" i="9" a="1"/>
  <c r="AO368" i="9" s="1"/>
  <c r="AO369" i="9" a="1"/>
  <c r="AO369" i="9" s="1"/>
  <c r="AO370" i="9" a="1"/>
  <c r="AO370" i="9" s="1"/>
  <c r="AO371" i="9" a="1"/>
  <c r="AO371" i="9" s="1"/>
  <c r="AO372" i="9" a="1"/>
  <c r="AO372" i="9" s="1"/>
  <c r="AO373" i="9" a="1"/>
  <c r="AO373" i="9" s="1"/>
  <c r="AO374" i="9" a="1"/>
  <c r="AO374" i="9" s="1"/>
  <c r="AO375" i="9" a="1"/>
  <c r="AO375" i="9" s="1"/>
  <c r="AO376" i="9" a="1"/>
  <c r="AO376" i="9" s="1"/>
  <c r="AO377" i="9" a="1"/>
  <c r="AO377" i="9" s="1"/>
  <c r="AO378" i="9" a="1"/>
  <c r="AO378" i="9" s="1"/>
  <c r="AO379" i="9" a="1"/>
  <c r="AO379" i="9" s="1"/>
  <c r="AO380" i="9" a="1"/>
  <c r="AO380" i="9" s="1"/>
  <c r="AO381" i="9" a="1"/>
  <c r="AO381" i="9" s="1"/>
  <c r="AO382" i="9" a="1"/>
  <c r="AO382" i="9" s="1"/>
  <c r="AO383" i="9" a="1"/>
  <c r="AO383" i="9" s="1"/>
  <c r="AO384" i="9" a="1"/>
  <c r="AO384" i="9" s="1"/>
  <c r="AO385" i="9" a="1"/>
  <c r="AO385" i="9" s="1"/>
  <c r="AO386" i="9" a="1"/>
  <c r="AO386" i="9" s="1"/>
  <c r="AO387" i="9" a="1"/>
  <c r="AO387" i="9" s="1"/>
  <c r="AO388" i="9" a="1"/>
  <c r="AO388" i="9" s="1"/>
  <c r="AO389" i="9" a="1"/>
  <c r="AO389" i="9" s="1"/>
  <c r="AO390" i="9" a="1"/>
  <c r="AO390" i="9" s="1"/>
  <c r="AO391" i="9" a="1"/>
  <c r="AO391" i="9" s="1"/>
  <c r="AO392" i="9" a="1"/>
  <c r="AO392" i="9" s="1"/>
  <c r="AO393" i="9" a="1"/>
  <c r="AO393" i="9" s="1"/>
  <c r="AO394" i="9" a="1"/>
  <c r="AO394" i="9" s="1"/>
  <c r="AO395" i="9" a="1"/>
  <c r="AO395" i="9" s="1"/>
  <c r="AO396" i="9" a="1"/>
  <c r="AO396" i="9" s="1"/>
  <c r="AO397" i="9" a="1"/>
  <c r="AO397" i="9" s="1"/>
  <c r="AO398" i="9" a="1"/>
  <c r="AO398" i="9" s="1"/>
  <c r="AO399" i="9" a="1"/>
  <c r="AO399" i="9" s="1"/>
  <c r="AO400" i="9" a="1"/>
  <c r="AO400" i="9" s="1"/>
  <c r="AO401" i="9" a="1"/>
  <c r="AO401" i="9" s="1"/>
  <c r="AO402" i="9" a="1"/>
  <c r="AO402" i="9" s="1"/>
  <c r="AO403" i="9" a="1"/>
  <c r="AO403" i="9" s="1"/>
  <c r="AO404" i="9" a="1"/>
  <c r="AO404" i="9" s="1"/>
  <c r="AO405" i="9" a="1"/>
  <c r="AO405" i="9" s="1"/>
  <c r="AO406" i="9" a="1"/>
  <c r="AO406" i="9" s="1"/>
  <c r="AO407" i="9" a="1"/>
  <c r="AO407" i="9" s="1"/>
  <c r="AO408" i="9" a="1"/>
  <c r="AO408" i="9" s="1"/>
  <c r="AO409" i="9" a="1"/>
  <c r="AO409" i="9" s="1"/>
  <c r="AO410" i="9" a="1"/>
  <c r="AO410" i="9" s="1"/>
  <c r="AO411" i="9" a="1"/>
  <c r="AO411" i="9" s="1"/>
  <c r="AO412" i="9" a="1"/>
  <c r="AO412" i="9" s="1"/>
  <c r="AO413" i="9" a="1"/>
  <c r="AO413" i="9" s="1"/>
  <c r="AO414" i="9" a="1"/>
  <c r="AO414" i="9" s="1"/>
  <c r="AO415" i="9" a="1"/>
  <c r="AO415" i="9" s="1"/>
  <c r="AO416" i="9" a="1"/>
  <c r="AO416" i="9" s="1"/>
  <c r="AO417" i="9" a="1"/>
  <c r="AO417" i="9" s="1"/>
  <c r="AO418" i="9" a="1"/>
  <c r="AO418" i="9" s="1"/>
  <c r="AO419" i="9" a="1"/>
  <c r="AO419" i="9" s="1"/>
  <c r="AO420" i="9" a="1"/>
  <c r="AO420" i="9" s="1"/>
  <c r="AO421" i="9" a="1"/>
  <c r="AO421" i="9" s="1"/>
  <c r="AO422" i="9" a="1"/>
  <c r="AO422" i="9" s="1"/>
  <c r="AO423" i="9" a="1"/>
  <c r="AO423" i="9" s="1"/>
  <c r="AO424" i="9" a="1"/>
  <c r="AO424" i="9" s="1"/>
  <c r="AO425" i="9" a="1"/>
  <c r="AO425" i="9" s="1"/>
  <c r="AO426" i="9" a="1"/>
  <c r="AO426" i="9" s="1"/>
  <c r="AO427" i="9" a="1"/>
  <c r="AO427" i="9" s="1"/>
  <c r="AO428" i="9" a="1"/>
  <c r="AO428" i="9" s="1"/>
  <c r="AO429" i="9" a="1"/>
  <c r="AO429" i="9" s="1"/>
  <c r="AO430" i="9" a="1"/>
  <c r="AO430" i="9" s="1"/>
  <c r="AO431" i="9" a="1"/>
  <c r="AO431" i="9" s="1"/>
  <c r="AO432" i="9" a="1"/>
  <c r="AO432" i="9" s="1"/>
  <c r="AO433" i="9" a="1"/>
  <c r="AO433" i="9" s="1"/>
  <c r="AO434" i="9" a="1"/>
  <c r="AO434" i="9" s="1"/>
  <c r="AO435" i="9" a="1"/>
  <c r="AO435" i="9" s="1"/>
  <c r="AO436" i="9" a="1"/>
  <c r="AO436" i="9" s="1"/>
  <c r="AO437" i="9" a="1"/>
  <c r="AO437" i="9" s="1"/>
  <c r="AO438" i="9" a="1"/>
  <c r="AO438" i="9" s="1"/>
  <c r="AO439" i="9" a="1"/>
  <c r="AO439" i="9" s="1"/>
  <c r="AO440" i="9" a="1"/>
  <c r="AO440" i="9" s="1"/>
  <c r="AO441" i="9" a="1"/>
  <c r="AO441" i="9" s="1"/>
  <c r="AO442" i="9" a="1"/>
  <c r="AO442" i="9" s="1"/>
  <c r="AO443" i="9" a="1"/>
  <c r="AO443" i="9" s="1"/>
  <c r="AO444" i="9" a="1"/>
  <c r="AO444" i="9" s="1"/>
  <c r="AO445" i="9" a="1"/>
  <c r="AO445" i="9" s="1"/>
  <c r="AO446" i="9" a="1"/>
  <c r="AO446" i="9" s="1"/>
  <c r="AO447" i="9" a="1"/>
  <c r="AO447" i="9" s="1"/>
  <c r="AO448" i="9" a="1"/>
  <c r="AO448" i="9" s="1"/>
  <c r="AO449" i="9" a="1"/>
  <c r="AO449" i="9" s="1"/>
  <c r="AO450" i="9" a="1"/>
  <c r="AO450" i="9" s="1"/>
  <c r="AO451" i="9" a="1"/>
  <c r="AO451" i="9" s="1"/>
  <c r="AO452" i="9" a="1"/>
  <c r="AO452" i="9" s="1"/>
  <c r="AO453" i="9" a="1"/>
  <c r="AO453" i="9" s="1"/>
  <c r="AO454" i="9" a="1"/>
  <c r="AO454" i="9" s="1"/>
  <c r="AO455" i="9" a="1"/>
  <c r="AO455" i="9" s="1"/>
  <c r="AO456" i="9" a="1"/>
  <c r="AO456" i="9" s="1"/>
  <c r="AO457" i="9" a="1"/>
  <c r="AO457" i="9" s="1"/>
  <c r="AO458" i="9" a="1"/>
  <c r="AO458" i="9" s="1"/>
  <c r="AO459" i="9" a="1"/>
  <c r="AO459" i="9" s="1"/>
  <c r="AO460" i="9" a="1"/>
  <c r="AO460" i="9" s="1"/>
  <c r="AO461" i="9" a="1"/>
  <c r="AO461" i="9" s="1"/>
  <c r="AO462" i="9" a="1"/>
  <c r="AO462" i="9" s="1"/>
  <c r="AO463" i="9" a="1"/>
  <c r="AO463" i="9" s="1"/>
  <c r="AO464" i="9" a="1"/>
  <c r="AO464" i="9" s="1"/>
  <c r="AO465" i="9" a="1"/>
  <c r="AO465" i="9" s="1"/>
  <c r="AO466" i="9" a="1"/>
  <c r="AO466" i="9" s="1"/>
  <c r="AO467" i="9" a="1"/>
  <c r="AO467" i="9" s="1"/>
  <c r="AO468" i="9" a="1"/>
  <c r="AO468" i="9" s="1"/>
  <c r="AO469" i="9" a="1"/>
  <c r="AO469" i="9" s="1"/>
  <c r="AO470" i="9" a="1"/>
  <c r="AO470" i="9" s="1"/>
  <c r="AO471" i="9" a="1"/>
  <c r="AO471" i="9" s="1"/>
  <c r="AO472" i="9" a="1"/>
  <c r="AO472" i="9" s="1"/>
  <c r="AO473" i="9" a="1"/>
  <c r="AO473" i="9" s="1"/>
  <c r="AO474" i="9" a="1"/>
  <c r="AO474" i="9" s="1"/>
  <c r="AO475" i="9" a="1"/>
  <c r="AO475" i="9" s="1"/>
  <c r="AO476" i="9" a="1"/>
  <c r="AO476" i="9" s="1"/>
  <c r="AO477" i="9" a="1"/>
  <c r="AO477" i="9" s="1"/>
  <c r="AO478" i="9" a="1"/>
  <c r="AO478" i="9" s="1"/>
  <c r="AO479" i="9" a="1"/>
  <c r="AO479" i="9" s="1"/>
  <c r="AO480" i="9" a="1"/>
  <c r="AO480" i="9" s="1"/>
  <c r="AO481" i="9" a="1"/>
  <c r="AO481" i="9" s="1"/>
  <c r="AO482" i="9" a="1"/>
  <c r="AO482" i="9" s="1"/>
  <c r="AO483" i="9" a="1"/>
  <c r="AO483" i="9" s="1"/>
  <c r="AO484" i="9" a="1"/>
  <c r="AO484" i="9" s="1"/>
  <c r="AO485" i="9" a="1"/>
  <c r="AO485" i="9" s="1"/>
  <c r="AO486" i="9" a="1"/>
  <c r="AO486" i="9" s="1"/>
  <c r="AO487" i="9" a="1"/>
  <c r="AO487" i="9" s="1"/>
  <c r="AO488" i="9" a="1"/>
  <c r="AO488" i="9" s="1"/>
  <c r="AO489" i="9" a="1"/>
  <c r="AO489" i="9" s="1"/>
  <c r="AO490" i="9" a="1"/>
  <c r="AO490" i="9" s="1"/>
  <c r="AO491" i="9" a="1"/>
  <c r="AO491" i="9" s="1"/>
  <c r="AO492" i="9" a="1"/>
  <c r="AO492" i="9" s="1"/>
  <c r="AO493" i="9" a="1"/>
  <c r="AO493" i="9" s="1"/>
  <c r="AO494" i="9" a="1"/>
  <c r="AO494" i="9" s="1"/>
  <c r="AO495" i="9" a="1"/>
  <c r="AO495" i="9" s="1"/>
  <c r="AO496" i="9" a="1"/>
  <c r="AO496" i="9" s="1"/>
  <c r="AO497" i="9" a="1"/>
  <c r="AO497" i="9" s="1"/>
  <c r="AO498" i="9" a="1"/>
  <c r="AO498" i="9" s="1"/>
  <c r="AO499" i="9" a="1"/>
  <c r="AO499" i="9" s="1"/>
  <c r="AO500" i="9" a="1"/>
  <c r="AO500" i="9" s="1"/>
  <c r="AO501" i="9" a="1"/>
  <c r="AO501" i="9" s="1"/>
  <c r="AO502" i="9" a="1"/>
  <c r="AO502" i="9" s="1"/>
  <c r="AO503" i="9" a="1"/>
  <c r="AO503" i="9" s="1"/>
  <c r="AO504" i="9" a="1"/>
  <c r="AO504" i="9" s="1"/>
  <c r="AO505" i="9" a="1"/>
  <c r="AO505" i="9" s="1"/>
  <c r="AO506" i="9" a="1"/>
  <c r="AO506" i="9" s="1"/>
  <c r="AO507" i="9" a="1"/>
  <c r="AO507" i="9" s="1"/>
  <c r="AO508" i="9" a="1"/>
  <c r="AO508" i="9" s="1"/>
  <c r="AO509" i="9" a="1"/>
  <c r="AO509" i="9" s="1"/>
  <c r="AO510" i="9" a="1"/>
  <c r="AO510" i="9" s="1"/>
  <c r="AO511" i="9" a="1"/>
  <c r="AO511" i="9" s="1"/>
  <c r="AO512" i="9" a="1"/>
  <c r="AO512" i="9" s="1"/>
  <c r="AO513" i="9" a="1"/>
  <c r="AO513" i="9" s="1"/>
  <c r="AO514" i="9" a="1"/>
  <c r="AO514" i="9" s="1"/>
  <c r="AO515" i="9" a="1"/>
  <c r="AO515" i="9" s="1"/>
  <c r="AO516" i="9" a="1"/>
  <c r="AO516" i="9" s="1"/>
  <c r="AO517" i="9" a="1"/>
  <c r="AO517" i="9" s="1"/>
  <c r="AO518" i="9" a="1"/>
  <c r="AO518" i="9" s="1"/>
  <c r="AO519" i="9" a="1"/>
  <c r="AO519" i="9" s="1"/>
  <c r="AO520" i="9" a="1"/>
  <c r="AO520" i="9" s="1"/>
  <c r="AO521" i="9" a="1"/>
  <c r="AO521" i="9" s="1"/>
  <c r="AO522" i="9" a="1"/>
  <c r="AO522" i="9" s="1"/>
  <c r="AO523" i="9" a="1"/>
  <c r="AO523" i="9" s="1"/>
  <c r="AO524" i="9" a="1"/>
  <c r="AO524" i="9" s="1"/>
  <c r="AO525" i="9" a="1"/>
  <c r="AO525" i="9" s="1"/>
  <c r="AO526" i="9" a="1"/>
  <c r="AO526" i="9" s="1"/>
  <c r="AO527" i="9" a="1"/>
  <c r="AO527" i="9" s="1"/>
  <c r="AO528" i="9" a="1"/>
  <c r="AO528" i="9" s="1"/>
  <c r="AO529" i="9" a="1"/>
  <c r="AO529" i="9" s="1"/>
  <c r="AO530" i="9" a="1"/>
  <c r="AO530" i="9" s="1"/>
  <c r="AO531" i="9" a="1"/>
  <c r="AO531" i="9" s="1"/>
  <c r="AO532" i="9" a="1"/>
  <c r="AO532" i="9" s="1"/>
  <c r="AO533" i="9" a="1"/>
  <c r="AO533" i="9" s="1"/>
  <c r="AO534" i="9" a="1"/>
  <c r="AO534" i="9" s="1"/>
  <c r="AO535" i="9" a="1"/>
  <c r="AO535" i="9" s="1"/>
  <c r="AO536" i="9" a="1"/>
  <c r="AO536" i="9" s="1"/>
  <c r="AO537" i="9" a="1"/>
  <c r="AO537" i="9" s="1"/>
  <c r="AO538" i="9" a="1"/>
  <c r="AO538" i="9" s="1"/>
  <c r="AO539" i="9" a="1"/>
  <c r="AO539" i="9" s="1"/>
  <c r="AO540" i="9" a="1"/>
  <c r="AO540" i="9" s="1"/>
  <c r="AO541" i="9" a="1"/>
  <c r="AO541" i="9" s="1"/>
  <c r="AO542" i="9" a="1"/>
  <c r="AO542" i="9" s="1"/>
  <c r="AO543" i="9" a="1"/>
  <c r="AO543" i="9" s="1"/>
  <c r="AO544" i="9" a="1"/>
  <c r="AO544" i="9" s="1"/>
  <c r="AO545" i="9" a="1"/>
  <c r="AO545" i="9" s="1"/>
  <c r="AO546" i="9" a="1"/>
  <c r="AO546" i="9" s="1"/>
  <c r="AO547" i="9" a="1"/>
  <c r="AO547" i="9" s="1"/>
  <c r="AO548" i="9" a="1"/>
  <c r="AO548" i="9" s="1"/>
  <c r="AO549" i="9" a="1"/>
  <c r="AO549" i="9" s="1"/>
  <c r="AO550" i="9" a="1"/>
  <c r="AO550" i="9" s="1"/>
  <c r="AO551" i="9" a="1"/>
  <c r="AO551" i="9" s="1"/>
  <c r="AO552" i="9" a="1"/>
  <c r="AO552" i="9" s="1"/>
  <c r="AO553" i="9" a="1"/>
  <c r="AO553" i="9" s="1"/>
  <c r="AO554" i="9" a="1"/>
  <c r="AO554" i="9" s="1"/>
  <c r="AO555" i="9" a="1"/>
  <c r="AO555" i="9" s="1"/>
  <c r="AE545" i="9"/>
  <c r="AE546" i="9"/>
  <c r="AE547" i="9"/>
  <c r="AE548" i="9"/>
  <c r="AE549" i="9"/>
  <c r="AE550" i="9"/>
  <c r="AE551" i="9"/>
  <c r="AE552" i="9"/>
  <c r="AE553" i="9"/>
  <c r="AE554" i="9"/>
  <c r="AE555" i="9"/>
  <c r="AF545" i="9"/>
  <c r="AF546" i="9"/>
  <c r="AF547" i="9"/>
  <c r="AF548" i="9"/>
  <c r="AF549" i="9"/>
  <c r="AF550" i="9"/>
  <c r="AF551" i="9"/>
  <c r="AF552" i="9"/>
  <c r="AF553" i="9"/>
  <c r="AF554" i="9"/>
  <c r="AF555" i="9"/>
  <c r="AG545" i="9"/>
  <c r="AG546" i="9"/>
  <c r="AG547" i="9"/>
  <c r="AG548" i="9"/>
  <c r="AG549" i="9"/>
  <c r="AG550" i="9"/>
  <c r="AG551" i="9"/>
  <c r="AG552" i="9"/>
  <c r="AG553" i="9"/>
  <c r="AG554" i="9"/>
  <c r="AG555" i="9"/>
  <c r="AH545" i="9"/>
  <c r="AH546" i="9"/>
  <c r="AH547" i="9"/>
  <c r="AH548" i="9"/>
  <c r="AH549" i="9"/>
  <c r="AH550" i="9"/>
  <c r="AH551" i="9"/>
  <c r="AH552" i="9"/>
  <c r="AH553" i="9"/>
  <c r="AH554" i="9"/>
  <c r="AH555" i="9"/>
  <c r="AI545" i="9"/>
  <c r="AI546" i="9"/>
  <c r="AI547" i="9"/>
  <c r="AI548" i="9"/>
  <c r="AI549" i="9"/>
  <c r="AI550" i="9"/>
  <c r="AI551" i="9"/>
  <c r="AI552" i="9"/>
  <c r="AI553" i="9"/>
  <c r="AI554" i="9"/>
  <c r="AI555" i="9"/>
  <c r="AJ545" i="9"/>
  <c r="AJ546" i="9"/>
  <c r="AJ547" i="9"/>
  <c r="AJ548" i="9"/>
  <c r="AJ549" i="9"/>
  <c r="AJ550" i="9"/>
  <c r="AJ551" i="9"/>
  <c r="AJ552" i="9"/>
  <c r="AJ553" i="9"/>
  <c r="AJ554" i="9"/>
  <c r="AJ555" i="9"/>
  <c r="AK545" i="9"/>
  <c r="AK546" i="9"/>
  <c r="AK547" i="9"/>
  <c r="AK548" i="9"/>
  <c r="AK549" i="9"/>
  <c r="AK550" i="9"/>
  <c r="AK551" i="9"/>
  <c r="AK552" i="9"/>
  <c r="AK553" i="9"/>
  <c r="AK554" i="9"/>
  <c r="AK555" i="9"/>
  <c r="AL545" i="9"/>
  <c r="AM545" i="9" s="1"/>
  <c r="AL546" i="9"/>
  <c r="AM546" i="9" s="1"/>
  <c r="AL547" i="9"/>
  <c r="AM547" i="9" s="1"/>
  <c r="AL548" i="9"/>
  <c r="AM548" i="9" s="1"/>
  <c r="AL549" i="9"/>
  <c r="AM549" i="9" s="1"/>
  <c r="AL550" i="9"/>
  <c r="AM550" i="9" s="1"/>
  <c r="AL551" i="9"/>
  <c r="AM551" i="9" s="1"/>
  <c r="AL552" i="9"/>
  <c r="AM552" i="9" s="1"/>
  <c r="AL553" i="9"/>
  <c r="AM553" i="9" s="1"/>
  <c r="AL554" i="9"/>
  <c r="AM554" i="9" s="1"/>
  <c r="AL555" i="9"/>
  <c r="AM555" i="9" s="1"/>
  <c r="AN545" i="9"/>
  <c r="AN546" i="9"/>
  <c r="AN547" i="9"/>
  <c r="AN548" i="9"/>
  <c r="AN549" i="9"/>
  <c r="AN550" i="9"/>
  <c r="AN551" i="9"/>
  <c r="AN552" i="9"/>
  <c r="AN553" i="9"/>
  <c r="AN554" i="9"/>
  <c r="AN555" i="9"/>
  <c r="AE544" i="9" l="1"/>
  <c r="AF544" i="9"/>
  <c r="AG544" i="9"/>
  <c r="AH544" i="9"/>
  <c r="AI544" i="9"/>
  <c r="AJ544" i="9"/>
  <c r="AK544" i="9"/>
  <c r="AL544" i="9"/>
  <c r="AM544" i="9" s="1"/>
  <c r="AN544" i="9"/>
  <c r="AI67" i="31" l="1"/>
  <c r="AI68" i="31"/>
  <c r="AI69" i="31"/>
  <c r="AI70" i="31"/>
  <c r="AI71" i="31"/>
  <c r="AH67" i="31"/>
  <c r="AH68" i="31"/>
  <c r="AH69" i="31"/>
  <c r="AH70" i="31"/>
  <c r="AH71" i="31"/>
  <c r="C60" i="33"/>
  <c r="C20" i="33"/>
  <c r="C19" i="33"/>
  <c r="L543" i="9"/>
  <c r="AE543" i="9"/>
  <c r="AF543" i="9"/>
  <c r="AG543" i="9"/>
  <c r="AH543" i="9"/>
  <c r="AI543" i="9"/>
  <c r="AJ543" i="9"/>
  <c r="AK543" i="9"/>
  <c r="AL543" i="9"/>
  <c r="AM543" i="9" s="1"/>
  <c r="AN543" i="9"/>
  <c r="AF7" i="31" l="1"/>
  <c r="AF37" i="31"/>
  <c r="AF16" i="31"/>
  <c r="AF24" i="31"/>
  <c r="AF22" i="31"/>
  <c r="AF18" i="31"/>
  <c r="AF44" i="31"/>
  <c r="AF11" i="31"/>
  <c r="AF19" i="31"/>
  <c r="AF14" i="31"/>
  <c r="AF45" i="31"/>
  <c r="AF31" i="31"/>
  <c r="AF46" i="31"/>
  <c r="AF17" i="31"/>
  <c r="AF47" i="31"/>
  <c r="AF48" i="31"/>
  <c r="AF49" i="31"/>
  <c r="AF50" i="31"/>
  <c r="AF51" i="31"/>
  <c r="AF27" i="31"/>
  <c r="AF25" i="31"/>
  <c r="AF21" i="31"/>
  <c r="AF52" i="31"/>
  <c r="AF53" i="31"/>
  <c r="AF54" i="31"/>
  <c r="AF55" i="31"/>
  <c r="AF56" i="31"/>
  <c r="AF57" i="31"/>
  <c r="AF20" i="31"/>
  <c r="AF15" i="31"/>
  <c r="AF34" i="31"/>
  <c r="AF58" i="31"/>
  <c r="AF59" i="31"/>
  <c r="AF60" i="31"/>
  <c r="AF35" i="31"/>
  <c r="AF61" i="31"/>
  <c r="AF36" i="31"/>
  <c r="AF62" i="31"/>
  <c r="AF28" i="31"/>
  <c r="AF41" i="31"/>
  <c r="AF33" i="31"/>
  <c r="AF63" i="31"/>
  <c r="AF64" i="31"/>
  <c r="AF13" i="31"/>
  <c r="AF40" i="31"/>
  <c r="AF32" i="31"/>
  <c r="AF30" i="31"/>
  <c r="AF65" i="31"/>
  <c r="AF9" i="31"/>
  <c r="AF26" i="31"/>
  <c r="AF66" i="31"/>
  <c r="AF8" i="31"/>
  <c r="AF10" i="31"/>
  <c r="AF5" i="31"/>
  <c r="AF12" i="31"/>
  <c r="AF4" i="31"/>
  <c r="AF67" i="31"/>
  <c r="AF29" i="31"/>
  <c r="AF68" i="31"/>
  <c r="AF3" i="31"/>
  <c r="AF6" i="31"/>
  <c r="AF69" i="31"/>
  <c r="AF70" i="31"/>
  <c r="AF23" i="31"/>
  <c r="AF71" i="31"/>
  <c r="AF39" i="31"/>
  <c r="AF38" i="31"/>
  <c r="AF43" i="31"/>
  <c r="AF42" i="31"/>
  <c r="AG1" i="31"/>
  <c r="AF1" i="31" l="1"/>
  <c r="C15" i="33"/>
  <c r="AH4" i="31"/>
  <c r="AI4" i="31"/>
  <c r="AH5" i="31"/>
  <c r="AI5" i="31"/>
  <c r="AH6" i="31"/>
  <c r="AI6" i="31"/>
  <c r="AH7" i="31"/>
  <c r="AI7" i="31"/>
  <c r="AH8" i="31"/>
  <c r="AI8" i="31"/>
  <c r="AH9" i="31"/>
  <c r="AI9" i="31"/>
  <c r="AH10" i="31"/>
  <c r="AI10" i="31"/>
  <c r="AH11" i="31"/>
  <c r="AI11" i="31"/>
  <c r="AH12" i="31"/>
  <c r="AI12" i="31"/>
  <c r="AH13" i="31"/>
  <c r="AI13" i="31"/>
  <c r="AH14" i="31"/>
  <c r="AI14" i="31"/>
  <c r="AH15" i="31"/>
  <c r="AI15" i="31"/>
  <c r="AH16" i="31"/>
  <c r="AI16" i="31"/>
  <c r="AH17" i="31"/>
  <c r="AI17" i="31"/>
  <c r="AH18" i="31"/>
  <c r="AI18" i="31"/>
  <c r="AH19" i="31"/>
  <c r="AI19" i="31"/>
  <c r="AH20" i="31"/>
  <c r="AI20" i="31"/>
  <c r="AH21" i="31"/>
  <c r="AI21" i="31"/>
  <c r="AH22" i="31"/>
  <c r="AI22" i="31"/>
  <c r="AH23" i="31"/>
  <c r="AI23" i="31"/>
  <c r="AH24" i="31"/>
  <c r="AI24" i="31"/>
  <c r="AH25" i="31"/>
  <c r="AI25" i="31"/>
  <c r="AH26" i="31"/>
  <c r="AI26" i="31"/>
  <c r="AH27" i="31"/>
  <c r="AI27" i="31"/>
  <c r="AH28" i="31"/>
  <c r="AI28" i="31"/>
  <c r="AH29" i="31"/>
  <c r="AI29" i="31"/>
  <c r="AH30" i="31"/>
  <c r="AI30" i="31"/>
  <c r="AH31" i="31"/>
  <c r="AI31" i="31"/>
  <c r="AH32" i="31"/>
  <c r="AI32" i="31"/>
  <c r="AH33" i="31"/>
  <c r="AI33" i="31"/>
  <c r="AH34" i="31"/>
  <c r="AI34" i="31"/>
  <c r="AH35" i="31"/>
  <c r="AI35" i="31"/>
  <c r="AH36" i="31"/>
  <c r="AI36" i="31"/>
  <c r="AH37" i="31"/>
  <c r="AI37" i="31"/>
  <c r="AH38" i="31"/>
  <c r="AI38" i="31"/>
  <c r="AH39" i="31"/>
  <c r="AI39" i="31"/>
  <c r="AH40" i="31"/>
  <c r="AI40" i="31"/>
  <c r="AH41" i="31"/>
  <c r="AI41" i="31"/>
  <c r="AH42" i="31"/>
  <c r="AI42" i="31"/>
  <c r="AH43" i="31"/>
  <c r="AI43" i="31"/>
  <c r="AH44" i="31"/>
  <c r="AI44" i="31"/>
  <c r="AH45" i="31"/>
  <c r="AI45" i="31"/>
  <c r="AH46" i="31"/>
  <c r="AI46" i="31"/>
  <c r="AH47" i="31"/>
  <c r="AI47" i="31"/>
  <c r="AH48" i="31"/>
  <c r="AI48" i="31"/>
  <c r="AH49" i="31"/>
  <c r="AI49" i="31"/>
  <c r="AH50" i="31"/>
  <c r="AI50" i="31"/>
  <c r="AH51" i="31"/>
  <c r="AI51" i="31"/>
  <c r="AH52" i="31"/>
  <c r="AI52" i="31"/>
  <c r="AH53" i="31"/>
  <c r="AI53" i="31"/>
  <c r="AH54" i="31"/>
  <c r="AI54" i="31"/>
  <c r="AH55" i="31"/>
  <c r="AI55" i="31"/>
  <c r="AH56" i="31"/>
  <c r="AI56" i="31"/>
  <c r="AH57" i="31"/>
  <c r="AI57" i="31"/>
  <c r="AH58" i="31"/>
  <c r="AI58" i="31"/>
  <c r="AH59" i="31"/>
  <c r="AI59" i="31"/>
  <c r="AH60" i="31"/>
  <c r="AI60" i="31"/>
  <c r="AH61" i="31"/>
  <c r="AI61" i="31"/>
  <c r="AH62" i="31"/>
  <c r="AI62" i="31"/>
  <c r="AH63" i="31"/>
  <c r="AI63" i="31"/>
  <c r="AH64" i="31"/>
  <c r="AI64" i="31"/>
  <c r="AH65" i="31"/>
  <c r="AI65" i="31"/>
  <c r="AH66" i="31"/>
  <c r="AI66" i="31"/>
  <c r="AI3" i="31"/>
  <c r="AH3" i="31"/>
  <c r="B372" i="9"/>
  <c r="B373" i="9"/>
  <c r="B371" i="9"/>
  <c r="L515" i="9" l="1"/>
  <c r="L516" i="9"/>
  <c r="L517" i="9"/>
  <c r="L518" i="9"/>
  <c r="L519" i="9"/>
  <c r="L520" i="9"/>
  <c r="L521" i="9"/>
  <c r="L522" i="9"/>
  <c r="L523" i="9"/>
  <c r="L524" i="9"/>
  <c r="L525" i="9"/>
  <c r="L526" i="9"/>
  <c r="L527" i="9"/>
  <c r="L528" i="9"/>
  <c r="L529" i="9"/>
  <c r="L530" i="9"/>
  <c r="L531" i="9"/>
  <c r="L532" i="9"/>
  <c r="L533" i="9"/>
  <c r="L534" i="9"/>
  <c r="L535" i="9"/>
  <c r="L536" i="9"/>
  <c r="L537" i="9"/>
  <c r="L538" i="9"/>
  <c r="L539" i="9"/>
  <c r="L540" i="9"/>
  <c r="L541" i="9"/>
  <c r="L542" i="9"/>
  <c r="AE540" i="9"/>
  <c r="AE541" i="9"/>
  <c r="AE542" i="9"/>
  <c r="AF540" i="9"/>
  <c r="AF541" i="9"/>
  <c r="AF542" i="9"/>
  <c r="AG540" i="9"/>
  <c r="AG541" i="9"/>
  <c r="AG542" i="9"/>
  <c r="AH540" i="9"/>
  <c r="AH541" i="9"/>
  <c r="AH542" i="9"/>
  <c r="AI540" i="9"/>
  <c r="AI541" i="9"/>
  <c r="AI542" i="9"/>
  <c r="AJ540" i="9"/>
  <c r="AJ541" i="9"/>
  <c r="AJ542" i="9"/>
  <c r="AK540" i="9"/>
  <c r="AK541" i="9"/>
  <c r="AK542" i="9"/>
  <c r="AL540" i="9"/>
  <c r="AM540" i="9" s="1"/>
  <c r="AL541" i="9"/>
  <c r="AM541" i="9" s="1"/>
  <c r="AL542" i="9"/>
  <c r="AM542" i="9" s="1"/>
  <c r="AN540" i="9"/>
  <c r="AN541" i="9"/>
  <c r="AN542" i="9"/>
  <c r="AE536" i="9"/>
  <c r="AE537" i="9"/>
  <c r="AE538" i="9"/>
  <c r="AE539" i="9"/>
  <c r="AF536" i="9"/>
  <c r="AF537" i="9"/>
  <c r="AF538" i="9"/>
  <c r="AF539" i="9"/>
  <c r="AG536" i="9"/>
  <c r="AG537" i="9"/>
  <c r="AG538" i="9"/>
  <c r="AG539" i="9"/>
  <c r="AH536" i="9"/>
  <c r="AH537" i="9"/>
  <c r="AH538" i="9"/>
  <c r="AH539" i="9"/>
  <c r="AI536" i="9"/>
  <c r="AI537" i="9"/>
  <c r="AI538" i="9"/>
  <c r="AI539" i="9"/>
  <c r="AJ536" i="9"/>
  <c r="AJ537" i="9"/>
  <c r="AJ538" i="9"/>
  <c r="AJ539" i="9"/>
  <c r="AK536" i="9"/>
  <c r="AK537" i="9"/>
  <c r="AK538" i="9"/>
  <c r="AK539" i="9"/>
  <c r="AL536" i="9"/>
  <c r="AM536" i="9" s="1"/>
  <c r="AL537" i="9"/>
  <c r="AM537" i="9" s="1"/>
  <c r="AL538" i="9"/>
  <c r="AM538" i="9" s="1"/>
  <c r="AL539" i="9"/>
  <c r="AM539" i="9" s="1"/>
  <c r="AN536" i="9"/>
  <c r="AN537" i="9"/>
  <c r="AN538" i="9"/>
  <c r="AN539" i="9"/>
  <c r="AE532" i="9"/>
  <c r="AE533" i="9"/>
  <c r="AE534" i="9"/>
  <c r="AE535" i="9"/>
  <c r="AF532" i="9"/>
  <c r="AF533" i="9"/>
  <c r="AF534" i="9"/>
  <c r="AF535" i="9"/>
  <c r="AG532" i="9"/>
  <c r="AG533" i="9"/>
  <c r="AG534" i="9"/>
  <c r="AG535" i="9"/>
  <c r="AH532" i="9"/>
  <c r="AH533" i="9"/>
  <c r="AH534" i="9"/>
  <c r="AH535" i="9"/>
  <c r="AI532" i="9"/>
  <c r="AI533" i="9"/>
  <c r="AI534" i="9"/>
  <c r="AI535" i="9"/>
  <c r="AJ532" i="9"/>
  <c r="AJ533" i="9"/>
  <c r="AJ534" i="9"/>
  <c r="AJ535" i="9"/>
  <c r="AK532" i="9"/>
  <c r="AK533" i="9"/>
  <c r="AK534" i="9"/>
  <c r="AK535" i="9"/>
  <c r="AL532" i="9"/>
  <c r="AM532" i="9" s="1"/>
  <c r="AL533" i="9"/>
  <c r="AM533" i="9" s="1"/>
  <c r="AL534" i="9"/>
  <c r="AM534" i="9" s="1"/>
  <c r="AL535" i="9"/>
  <c r="AM535" i="9" s="1"/>
  <c r="AN532" i="9"/>
  <c r="AN533" i="9"/>
  <c r="AN534" i="9"/>
  <c r="AN535" i="9"/>
  <c r="AE527" i="9" l="1"/>
  <c r="AE528" i="9"/>
  <c r="AE529" i="9"/>
  <c r="AE530" i="9"/>
  <c r="AE531" i="9"/>
  <c r="AF527" i="9"/>
  <c r="AF528" i="9"/>
  <c r="AF529" i="9"/>
  <c r="AF530" i="9"/>
  <c r="AF531" i="9"/>
  <c r="AG527" i="9"/>
  <c r="AG528" i="9"/>
  <c r="AG529" i="9"/>
  <c r="AG530" i="9"/>
  <c r="AG531" i="9"/>
  <c r="AH527" i="9"/>
  <c r="AH528" i="9"/>
  <c r="AH529" i="9"/>
  <c r="AH530" i="9"/>
  <c r="AH531" i="9"/>
  <c r="AI527" i="9"/>
  <c r="AI528" i="9"/>
  <c r="AI529" i="9"/>
  <c r="AI530" i="9"/>
  <c r="AI531" i="9"/>
  <c r="AJ527" i="9"/>
  <c r="AJ528" i="9"/>
  <c r="AJ529" i="9"/>
  <c r="AJ530" i="9"/>
  <c r="AJ531" i="9"/>
  <c r="AK527" i="9"/>
  <c r="AK528" i="9"/>
  <c r="AK529" i="9"/>
  <c r="AK530" i="9"/>
  <c r="AK531" i="9"/>
  <c r="AL527" i="9"/>
  <c r="AM527" i="9" s="1"/>
  <c r="AL528" i="9"/>
  <c r="AM528" i="9" s="1"/>
  <c r="AL529" i="9"/>
  <c r="AM529" i="9" s="1"/>
  <c r="AL530" i="9"/>
  <c r="AM530" i="9" s="1"/>
  <c r="AL531" i="9"/>
  <c r="AM531" i="9" s="1"/>
  <c r="AN527" i="9"/>
  <c r="AN528" i="9"/>
  <c r="AN529" i="9"/>
  <c r="AN530" i="9"/>
  <c r="AN531" i="9"/>
  <c r="AE520" i="9"/>
  <c r="AE521" i="9"/>
  <c r="AE522" i="9"/>
  <c r="AE523" i="9"/>
  <c r="AE524" i="9"/>
  <c r="AE525" i="9"/>
  <c r="AE526" i="9"/>
  <c r="AF520" i="9"/>
  <c r="AF521" i="9"/>
  <c r="AF522" i="9"/>
  <c r="AF523" i="9"/>
  <c r="AF524" i="9"/>
  <c r="AF525" i="9"/>
  <c r="AF526" i="9"/>
  <c r="AG520" i="9"/>
  <c r="AG521" i="9"/>
  <c r="AG522" i="9"/>
  <c r="AG523" i="9"/>
  <c r="AG524" i="9"/>
  <c r="AG525" i="9"/>
  <c r="AG526" i="9"/>
  <c r="AH520" i="9"/>
  <c r="AH521" i="9"/>
  <c r="AH522" i="9"/>
  <c r="AH523" i="9"/>
  <c r="AH524" i="9"/>
  <c r="AH525" i="9"/>
  <c r="AH526" i="9"/>
  <c r="AI520" i="9"/>
  <c r="AI521" i="9"/>
  <c r="AI522" i="9"/>
  <c r="AI523" i="9"/>
  <c r="AI524" i="9"/>
  <c r="AI525" i="9"/>
  <c r="AI526" i="9"/>
  <c r="AJ520" i="9"/>
  <c r="AJ521" i="9"/>
  <c r="AJ522" i="9"/>
  <c r="AJ523" i="9"/>
  <c r="AJ524" i="9"/>
  <c r="AJ525" i="9"/>
  <c r="AJ526" i="9"/>
  <c r="AK520" i="9"/>
  <c r="AK521" i="9"/>
  <c r="AK522" i="9"/>
  <c r="AK523" i="9"/>
  <c r="AK524" i="9"/>
  <c r="AK525" i="9"/>
  <c r="AK526" i="9"/>
  <c r="AL520" i="9"/>
  <c r="AM520" i="9" s="1"/>
  <c r="AL521" i="9"/>
  <c r="AM521" i="9" s="1"/>
  <c r="AL522" i="9"/>
  <c r="AM522" i="9" s="1"/>
  <c r="AL523" i="9"/>
  <c r="AM523" i="9" s="1"/>
  <c r="AL524" i="9"/>
  <c r="AM524" i="9" s="1"/>
  <c r="AL525" i="9"/>
  <c r="AM525" i="9" s="1"/>
  <c r="AL526" i="9"/>
  <c r="AM526" i="9" s="1"/>
  <c r="AN520" i="9"/>
  <c r="AN521" i="9"/>
  <c r="AN522" i="9"/>
  <c r="AN523" i="9"/>
  <c r="AN524" i="9"/>
  <c r="AN525" i="9"/>
  <c r="AN526" i="9"/>
  <c r="AE518" i="9"/>
  <c r="AE519" i="9"/>
  <c r="AF518" i="9"/>
  <c r="AF519" i="9"/>
  <c r="AG518" i="9"/>
  <c r="AG519" i="9"/>
  <c r="AH518" i="9"/>
  <c r="AH519" i="9"/>
  <c r="AI518" i="9"/>
  <c r="AI519" i="9"/>
  <c r="AJ518" i="9"/>
  <c r="AJ519" i="9"/>
  <c r="AK518" i="9"/>
  <c r="AK519" i="9"/>
  <c r="AL518" i="9"/>
  <c r="AM518" i="9" s="1"/>
  <c r="AL519" i="9"/>
  <c r="AM519" i="9" s="1"/>
  <c r="AN518" i="9"/>
  <c r="AN519" i="9"/>
  <c r="AE515" i="9"/>
  <c r="AE516" i="9"/>
  <c r="AE517" i="9"/>
  <c r="AF515" i="9"/>
  <c r="AF516" i="9"/>
  <c r="AF517" i="9"/>
  <c r="AG515" i="9"/>
  <c r="AG516" i="9"/>
  <c r="AG517" i="9"/>
  <c r="AH515" i="9"/>
  <c r="AH516" i="9"/>
  <c r="AH517" i="9"/>
  <c r="AI515" i="9"/>
  <c r="AI516" i="9"/>
  <c r="AI517" i="9"/>
  <c r="AJ515" i="9"/>
  <c r="AJ516" i="9"/>
  <c r="AJ517" i="9"/>
  <c r="AK515" i="9"/>
  <c r="AK516" i="9"/>
  <c r="AK517" i="9"/>
  <c r="AL515" i="9"/>
  <c r="AM515" i="9" s="1"/>
  <c r="AL516" i="9"/>
  <c r="AM516" i="9" s="1"/>
  <c r="AL517" i="9"/>
  <c r="AM517" i="9" s="1"/>
  <c r="AN515" i="9"/>
  <c r="AN516" i="9"/>
  <c r="AN517" i="9"/>
  <c r="L501" i="9"/>
  <c r="L502" i="9"/>
  <c r="L503" i="9"/>
  <c r="L504" i="9"/>
  <c r="L505" i="9"/>
  <c r="L506" i="9"/>
  <c r="L507" i="9"/>
  <c r="L508" i="9"/>
  <c r="L509" i="9"/>
  <c r="L510" i="9"/>
  <c r="L511" i="9"/>
  <c r="L512" i="9"/>
  <c r="L513" i="9"/>
  <c r="L514" i="9"/>
  <c r="AE513" i="9" l="1"/>
  <c r="AE514" i="9"/>
  <c r="AF513" i="9"/>
  <c r="AF514" i="9"/>
  <c r="AG513" i="9"/>
  <c r="AG514" i="9"/>
  <c r="AH513" i="9"/>
  <c r="AH514" i="9"/>
  <c r="AI513" i="9"/>
  <c r="AI514" i="9"/>
  <c r="AJ513" i="9"/>
  <c r="AJ514" i="9"/>
  <c r="AK513" i="9"/>
  <c r="AK514" i="9"/>
  <c r="AL513" i="9"/>
  <c r="AM513" i="9" s="1"/>
  <c r="AL514" i="9"/>
  <c r="AM514" i="9" s="1"/>
  <c r="AN513" i="9"/>
  <c r="AN514" i="9"/>
  <c r="AE508" i="9"/>
  <c r="AE509" i="9"/>
  <c r="AE510" i="9"/>
  <c r="AE511" i="9"/>
  <c r="AE512" i="9"/>
  <c r="AF508" i="9"/>
  <c r="AF509" i="9"/>
  <c r="AF510" i="9"/>
  <c r="AF511" i="9"/>
  <c r="AF512" i="9"/>
  <c r="AG508" i="9"/>
  <c r="AG509" i="9"/>
  <c r="AG510" i="9"/>
  <c r="AG511" i="9"/>
  <c r="AG512" i="9"/>
  <c r="AH508" i="9"/>
  <c r="AH509" i="9"/>
  <c r="AH510" i="9"/>
  <c r="AH511" i="9"/>
  <c r="AH512" i="9"/>
  <c r="AI508" i="9"/>
  <c r="AI509" i="9"/>
  <c r="AI510" i="9"/>
  <c r="AI511" i="9"/>
  <c r="AI512" i="9"/>
  <c r="AJ508" i="9"/>
  <c r="AJ509" i="9"/>
  <c r="AJ510" i="9"/>
  <c r="AJ511" i="9"/>
  <c r="AJ512" i="9"/>
  <c r="AK508" i="9"/>
  <c r="AK509" i="9"/>
  <c r="AK510" i="9"/>
  <c r="AK511" i="9"/>
  <c r="AK512" i="9"/>
  <c r="AL508" i="9"/>
  <c r="AM508" i="9" s="1"/>
  <c r="AL509" i="9"/>
  <c r="AM509" i="9" s="1"/>
  <c r="AL510" i="9"/>
  <c r="AM510" i="9" s="1"/>
  <c r="AL511" i="9"/>
  <c r="AM511" i="9" s="1"/>
  <c r="AL512" i="9"/>
  <c r="AM512" i="9" s="1"/>
  <c r="AN508" i="9"/>
  <c r="AN509" i="9"/>
  <c r="AN510" i="9"/>
  <c r="AN511" i="9"/>
  <c r="AN512" i="9"/>
  <c r="AE506" i="9" l="1"/>
  <c r="AE507" i="9"/>
  <c r="AF506" i="9"/>
  <c r="AF507" i="9"/>
  <c r="AG506" i="9"/>
  <c r="AG507" i="9"/>
  <c r="AH506" i="9"/>
  <c r="AH507" i="9"/>
  <c r="AI506" i="9"/>
  <c r="AI507" i="9"/>
  <c r="AJ506" i="9"/>
  <c r="AJ507" i="9"/>
  <c r="AK506" i="9"/>
  <c r="AK507" i="9"/>
  <c r="AL506" i="9"/>
  <c r="AM506" i="9" s="1"/>
  <c r="AL507" i="9"/>
  <c r="AM507" i="9" s="1"/>
  <c r="AN506" i="9"/>
  <c r="AN507" i="9"/>
  <c r="AE503" i="9"/>
  <c r="AE504" i="9"/>
  <c r="AE505" i="9"/>
  <c r="AF503" i="9"/>
  <c r="AF504" i="9"/>
  <c r="AF505" i="9"/>
  <c r="AG503" i="9"/>
  <c r="AG504" i="9"/>
  <c r="AG505" i="9"/>
  <c r="AH503" i="9"/>
  <c r="AH504" i="9"/>
  <c r="AH505" i="9"/>
  <c r="AI503" i="9"/>
  <c r="AI504" i="9"/>
  <c r="AI505" i="9"/>
  <c r="AJ503" i="9"/>
  <c r="AJ504" i="9"/>
  <c r="AJ505" i="9"/>
  <c r="AK503" i="9"/>
  <c r="AK504" i="9"/>
  <c r="AK505" i="9"/>
  <c r="AL503" i="9"/>
  <c r="AM503" i="9" s="1"/>
  <c r="AL504" i="9"/>
  <c r="AM504" i="9" s="1"/>
  <c r="AL505" i="9"/>
  <c r="AM505" i="9" s="1"/>
  <c r="AN503" i="9"/>
  <c r="AN504" i="9"/>
  <c r="AN505" i="9"/>
  <c r="AE501" i="9"/>
  <c r="AE502" i="9"/>
  <c r="AF501" i="9"/>
  <c r="AF502" i="9"/>
  <c r="AG501" i="9"/>
  <c r="AG502" i="9"/>
  <c r="AH501" i="9"/>
  <c r="AH502" i="9"/>
  <c r="AI501" i="9"/>
  <c r="AI502" i="9"/>
  <c r="AJ501" i="9"/>
  <c r="AJ502" i="9"/>
  <c r="AK501" i="9"/>
  <c r="AK502" i="9"/>
  <c r="AL501" i="9"/>
  <c r="AM501" i="9" s="1"/>
  <c r="AL502" i="9"/>
  <c r="AM502" i="9" s="1"/>
  <c r="AN501" i="9"/>
  <c r="AN502" i="9"/>
  <c r="D70" i="33" l="1"/>
  <c r="BC25" i="33" l="1"/>
  <c r="J72" i="37"/>
  <c r="L488" i="9"/>
  <c r="L489" i="9"/>
  <c r="L490" i="9"/>
  <c r="L491" i="9"/>
  <c r="L492" i="9"/>
  <c r="L493" i="9"/>
  <c r="L494" i="9"/>
  <c r="L495" i="9"/>
  <c r="L496" i="9"/>
  <c r="L497" i="9"/>
  <c r="L498" i="9"/>
  <c r="L499" i="9"/>
  <c r="L500" i="9"/>
  <c r="AE499" i="9" l="1"/>
  <c r="AE500" i="9"/>
  <c r="AF499" i="9"/>
  <c r="AF500" i="9"/>
  <c r="AG499" i="9"/>
  <c r="AG500" i="9"/>
  <c r="AH499" i="9"/>
  <c r="AH500" i="9"/>
  <c r="AI499" i="9"/>
  <c r="AI500" i="9"/>
  <c r="AJ499" i="9"/>
  <c r="AJ500" i="9"/>
  <c r="AK499" i="9"/>
  <c r="AK500" i="9"/>
  <c r="AL499" i="9"/>
  <c r="AM499" i="9" s="1"/>
  <c r="AL500" i="9"/>
  <c r="AM500" i="9" s="1"/>
  <c r="AN499" i="9"/>
  <c r="AN500" i="9"/>
  <c r="AE494" i="9"/>
  <c r="AE495" i="9"/>
  <c r="AE496" i="9"/>
  <c r="AE497" i="9"/>
  <c r="AE498" i="9"/>
  <c r="AF494" i="9"/>
  <c r="AF495" i="9"/>
  <c r="AF496" i="9"/>
  <c r="AF497" i="9"/>
  <c r="AF498" i="9"/>
  <c r="AG494" i="9"/>
  <c r="AG495" i="9"/>
  <c r="AG496" i="9"/>
  <c r="AG497" i="9"/>
  <c r="AG498" i="9"/>
  <c r="AH494" i="9"/>
  <c r="AH495" i="9"/>
  <c r="AH496" i="9"/>
  <c r="AH497" i="9"/>
  <c r="AH498" i="9"/>
  <c r="AI494" i="9"/>
  <c r="AI495" i="9"/>
  <c r="AI496" i="9"/>
  <c r="AI497" i="9"/>
  <c r="AI498" i="9"/>
  <c r="AJ494" i="9"/>
  <c r="AJ495" i="9"/>
  <c r="AJ496" i="9"/>
  <c r="AJ497" i="9"/>
  <c r="AJ498" i="9"/>
  <c r="AK494" i="9"/>
  <c r="AK495" i="9"/>
  <c r="AK496" i="9"/>
  <c r="AK497" i="9"/>
  <c r="AK498" i="9"/>
  <c r="AL494" i="9"/>
  <c r="AM494" i="9" s="1"/>
  <c r="AL495" i="9"/>
  <c r="AM495" i="9" s="1"/>
  <c r="AL496" i="9"/>
  <c r="AM496" i="9" s="1"/>
  <c r="AL497" i="9"/>
  <c r="AM497" i="9" s="1"/>
  <c r="AL498" i="9"/>
  <c r="AM498" i="9" s="1"/>
  <c r="AN494" i="9"/>
  <c r="AN495" i="9"/>
  <c r="AN496" i="9"/>
  <c r="AN497" i="9"/>
  <c r="AN498" i="9"/>
  <c r="AE489" i="9"/>
  <c r="AE490" i="9"/>
  <c r="AE491" i="9"/>
  <c r="AE492" i="9"/>
  <c r="AE493" i="9"/>
  <c r="AF489" i="9"/>
  <c r="AF490" i="9"/>
  <c r="AF491" i="9"/>
  <c r="AF492" i="9"/>
  <c r="AF493" i="9"/>
  <c r="AG489" i="9"/>
  <c r="AG490" i="9"/>
  <c r="AG491" i="9"/>
  <c r="AG492" i="9"/>
  <c r="AG493" i="9"/>
  <c r="AH489" i="9"/>
  <c r="AH490" i="9"/>
  <c r="AH491" i="9"/>
  <c r="AH492" i="9"/>
  <c r="AH493" i="9"/>
  <c r="AI489" i="9"/>
  <c r="AI490" i="9"/>
  <c r="AI491" i="9"/>
  <c r="AI492" i="9"/>
  <c r="AI493" i="9"/>
  <c r="AJ489" i="9"/>
  <c r="AJ490" i="9"/>
  <c r="AJ491" i="9"/>
  <c r="AJ492" i="9"/>
  <c r="AJ493" i="9"/>
  <c r="AK489" i="9"/>
  <c r="AK490" i="9"/>
  <c r="AK491" i="9"/>
  <c r="AK492" i="9"/>
  <c r="AK493" i="9"/>
  <c r="AL489" i="9"/>
  <c r="AM489" i="9" s="1"/>
  <c r="AL490" i="9"/>
  <c r="AM490" i="9" s="1"/>
  <c r="AL491" i="9"/>
  <c r="AM491" i="9" s="1"/>
  <c r="AL492" i="9"/>
  <c r="AM492" i="9" s="1"/>
  <c r="AL493" i="9"/>
  <c r="AM493" i="9" s="1"/>
  <c r="AN489" i="9"/>
  <c r="AN490" i="9"/>
  <c r="AN491" i="9"/>
  <c r="AN492" i="9"/>
  <c r="AN493" i="9"/>
  <c r="AE488" i="9" l="1"/>
  <c r="AF488" i="9"/>
  <c r="AG488" i="9"/>
  <c r="AH488" i="9"/>
  <c r="AI488" i="9"/>
  <c r="AJ488" i="9"/>
  <c r="AK488" i="9"/>
  <c r="AL488" i="9"/>
  <c r="AM488" i="9" s="1"/>
  <c r="AN488" i="9"/>
  <c r="L460" i="9" l="1"/>
  <c r="L461" i="9"/>
  <c r="L462" i="9"/>
  <c r="L463" i="9"/>
  <c r="L464" i="9"/>
  <c r="L465" i="9"/>
  <c r="L466" i="9"/>
  <c r="L467" i="9"/>
  <c r="L468" i="9"/>
  <c r="L469" i="9"/>
  <c r="L470" i="9"/>
  <c r="L471" i="9"/>
  <c r="L472" i="9"/>
  <c r="L473" i="9"/>
  <c r="L474" i="9"/>
  <c r="L475" i="9"/>
  <c r="L476" i="9"/>
  <c r="L477" i="9"/>
  <c r="L478" i="9"/>
  <c r="L479" i="9"/>
  <c r="L480" i="9"/>
  <c r="L481" i="9"/>
  <c r="L482" i="9"/>
  <c r="L483" i="9"/>
  <c r="L484" i="9"/>
  <c r="L485" i="9"/>
  <c r="L486" i="9"/>
  <c r="L487" i="9"/>
  <c r="AE487" i="9" l="1"/>
  <c r="AF487" i="9"/>
  <c r="AG487" i="9"/>
  <c r="AH487" i="9"/>
  <c r="AI487" i="9"/>
  <c r="AJ487" i="9"/>
  <c r="AK487" i="9"/>
  <c r="AL487" i="9"/>
  <c r="AM487" i="9" s="1"/>
  <c r="AN487" i="9"/>
  <c r="AE480" i="9" l="1"/>
  <c r="AE481" i="9"/>
  <c r="AE482" i="9"/>
  <c r="AE483" i="9"/>
  <c r="AE484" i="9"/>
  <c r="AE485" i="9"/>
  <c r="AE486" i="9"/>
  <c r="AF480" i="9"/>
  <c r="AF481" i="9"/>
  <c r="AF482" i="9"/>
  <c r="AF483" i="9"/>
  <c r="AF484" i="9"/>
  <c r="AF485" i="9"/>
  <c r="AF486" i="9"/>
  <c r="AG480" i="9"/>
  <c r="AG481" i="9"/>
  <c r="AG482" i="9"/>
  <c r="AG483" i="9"/>
  <c r="AG484" i="9"/>
  <c r="AG485" i="9"/>
  <c r="AG486" i="9"/>
  <c r="AH480" i="9"/>
  <c r="AH481" i="9"/>
  <c r="AH482" i="9"/>
  <c r="AH483" i="9"/>
  <c r="AH484" i="9"/>
  <c r="AH485" i="9"/>
  <c r="AH486" i="9"/>
  <c r="AI480" i="9"/>
  <c r="AI481" i="9"/>
  <c r="AI482" i="9"/>
  <c r="AI483" i="9"/>
  <c r="AI484" i="9"/>
  <c r="AI485" i="9"/>
  <c r="AI486" i="9"/>
  <c r="AJ480" i="9"/>
  <c r="AJ481" i="9"/>
  <c r="AJ482" i="9"/>
  <c r="AJ483" i="9"/>
  <c r="AJ484" i="9"/>
  <c r="AJ485" i="9"/>
  <c r="AJ486" i="9"/>
  <c r="AK480" i="9"/>
  <c r="AK481" i="9"/>
  <c r="AK482" i="9"/>
  <c r="AK483" i="9"/>
  <c r="AK484" i="9"/>
  <c r="AK485" i="9"/>
  <c r="AK486" i="9"/>
  <c r="AL480" i="9"/>
  <c r="AM480" i="9" s="1"/>
  <c r="AL481" i="9"/>
  <c r="AM481" i="9" s="1"/>
  <c r="AL482" i="9"/>
  <c r="AM482" i="9" s="1"/>
  <c r="AL483" i="9"/>
  <c r="AM483" i="9" s="1"/>
  <c r="AL484" i="9"/>
  <c r="AM484" i="9" s="1"/>
  <c r="AL485" i="9"/>
  <c r="AM485" i="9" s="1"/>
  <c r="AL486" i="9"/>
  <c r="AM486" i="9" s="1"/>
  <c r="AN480" i="9"/>
  <c r="AN481" i="9"/>
  <c r="AN482" i="9"/>
  <c r="AN483" i="9"/>
  <c r="AN484" i="9"/>
  <c r="AN485" i="9"/>
  <c r="AN486" i="9"/>
  <c r="AE479" i="9" l="1"/>
  <c r="AF479" i="9"/>
  <c r="AG479" i="9"/>
  <c r="AH479" i="9"/>
  <c r="AI479" i="9"/>
  <c r="AJ479" i="9"/>
  <c r="AK479" i="9"/>
  <c r="AL479" i="9"/>
  <c r="AM479" i="9" s="1"/>
  <c r="AN479" i="9"/>
  <c r="AE471" i="9"/>
  <c r="AE472" i="9"/>
  <c r="AE473" i="9"/>
  <c r="AE474" i="9"/>
  <c r="AE475" i="9"/>
  <c r="AE476" i="9"/>
  <c r="AE477" i="9"/>
  <c r="AE478" i="9"/>
  <c r="AF471" i="9"/>
  <c r="AF472" i="9"/>
  <c r="AF473" i="9"/>
  <c r="AF474" i="9"/>
  <c r="AF475" i="9"/>
  <c r="AF476" i="9"/>
  <c r="AF477" i="9"/>
  <c r="AF478" i="9"/>
  <c r="AG471" i="9"/>
  <c r="AG472" i="9"/>
  <c r="AG473" i="9"/>
  <c r="AG474" i="9"/>
  <c r="AG475" i="9"/>
  <c r="AG476" i="9"/>
  <c r="AG477" i="9"/>
  <c r="AG478" i="9"/>
  <c r="AH471" i="9"/>
  <c r="AH472" i="9"/>
  <c r="AH473" i="9"/>
  <c r="AH474" i="9"/>
  <c r="AH475" i="9"/>
  <c r="AH476" i="9"/>
  <c r="AH477" i="9"/>
  <c r="AH478" i="9"/>
  <c r="AI471" i="9"/>
  <c r="AI472" i="9"/>
  <c r="AI473" i="9"/>
  <c r="AI474" i="9"/>
  <c r="AI475" i="9"/>
  <c r="AI476" i="9"/>
  <c r="AI477" i="9"/>
  <c r="AI478" i="9"/>
  <c r="AJ471" i="9"/>
  <c r="AJ472" i="9"/>
  <c r="AJ473" i="9"/>
  <c r="AJ474" i="9"/>
  <c r="AJ475" i="9"/>
  <c r="AJ476" i="9"/>
  <c r="AJ477" i="9"/>
  <c r="AJ478" i="9"/>
  <c r="AK471" i="9"/>
  <c r="AK472" i="9"/>
  <c r="AK473" i="9"/>
  <c r="AK474" i="9"/>
  <c r="AK475" i="9"/>
  <c r="AK476" i="9"/>
  <c r="AK477" i="9"/>
  <c r="AK478" i="9"/>
  <c r="AL471" i="9"/>
  <c r="AM471" i="9" s="1"/>
  <c r="AL472" i="9"/>
  <c r="AM472" i="9" s="1"/>
  <c r="AL473" i="9"/>
  <c r="AM473" i="9" s="1"/>
  <c r="AL474" i="9"/>
  <c r="AM474" i="9" s="1"/>
  <c r="AL475" i="9"/>
  <c r="AM475" i="9" s="1"/>
  <c r="AL476" i="9"/>
  <c r="AM476" i="9" s="1"/>
  <c r="AL477" i="9"/>
  <c r="AM477" i="9" s="1"/>
  <c r="AL478" i="9"/>
  <c r="AM478" i="9" s="1"/>
  <c r="AN471" i="9"/>
  <c r="AN472" i="9"/>
  <c r="AN473" i="9"/>
  <c r="AN474" i="9"/>
  <c r="AN475" i="9"/>
  <c r="AN476" i="9"/>
  <c r="AN477" i="9"/>
  <c r="AN478" i="9"/>
  <c r="C7" i="33" l="1"/>
  <c r="G86" i="31"/>
  <c r="C87" i="31"/>
  <c r="C93" i="31"/>
  <c r="C88" i="31"/>
  <c r="L458" i="9"/>
  <c r="L459" i="9"/>
  <c r="C91" i="31" l="1"/>
  <c r="E92" i="31" s="1"/>
  <c r="AZ1" i="33"/>
  <c r="BA1" i="33"/>
  <c r="BB1" i="33"/>
  <c r="BC1" i="33"/>
  <c r="BD1" i="33"/>
  <c r="BE1" i="33"/>
  <c r="BF1" i="33"/>
  <c r="BG1" i="33"/>
  <c r="BH1" i="33"/>
  <c r="BI1" i="33"/>
  <c r="BJ1" i="33"/>
  <c r="BK1" i="33"/>
  <c r="BL1" i="33"/>
  <c r="BM1" i="33"/>
  <c r="BN1" i="33"/>
  <c r="AJ1" i="33"/>
  <c r="AK1" i="33"/>
  <c r="AL1" i="33"/>
  <c r="AM1" i="33"/>
  <c r="AN1" i="33"/>
  <c r="AO1" i="33"/>
  <c r="AP1" i="33"/>
  <c r="AQ1" i="33"/>
  <c r="AR1" i="33"/>
  <c r="AS1" i="33"/>
  <c r="AT1" i="33"/>
  <c r="AU1" i="33"/>
  <c r="AV1" i="33"/>
  <c r="AW1" i="33"/>
  <c r="AX1" i="33"/>
  <c r="Y1" i="33"/>
  <c r="Z1" i="33"/>
  <c r="AA1" i="33"/>
  <c r="AB1" i="33"/>
  <c r="AC1" i="33"/>
  <c r="AD1" i="33"/>
  <c r="AE1" i="33"/>
  <c r="AF1" i="33"/>
  <c r="AG1" i="33"/>
  <c r="AH1" i="33"/>
  <c r="T1" i="33"/>
  <c r="U1" i="33"/>
  <c r="V1" i="33"/>
  <c r="W1" i="33"/>
  <c r="X1" i="33"/>
  <c r="E1" i="33"/>
  <c r="F1" i="33"/>
  <c r="G1" i="33"/>
  <c r="H1" i="33"/>
  <c r="I1" i="33"/>
  <c r="J1" i="33"/>
  <c r="K1" i="33"/>
  <c r="L1" i="33"/>
  <c r="M1" i="33"/>
  <c r="N1" i="33"/>
  <c r="O1" i="33"/>
  <c r="P1" i="33"/>
  <c r="Q1" i="33"/>
  <c r="R1" i="33"/>
  <c r="D1" i="33"/>
  <c r="S5" i="35" l="1"/>
  <c r="S8" i="35"/>
  <c r="S12" i="35"/>
  <c r="S15" i="35" l="1"/>
  <c r="C63" i="33" l="1"/>
  <c r="B360" i="9" l="1"/>
  <c r="B361" i="9"/>
  <c r="B362" i="9"/>
  <c r="B363" i="9"/>
  <c r="B364" i="9"/>
  <c r="B365" i="9"/>
  <c r="B359" i="9"/>
  <c r="B358" i="9"/>
  <c r="AE469" i="9"/>
  <c r="AE470" i="9"/>
  <c r="AF469" i="9"/>
  <c r="AF470" i="9"/>
  <c r="AG469" i="9"/>
  <c r="AG470" i="9"/>
  <c r="AH469" i="9"/>
  <c r="AH470" i="9"/>
  <c r="AI469" i="9"/>
  <c r="AI470" i="9"/>
  <c r="AJ469" i="9"/>
  <c r="AJ470" i="9"/>
  <c r="AK469" i="9"/>
  <c r="AK470" i="9"/>
  <c r="AL469" i="9"/>
  <c r="AM469" i="9" s="1"/>
  <c r="AL470" i="9"/>
  <c r="AM470" i="9" s="1"/>
  <c r="AN469" i="9"/>
  <c r="AN470" i="9"/>
  <c r="AE466" i="9"/>
  <c r="AE467" i="9"/>
  <c r="AE468" i="9"/>
  <c r="AF466" i="9"/>
  <c r="AF467" i="9"/>
  <c r="AF468" i="9"/>
  <c r="AG466" i="9"/>
  <c r="AG467" i="9"/>
  <c r="AG468" i="9"/>
  <c r="AH466" i="9"/>
  <c r="AH467" i="9"/>
  <c r="AH468" i="9"/>
  <c r="AI466" i="9"/>
  <c r="AI467" i="9"/>
  <c r="AI468" i="9"/>
  <c r="AJ466" i="9"/>
  <c r="AJ467" i="9"/>
  <c r="AJ468" i="9"/>
  <c r="AK466" i="9"/>
  <c r="AK467" i="9"/>
  <c r="AK468" i="9"/>
  <c r="AL466" i="9"/>
  <c r="AM466" i="9" s="1"/>
  <c r="AL467" i="9"/>
  <c r="AM467" i="9" s="1"/>
  <c r="AL468" i="9"/>
  <c r="AM468" i="9" s="1"/>
  <c r="AN466" i="9"/>
  <c r="AN467" i="9"/>
  <c r="AN468" i="9"/>
  <c r="AE463" i="9"/>
  <c r="AE464" i="9"/>
  <c r="AE465" i="9"/>
  <c r="AF463" i="9"/>
  <c r="AF464" i="9"/>
  <c r="AF465" i="9"/>
  <c r="AG463" i="9"/>
  <c r="AG464" i="9"/>
  <c r="AG465" i="9"/>
  <c r="AH463" i="9"/>
  <c r="AH464" i="9"/>
  <c r="AH465" i="9"/>
  <c r="AI463" i="9"/>
  <c r="AI464" i="9"/>
  <c r="AI465" i="9"/>
  <c r="AJ463" i="9"/>
  <c r="AJ464" i="9"/>
  <c r="AJ465" i="9"/>
  <c r="AK463" i="9"/>
  <c r="AK464" i="9"/>
  <c r="AK465" i="9"/>
  <c r="AL463" i="9"/>
  <c r="AM463" i="9" s="1"/>
  <c r="AL464" i="9"/>
  <c r="AM464" i="9" s="1"/>
  <c r="AL465" i="9"/>
  <c r="AM465" i="9" s="1"/>
  <c r="AN463" i="9"/>
  <c r="AN464" i="9"/>
  <c r="AN465" i="9"/>
  <c r="AE458" i="9"/>
  <c r="AE459" i="9"/>
  <c r="AE460" i="9"/>
  <c r="AE461" i="9"/>
  <c r="AE462" i="9"/>
  <c r="AF458" i="9"/>
  <c r="AF459" i="9"/>
  <c r="AF460" i="9"/>
  <c r="AF461" i="9"/>
  <c r="AF462" i="9"/>
  <c r="AG458" i="9"/>
  <c r="AG459" i="9"/>
  <c r="AG460" i="9"/>
  <c r="AG461" i="9"/>
  <c r="AG462" i="9"/>
  <c r="AH458" i="9"/>
  <c r="AH459" i="9"/>
  <c r="AH460" i="9"/>
  <c r="AH461" i="9"/>
  <c r="AH462" i="9"/>
  <c r="AI458" i="9"/>
  <c r="AI459" i="9"/>
  <c r="AI460" i="9"/>
  <c r="AI461" i="9"/>
  <c r="AI462" i="9"/>
  <c r="AJ458" i="9"/>
  <c r="AJ459" i="9"/>
  <c r="AJ460" i="9"/>
  <c r="AJ461" i="9"/>
  <c r="AJ462" i="9"/>
  <c r="AK458" i="9"/>
  <c r="AK459" i="9"/>
  <c r="AK460" i="9"/>
  <c r="AK461" i="9"/>
  <c r="AK462" i="9"/>
  <c r="AL458" i="9"/>
  <c r="AM458" i="9" s="1"/>
  <c r="AL459" i="9"/>
  <c r="AM459" i="9" s="1"/>
  <c r="AL460" i="9"/>
  <c r="AM460" i="9" s="1"/>
  <c r="AL461" i="9"/>
  <c r="AM461" i="9" s="1"/>
  <c r="AL462" i="9"/>
  <c r="AM462" i="9" s="1"/>
  <c r="AN458" i="9"/>
  <c r="AN459" i="9"/>
  <c r="AN460" i="9"/>
  <c r="AN461" i="9"/>
  <c r="AN462" i="9"/>
  <c r="L434" i="9" l="1"/>
  <c r="L435" i="9"/>
  <c r="L436" i="9"/>
  <c r="L437" i="9"/>
  <c r="L438" i="9"/>
  <c r="L439" i="9"/>
  <c r="L440" i="9"/>
  <c r="L441" i="9"/>
  <c r="L442" i="9"/>
  <c r="L443" i="9"/>
  <c r="L444" i="9"/>
  <c r="L445" i="9"/>
  <c r="L446" i="9"/>
  <c r="L447" i="9"/>
  <c r="L448" i="9"/>
  <c r="L449" i="9"/>
  <c r="L450" i="9"/>
  <c r="L451" i="9"/>
  <c r="L452" i="9"/>
  <c r="L453" i="9"/>
  <c r="L454" i="9"/>
  <c r="L455" i="9"/>
  <c r="L456" i="9"/>
  <c r="L457" i="9"/>
  <c r="AE454" i="9"/>
  <c r="AE455" i="9"/>
  <c r="AE456" i="9"/>
  <c r="AE457" i="9"/>
  <c r="AF454" i="9"/>
  <c r="AF455" i="9"/>
  <c r="AF456" i="9"/>
  <c r="AF457" i="9"/>
  <c r="AG454" i="9"/>
  <c r="AG455" i="9"/>
  <c r="AG456" i="9"/>
  <c r="AG457" i="9"/>
  <c r="AH454" i="9"/>
  <c r="AH455" i="9"/>
  <c r="AH456" i="9"/>
  <c r="AH457" i="9"/>
  <c r="AI454" i="9"/>
  <c r="AI455" i="9"/>
  <c r="AI456" i="9"/>
  <c r="AI457" i="9"/>
  <c r="AJ454" i="9"/>
  <c r="AJ455" i="9"/>
  <c r="AJ456" i="9"/>
  <c r="AJ457" i="9"/>
  <c r="AK454" i="9"/>
  <c r="AK455" i="9"/>
  <c r="AK456" i="9"/>
  <c r="AK457" i="9"/>
  <c r="AL454" i="9"/>
  <c r="AM454" i="9" s="1"/>
  <c r="AL455" i="9"/>
  <c r="AM455" i="9" s="1"/>
  <c r="AL456" i="9"/>
  <c r="AM456" i="9" s="1"/>
  <c r="AL457" i="9"/>
  <c r="AM457" i="9" s="1"/>
  <c r="AN454" i="9"/>
  <c r="AN455" i="9"/>
  <c r="AN456" i="9"/>
  <c r="AN457" i="9"/>
  <c r="AE445" i="9"/>
  <c r="AE446" i="9"/>
  <c r="AE447" i="9"/>
  <c r="AE448" i="9"/>
  <c r="AE449" i="9"/>
  <c r="AE450" i="9"/>
  <c r="AE451" i="9"/>
  <c r="AE452" i="9"/>
  <c r="AE453" i="9"/>
  <c r="AF445" i="9"/>
  <c r="AF446" i="9"/>
  <c r="AF447" i="9"/>
  <c r="AF448" i="9"/>
  <c r="AF449" i="9"/>
  <c r="AF450" i="9"/>
  <c r="AF451" i="9"/>
  <c r="AF452" i="9"/>
  <c r="AF453" i="9"/>
  <c r="AG445" i="9"/>
  <c r="AG446" i="9"/>
  <c r="AG447" i="9"/>
  <c r="AG448" i="9"/>
  <c r="AG449" i="9"/>
  <c r="AG450" i="9"/>
  <c r="AG451" i="9"/>
  <c r="AG452" i="9"/>
  <c r="AG453" i="9"/>
  <c r="AH445" i="9"/>
  <c r="AH446" i="9"/>
  <c r="AH447" i="9"/>
  <c r="AH448" i="9"/>
  <c r="AH449" i="9"/>
  <c r="AH450" i="9"/>
  <c r="AH451" i="9"/>
  <c r="AH452" i="9"/>
  <c r="AH453" i="9"/>
  <c r="AI445" i="9"/>
  <c r="AI446" i="9"/>
  <c r="AI447" i="9"/>
  <c r="AI448" i="9"/>
  <c r="AI449" i="9"/>
  <c r="AI450" i="9"/>
  <c r="AI451" i="9"/>
  <c r="AI452" i="9"/>
  <c r="AI453" i="9"/>
  <c r="AJ445" i="9"/>
  <c r="AJ446" i="9"/>
  <c r="AJ447" i="9"/>
  <c r="AJ448" i="9"/>
  <c r="AJ449" i="9"/>
  <c r="AJ450" i="9"/>
  <c r="AJ451" i="9"/>
  <c r="AJ452" i="9"/>
  <c r="AJ453" i="9"/>
  <c r="AK445" i="9"/>
  <c r="AK446" i="9"/>
  <c r="AK447" i="9"/>
  <c r="AK448" i="9"/>
  <c r="AK449" i="9"/>
  <c r="AK450" i="9"/>
  <c r="AK451" i="9"/>
  <c r="AK452" i="9"/>
  <c r="AK453" i="9"/>
  <c r="AL445" i="9"/>
  <c r="AM445" i="9" s="1"/>
  <c r="AL446" i="9"/>
  <c r="AM446" i="9" s="1"/>
  <c r="AL447" i="9"/>
  <c r="AM447" i="9" s="1"/>
  <c r="AL448" i="9"/>
  <c r="AM448" i="9" s="1"/>
  <c r="AL449" i="9"/>
  <c r="AM449" i="9" s="1"/>
  <c r="AL450" i="9"/>
  <c r="AM450" i="9" s="1"/>
  <c r="AL451" i="9"/>
  <c r="AM451" i="9" s="1"/>
  <c r="AL452" i="9"/>
  <c r="AM452" i="9" s="1"/>
  <c r="AL453" i="9"/>
  <c r="AM453" i="9" s="1"/>
  <c r="AN445" i="9"/>
  <c r="AN446" i="9"/>
  <c r="AN447" i="9"/>
  <c r="AN448" i="9"/>
  <c r="AN449" i="9"/>
  <c r="AN450" i="9"/>
  <c r="AN451" i="9"/>
  <c r="AN452" i="9"/>
  <c r="AN453" i="9"/>
  <c r="AE444" i="9"/>
  <c r="AF444" i="9"/>
  <c r="AG444" i="9"/>
  <c r="AH444" i="9"/>
  <c r="AI444" i="9"/>
  <c r="AJ444" i="9"/>
  <c r="AK444" i="9"/>
  <c r="AL444" i="9"/>
  <c r="AM444" i="9" s="1"/>
  <c r="AN444" i="9"/>
  <c r="AE442" i="9"/>
  <c r="AE443" i="9"/>
  <c r="AF442" i="9"/>
  <c r="AF443" i="9"/>
  <c r="AG442" i="9"/>
  <c r="AG443" i="9"/>
  <c r="AH442" i="9"/>
  <c r="AH443" i="9"/>
  <c r="AI442" i="9"/>
  <c r="AI443" i="9"/>
  <c r="AJ442" i="9"/>
  <c r="AJ443" i="9"/>
  <c r="AK442" i="9"/>
  <c r="AK443" i="9"/>
  <c r="AL442" i="9"/>
  <c r="AM442" i="9" s="1"/>
  <c r="AL443" i="9"/>
  <c r="AM443" i="9" s="1"/>
  <c r="AN442" i="9"/>
  <c r="AN443" i="9"/>
  <c r="AE434" i="9"/>
  <c r="AE435" i="9"/>
  <c r="AE436" i="9"/>
  <c r="AE437" i="9"/>
  <c r="AE438" i="9"/>
  <c r="AE439" i="9"/>
  <c r="AE440" i="9"/>
  <c r="AE441" i="9"/>
  <c r="AF434" i="9"/>
  <c r="AF435" i="9"/>
  <c r="AF436" i="9"/>
  <c r="AF437" i="9"/>
  <c r="AF438" i="9"/>
  <c r="AF439" i="9"/>
  <c r="AF440" i="9"/>
  <c r="AF441" i="9"/>
  <c r="AG434" i="9"/>
  <c r="AG435" i="9"/>
  <c r="AG436" i="9"/>
  <c r="AG437" i="9"/>
  <c r="AG438" i="9"/>
  <c r="AG439" i="9"/>
  <c r="AG440" i="9"/>
  <c r="AG441" i="9"/>
  <c r="AH434" i="9"/>
  <c r="AH435" i="9"/>
  <c r="AH436" i="9"/>
  <c r="AH437" i="9"/>
  <c r="AH438" i="9"/>
  <c r="AH439" i="9"/>
  <c r="AH440" i="9"/>
  <c r="AH441" i="9"/>
  <c r="AI434" i="9"/>
  <c r="AI435" i="9"/>
  <c r="AI436" i="9"/>
  <c r="AI437" i="9"/>
  <c r="AI438" i="9"/>
  <c r="AI439" i="9"/>
  <c r="AI440" i="9"/>
  <c r="AI441" i="9"/>
  <c r="AJ434" i="9"/>
  <c r="AJ435" i="9"/>
  <c r="AJ436" i="9"/>
  <c r="AJ437" i="9"/>
  <c r="AJ438" i="9"/>
  <c r="AJ439" i="9"/>
  <c r="AJ440" i="9"/>
  <c r="AJ441" i="9"/>
  <c r="AK434" i="9"/>
  <c r="AK435" i="9"/>
  <c r="AK436" i="9"/>
  <c r="AK437" i="9"/>
  <c r="AK438" i="9"/>
  <c r="AK439" i="9"/>
  <c r="AK440" i="9"/>
  <c r="AK441" i="9"/>
  <c r="AL434" i="9"/>
  <c r="AM434" i="9" s="1"/>
  <c r="AL435" i="9"/>
  <c r="AM435" i="9" s="1"/>
  <c r="AL436" i="9"/>
  <c r="AM436" i="9" s="1"/>
  <c r="AL437" i="9"/>
  <c r="AM437" i="9" s="1"/>
  <c r="AL438" i="9"/>
  <c r="AM438" i="9" s="1"/>
  <c r="AL439" i="9"/>
  <c r="AM439" i="9" s="1"/>
  <c r="AL440" i="9"/>
  <c r="AM440" i="9" s="1"/>
  <c r="AL441" i="9"/>
  <c r="AM441" i="9" s="1"/>
  <c r="AN434" i="9"/>
  <c r="AN435" i="9"/>
  <c r="AN436" i="9"/>
  <c r="AN437" i="9"/>
  <c r="AN438" i="9"/>
  <c r="AN439" i="9"/>
  <c r="AN440" i="9"/>
  <c r="AN441" i="9"/>
  <c r="L430" i="9" l="1"/>
  <c r="L431" i="9"/>
  <c r="L432" i="9"/>
  <c r="L433" i="9"/>
  <c r="AE433" i="9"/>
  <c r="AF433" i="9"/>
  <c r="AG433" i="9"/>
  <c r="AH433" i="9"/>
  <c r="AI433" i="9"/>
  <c r="AJ433" i="9"/>
  <c r="AK433" i="9"/>
  <c r="AL433" i="9"/>
  <c r="AM433" i="9" s="1"/>
  <c r="AN433" i="9"/>
  <c r="AE430" i="9"/>
  <c r="AE431" i="9"/>
  <c r="AE432" i="9"/>
  <c r="AF430" i="9"/>
  <c r="AF431" i="9"/>
  <c r="AF432" i="9"/>
  <c r="AG430" i="9"/>
  <c r="AG431" i="9"/>
  <c r="AG432" i="9"/>
  <c r="AH430" i="9"/>
  <c r="AH431" i="9"/>
  <c r="AH432" i="9"/>
  <c r="AI430" i="9"/>
  <c r="AI431" i="9"/>
  <c r="AI432" i="9"/>
  <c r="AJ430" i="9"/>
  <c r="AJ431" i="9"/>
  <c r="AJ432" i="9"/>
  <c r="AK430" i="9"/>
  <c r="AK431" i="9"/>
  <c r="AK432" i="9"/>
  <c r="AL430" i="9"/>
  <c r="AM430" i="9" s="1"/>
  <c r="AL431" i="9"/>
  <c r="AM431" i="9" s="1"/>
  <c r="AL432" i="9"/>
  <c r="AM432" i="9" s="1"/>
  <c r="AN430" i="9"/>
  <c r="AN431" i="9"/>
  <c r="AN432" i="9"/>
  <c r="L424" i="9" l="1"/>
  <c r="L425" i="9"/>
  <c r="L426" i="9"/>
  <c r="L427" i="9"/>
  <c r="L428" i="9"/>
  <c r="L429" i="9"/>
  <c r="D6" i="33"/>
  <c r="AE427" i="9"/>
  <c r="AE428" i="9"/>
  <c r="AE429" i="9"/>
  <c r="AF427" i="9"/>
  <c r="AF428" i="9"/>
  <c r="AF429" i="9"/>
  <c r="AG427" i="9"/>
  <c r="AG428" i="9"/>
  <c r="AG429" i="9"/>
  <c r="AH427" i="9"/>
  <c r="AH428" i="9"/>
  <c r="AH429" i="9"/>
  <c r="AI427" i="9"/>
  <c r="AI428" i="9"/>
  <c r="AI429" i="9"/>
  <c r="AJ427" i="9"/>
  <c r="AJ428" i="9"/>
  <c r="AJ429" i="9"/>
  <c r="AK427" i="9"/>
  <c r="AK428" i="9"/>
  <c r="AK429" i="9"/>
  <c r="AL427" i="9"/>
  <c r="AM427" i="9" s="1"/>
  <c r="AL428" i="9"/>
  <c r="AM428" i="9" s="1"/>
  <c r="AL429" i="9"/>
  <c r="AM429" i="9" s="1"/>
  <c r="AN427" i="9"/>
  <c r="AN428" i="9"/>
  <c r="AN429" i="9"/>
  <c r="AE424" i="9"/>
  <c r="AE425" i="9"/>
  <c r="AE426" i="9"/>
  <c r="AF424" i="9"/>
  <c r="AF425" i="9"/>
  <c r="AF426" i="9"/>
  <c r="AG424" i="9"/>
  <c r="AG425" i="9"/>
  <c r="AG426" i="9"/>
  <c r="AH424" i="9"/>
  <c r="AH425" i="9"/>
  <c r="AH426" i="9"/>
  <c r="AI424" i="9"/>
  <c r="AI425" i="9"/>
  <c r="AI426" i="9"/>
  <c r="AJ424" i="9"/>
  <c r="AJ425" i="9"/>
  <c r="AJ426" i="9"/>
  <c r="AK424" i="9"/>
  <c r="AK425" i="9"/>
  <c r="AK426" i="9"/>
  <c r="AL424" i="9"/>
  <c r="AM424" i="9" s="1"/>
  <c r="AL425" i="9"/>
  <c r="AM425" i="9" s="1"/>
  <c r="AL426" i="9"/>
  <c r="AM426" i="9" s="1"/>
  <c r="AN424" i="9"/>
  <c r="AN425" i="9"/>
  <c r="AN426" i="9"/>
  <c r="L407" i="9" l="1"/>
  <c r="L408" i="9"/>
  <c r="L409" i="9"/>
  <c r="L410" i="9"/>
  <c r="L411" i="9"/>
  <c r="L412" i="9"/>
  <c r="L413" i="9"/>
  <c r="L414" i="9"/>
  <c r="L415" i="9"/>
  <c r="L416" i="9"/>
  <c r="L417" i="9"/>
  <c r="L418" i="9"/>
  <c r="L419" i="9"/>
  <c r="L420" i="9"/>
  <c r="L421" i="9"/>
  <c r="L422" i="9"/>
  <c r="L423" i="9"/>
  <c r="Y1" i="28" l="1"/>
  <c r="B420" i="9"/>
  <c r="AN420" i="9" s="1"/>
  <c r="B421" i="9"/>
  <c r="AN421" i="9" s="1"/>
  <c r="B422" i="9"/>
  <c r="AN422" i="9" s="1"/>
  <c r="B423" i="9"/>
  <c r="AN423" i="9" s="1"/>
  <c r="B419" i="9"/>
  <c r="AN419" i="9" s="1"/>
  <c r="B418" i="9"/>
  <c r="AN418" i="9" s="1"/>
  <c r="AE418" i="9"/>
  <c r="AE419" i="9"/>
  <c r="AE420" i="9"/>
  <c r="AE421" i="9"/>
  <c r="AE422" i="9"/>
  <c r="AE423" i="9"/>
  <c r="AF418" i="9"/>
  <c r="AF419" i="9"/>
  <c r="AF420" i="9"/>
  <c r="AF421" i="9"/>
  <c r="AF422" i="9"/>
  <c r="AF423" i="9"/>
  <c r="AG418" i="9"/>
  <c r="AG419" i="9"/>
  <c r="AG420" i="9"/>
  <c r="AG421" i="9"/>
  <c r="AG422" i="9"/>
  <c r="AG423" i="9"/>
  <c r="AH418" i="9"/>
  <c r="AH419" i="9"/>
  <c r="AH420" i="9"/>
  <c r="AH421" i="9"/>
  <c r="AH422" i="9"/>
  <c r="AH423" i="9"/>
  <c r="AI418" i="9"/>
  <c r="AI419" i="9"/>
  <c r="AI420" i="9"/>
  <c r="AI421" i="9"/>
  <c r="AI422" i="9"/>
  <c r="AI423" i="9"/>
  <c r="AJ418" i="9"/>
  <c r="AJ419" i="9"/>
  <c r="AJ420" i="9"/>
  <c r="AJ421" i="9"/>
  <c r="AJ422" i="9"/>
  <c r="AJ423" i="9"/>
  <c r="AK418" i="9"/>
  <c r="AK419" i="9"/>
  <c r="AK420" i="9"/>
  <c r="AK421" i="9"/>
  <c r="AK422" i="9"/>
  <c r="AK423" i="9"/>
  <c r="AL418" i="9"/>
  <c r="AM418" i="9" s="1"/>
  <c r="AL419" i="9"/>
  <c r="AM419" i="9" s="1"/>
  <c r="AL420" i="9"/>
  <c r="AM420" i="9" s="1"/>
  <c r="AL421" i="9"/>
  <c r="AM421" i="9" s="1"/>
  <c r="AL422" i="9"/>
  <c r="AM422" i="9" s="1"/>
  <c r="AL423" i="9"/>
  <c r="AM423" i="9" s="1"/>
  <c r="F2" i="28" a="1"/>
  <c r="F2" i="28" l="1"/>
  <c r="AE411" i="9"/>
  <c r="AE412" i="9"/>
  <c r="AE413" i="9"/>
  <c r="AE414" i="9"/>
  <c r="AE415" i="9"/>
  <c r="AE416" i="9"/>
  <c r="AE417" i="9"/>
  <c r="AF411" i="9"/>
  <c r="AF412" i="9"/>
  <c r="AF413" i="9"/>
  <c r="AF414" i="9"/>
  <c r="AF415" i="9"/>
  <c r="AF416" i="9"/>
  <c r="AF417" i="9"/>
  <c r="AG411" i="9"/>
  <c r="AG412" i="9"/>
  <c r="AG413" i="9"/>
  <c r="AG414" i="9"/>
  <c r="AG415" i="9"/>
  <c r="AG416" i="9"/>
  <c r="AG417" i="9"/>
  <c r="AH411" i="9"/>
  <c r="AH412" i="9"/>
  <c r="AH413" i="9"/>
  <c r="AH414" i="9"/>
  <c r="AH415" i="9"/>
  <c r="AH416" i="9"/>
  <c r="AH417" i="9"/>
  <c r="AI411" i="9"/>
  <c r="AI412" i="9"/>
  <c r="AI413" i="9"/>
  <c r="AI414" i="9"/>
  <c r="AI415" i="9"/>
  <c r="AI416" i="9"/>
  <c r="AI417" i="9"/>
  <c r="AJ411" i="9"/>
  <c r="AJ412" i="9"/>
  <c r="AJ413" i="9"/>
  <c r="AJ414" i="9"/>
  <c r="AJ415" i="9"/>
  <c r="AJ416" i="9"/>
  <c r="AJ417" i="9"/>
  <c r="AK411" i="9"/>
  <c r="AK412" i="9"/>
  <c r="AK413" i="9"/>
  <c r="AK414" i="9"/>
  <c r="AK415" i="9"/>
  <c r="AK416" i="9"/>
  <c r="AK417" i="9"/>
  <c r="AL411" i="9"/>
  <c r="AM411" i="9" s="1"/>
  <c r="AL412" i="9"/>
  <c r="AM412" i="9" s="1"/>
  <c r="AL413" i="9"/>
  <c r="AM413" i="9" s="1"/>
  <c r="AL414" i="9"/>
  <c r="AM414" i="9" s="1"/>
  <c r="AL415" i="9"/>
  <c r="AM415" i="9" s="1"/>
  <c r="AL416" i="9"/>
  <c r="AM416" i="9" s="1"/>
  <c r="AL417" i="9"/>
  <c r="AM417" i="9" s="1"/>
  <c r="AN411" i="9"/>
  <c r="AN412" i="9"/>
  <c r="AN413" i="9"/>
  <c r="AN414" i="9"/>
  <c r="AN415" i="9"/>
  <c r="AN416" i="9"/>
  <c r="AN417" i="9"/>
  <c r="AE410" i="9"/>
  <c r="AF410" i="9"/>
  <c r="AG410" i="9"/>
  <c r="AH410" i="9"/>
  <c r="AI410" i="9"/>
  <c r="AJ410" i="9"/>
  <c r="AK410" i="9"/>
  <c r="AL410" i="9"/>
  <c r="AM410" i="9" s="1"/>
  <c r="AN410" i="9"/>
  <c r="AE409" i="9"/>
  <c r="AF409" i="9"/>
  <c r="AG409" i="9"/>
  <c r="AH409" i="9"/>
  <c r="AI409" i="9"/>
  <c r="AJ409" i="9"/>
  <c r="AK409" i="9"/>
  <c r="AL409" i="9"/>
  <c r="AM409" i="9" s="1"/>
  <c r="AN409" i="9"/>
  <c r="D32" i="28" a="1"/>
  <c r="R32" i="28" a="1"/>
  <c r="J4" i="28" a="1"/>
  <c r="O4" i="28" a="1"/>
  <c r="B6" i="28" a="1"/>
  <c r="O1" i="28" a="1"/>
  <c r="C1" i="28" a="1"/>
  <c r="M4" i="28" a="1"/>
  <c r="M2" i="28" a="1"/>
  <c r="H33" i="28" a="1"/>
  <c r="R2" i="28" a="1"/>
  <c r="R3" i="28" a="1"/>
  <c r="O2" i="28" a="1"/>
  <c r="C4" i="28" a="1"/>
  <c r="C2" i="28" a="1"/>
  <c r="M4" i="28" l="1"/>
  <c r="M2" i="28"/>
  <c r="O4" i="28"/>
  <c r="F4" i="28" s="1"/>
  <c r="C4" i="28"/>
  <c r="J4" i="28"/>
  <c r="O1" i="28"/>
  <c r="O2" i="28"/>
  <c r="R3" i="28"/>
  <c r="C2" i="28"/>
  <c r="R2" i="28"/>
  <c r="C1" i="28"/>
  <c r="B6" i="28"/>
  <c r="D32" i="28"/>
  <c r="H33" i="28"/>
  <c r="R32" i="28"/>
  <c r="A1" i="38"/>
  <c r="E2" i="38"/>
  <c r="M32" i="28" a="1"/>
  <c r="M32" i="28" l="1"/>
  <c r="F3" i="28"/>
  <c r="F1" i="28"/>
  <c r="L374" i="9"/>
  <c r="L375" i="9"/>
  <c r="L376" i="9"/>
  <c r="L377" i="9"/>
  <c r="L378" i="9"/>
  <c r="L379" i="9"/>
  <c r="L380" i="9"/>
  <c r="L381" i="9"/>
  <c r="L382" i="9"/>
  <c r="L383" i="9"/>
  <c r="L384" i="9"/>
  <c r="L385" i="9"/>
  <c r="L386" i="9"/>
  <c r="L387" i="9"/>
  <c r="L388" i="9"/>
  <c r="L389" i="9"/>
  <c r="L390" i="9"/>
  <c r="L391" i="9"/>
  <c r="L392" i="9"/>
  <c r="L393" i="9"/>
  <c r="L394" i="9"/>
  <c r="L395" i="9"/>
  <c r="L396" i="9"/>
  <c r="L397" i="9"/>
  <c r="L398" i="9"/>
  <c r="L399" i="9"/>
  <c r="L400" i="9"/>
  <c r="L401" i="9"/>
  <c r="L402" i="9"/>
  <c r="L403" i="9"/>
  <c r="L404" i="9"/>
  <c r="L405" i="9"/>
  <c r="L406" i="9"/>
  <c r="AE404" i="9"/>
  <c r="AE405" i="9"/>
  <c r="AE406" i="9"/>
  <c r="AE407" i="9"/>
  <c r="AE408" i="9"/>
  <c r="AF404" i="9"/>
  <c r="AF405" i="9"/>
  <c r="AF406" i="9"/>
  <c r="AF407" i="9"/>
  <c r="AF408" i="9"/>
  <c r="AG404" i="9"/>
  <c r="AG405" i="9"/>
  <c r="AG406" i="9"/>
  <c r="AG407" i="9"/>
  <c r="AG408" i="9"/>
  <c r="AH404" i="9"/>
  <c r="AH405" i="9"/>
  <c r="AH406" i="9"/>
  <c r="AH407" i="9"/>
  <c r="AH408" i="9"/>
  <c r="AI404" i="9"/>
  <c r="AI405" i="9"/>
  <c r="AI406" i="9"/>
  <c r="AI407" i="9"/>
  <c r="AI408" i="9"/>
  <c r="AJ404" i="9"/>
  <c r="AJ405" i="9"/>
  <c r="AJ406" i="9"/>
  <c r="AJ407" i="9"/>
  <c r="AJ408" i="9"/>
  <c r="AK404" i="9"/>
  <c r="AK405" i="9"/>
  <c r="AK406" i="9"/>
  <c r="AK407" i="9"/>
  <c r="AK408" i="9"/>
  <c r="AL404" i="9"/>
  <c r="AM404" i="9" s="1"/>
  <c r="AL405" i="9"/>
  <c r="AM405" i="9" s="1"/>
  <c r="AL406" i="9"/>
  <c r="AM406" i="9" s="1"/>
  <c r="AL407" i="9"/>
  <c r="AM407" i="9" s="1"/>
  <c r="AL408" i="9"/>
  <c r="AM408" i="9" s="1"/>
  <c r="AN404" i="9"/>
  <c r="AN405" i="9"/>
  <c r="AN406" i="9"/>
  <c r="AN407" i="9"/>
  <c r="AN408" i="9"/>
  <c r="AE403" i="9"/>
  <c r="AF403" i="9"/>
  <c r="AG403" i="9"/>
  <c r="AH403" i="9"/>
  <c r="AI403" i="9"/>
  <c r="AJ403" i="9"/>
  <c r="AK403" i="9"/>
  <c r="AL403" i="9"/>
  <c r="AM403" i="9" s="1"/>
  <c r="AN403" i="9"/>
  <c r="AE397" i="9"/>
  <c r="AE398" i="9"/>
  <c r="AE399" i="9"/>
  <c r="AE400" i="9"/>
  <c r="AE401" i="9"/>
  <c r="AE402" i="9"/>
  <c r="AF397" i="9"/>
  <c r="AF398" i="9"/>
  <c r="AF399" i="9"/>
  <c r="AF400" i="9"/>
  <c r="AF401" i="9"/>
  <c r="AF402" i="9"/>
  <c r="AG397" i="9"/>
  <c r="AG398" i="9"/>
  <c r="AG399" i="9"/>
  <c r="AG400" i="9"/>
  <c r="AG401" i="9"/>
  <c r="AG402" i="9"/>
  <c r="AH397" i="9"/>
  <c r="AH398" i="9"/>
  <c r="AH399" i="9"/>
  <c r="AH400" i="9"/>
  <c r="AH401" i="9"/>
  <c r="AH402" i="9"/>
  <c r="AI397" i="9"/>
  <c r="AI398" i="9"/>
  <c r="AI399" i="9"/>
  <c r="AI400" i="9"/>
  <c r="AI401" i="9"/>
  <c r="AI402" i="9"/>
  <c r="AJ397" i="9"/>
  <c r="AJ398" i="9"/>
  <c r="AJ399" i="9"/>
  <c r="AJ400" i="9"/>
  <c r="AJ401" i="9"/>
  <c r="AJ402" i="9"/>
  <c r="AK397" i="9"/>
  <c r="AK398" i="9"/>
  <c r="AK399" i="9"/>
  <c r="AK400" i="9"/>
  <c r="AK401" i="9"/>
  <c r="AK402" i="9"/>
  <c r="AL397" i="9"/>
  <c r="AM397" i="9" s="1"/>
  <c r="AL398" i="9"/>
  <c r="AM398" i="9" s="1"/>
  <c r="AL399" i="9"/>
  <c r="AM399" i="9" s="1"/>
  <c r="AL400" i="9"/>
  <c r="AM400" i="9" s="1"/>
  <c r="AL401" i="9"/>
  <c r="AM401" i="9" s="1"/>
  <c r="AL402" i="9"/>
  <c r="AM402" i="9" s="1"/>
  <c r="AN397" i="9"/>
  <c r="AN398" i="9"/>
  <c r="AN399" i="9"/>
  <c r="AN400" i="9"/>
  <c r="AN401" i="9"/>
  <c r="AN402" i="9"/>
  <c r="AE393" i="9"/>
  <c r="AE394" i="9"/>
  <c r="AE395" i="9"/>
  <c r="AE396" i="9"/>
  <c r="AF393" i="9"/>
  <c r="AF394" i="9"/>
  <c r="AF395" i="9"/>
  <c r="AF396" i="9"/>
  <c r="AG393" i="9"/>
  <c r="AG394" i="9"/>
  <c r="AG395" i="9"/>
  <c r="AG396" i="9"/>
  <c r="AH393" i="9"/>
  <c r="AH394" i="9"/>
  <c r="AH395" i="9"/>
  <c r="AH396" i="9"/>
  <c r="AI393" i="9"/>
  <c r="AI394" i="9"/>
  <c r="AI395" i="9"/>
  <c r="AI396" i="9"/>
  <c r="AJ393" i="9"/>
  <c r="AJ394" i="9"/>
  <c r="AJ395" i="9"/>
  <c r="AJ396" i="9"/>
  <c r="AK393" i="9"/>
  <c r="AK394" i="9"/>
  <c r="AK395" i="9"/>
  <c r="AK396" i="9"/>
  <c r="AL393" i="9"/>
  <c r="AM393" i="9" s="1"/>
  <c r="AL394" i="9"/>
  <c r="AM394" i="9" s="1"/>
  <c r="AL395" i="9"/>
  <c r="AM395" i="9" s="1"/>
  <c r="AL396" i="9"/>
  <c r="AM396" i="9" s="1"/>
  <c r="AN393" i="9"/>
  <c r="AN394" i="9"/>
  <c r="AN395" i="9"/>
  <c r="AN396" i="9"/>
  <c r="AE390" i="9" l="1"/>
  <c r="AE391" i="9"/>
  <c r="AE392" i="9"/>
  <c r="AF390" i="9"/>
  <c r="AF391" i="9"/>
  <c r="AF392" i="9"/>
  <c r="AG390" i="9"/>
  <c r="AG391" i="9"/>
  <c r="AG392" i="9"/>
  <c r="AH390" i="9"/>
  <c r="AH391" i="9"/>
  <c r="AH392" i="9"/>
  <c r="AI390" i="9"/>
  <c r="AI391" i="9"/>
  <c r="AI392" i="9"/>
  <c r="AJ390" i="9"/>
  <c r="AJ391" i="9"/>
  <c r="AJ392" i="9"/>
  <c r="AK390" i="9"/>
  <c r="AK391" i="9"/>
  <c r="AK392" i="9"/>
  <c r="AL390" i="9"/>
  <c r="AM390" i="9" s="1"/>
  <c r="AL391" i="9"/>
  <c r="AM391" i="9" s="1"/>
  <c r="AL392" i="9"/>
  <c r="AM392" i="9" s="1"/>
  <c r="AN390" i="9"/>
  <c r="AN391" i="9"/>
  <c r="AN392" i="9"/>
  <c r="AE387" i="9"/>
  <c r="AE388" i="9"/>
  <c r="AE389" i="9"/>
  <c r="AF387" i="9"/>
  <c r="AF388" i="9"/>
  <c r="AF389" i="9"/>
  <c r="AG387" i="9"/>
  <c r="AG388" i="9"/>
  <c r="AG389" i="9"/>
  <c r="AH387" i="9"/>
  <c r="AH388" i="9"/>
  <c r="AH389" i="9"/>
  <c r="AI387" i="9"/>
  <c r="AI388" i="9"/>
  <c r="AI389" i="9"/>
  <c r="AJ387" i="9"/>
  <c r="AJ388" i="9"/>
  <c r="AJ389" i="9"/>
  <c r="AK387" i="9"/>
  <c r="AK388" i="9"/>
  <c r="AK389" i="9"/>
  <c r="AL387" i="9"/>
  <c r="AM387" i="9" s="1"/>
  <c r="AL388" i="9"/>
  <c r="AM388" i="9" s="1"/>
  <c r="AL389" i="9"/>
  <c r="AM389" i="9" s="1"/>
  <c r="AN387" i="9"/>
  <c r="AN388" i="9"/>
  <c r="AN389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G374" i="9"/>
  <c r="AG375" i="9"/>
  <c r="AG376" i="9"/>
  <c r="AG377" i="9"/>
  <c r="AG378" i="9"/>
  <c r="AG379" i="9"/>
  <c r="AG380" i="9"/>
  <c r="AG381" i="9"/>
  <c r="AG382" i="9"/>
  <c r="AG383" i="9"/>
  <c r="AG384" i="9"/>
  <c r="AG385" i="9"/>
  <c r="AG386" i="9"/>
  <c r="AH374" i="9"/>
  <c r="AH375" i="9"/>
  <c r="AH376" i="9"/>
  <c r="AH377" i="9"/>
  <c r="AH378" i="9"/>
  <c r="AH379" i="9"/>
  <c r="AH380" i="9"/>
  <c r="AH381" i="9"/>
  <c r="AH382" i="9"/>
  <c r="AH383" i="9"/>
  <c r="AH384" i="9"/>
  <c r="AH385" i="9"/>
  <c r="AH386" i="9"/>
  <c r="AI374" i="9"/>
  <c r="AI375" i="9"/>
  <c r="AI376" i="9"/>
  <c r="AI377" i="9"/>
  <c r="AI378" i="9"/>
  <c r="AI379" i="9"/>
  <c r="AI380" i="9"/>
  <c r="AI381" i="9"/>
  <c r="AI382" i="9"/>
  <c r="AI383" i="9"/>
  <c r="AI384" i="9"/>
  <c r="AI385" i="9"/>
  <c r="AI386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L374" i="9"/>
  <c r="AM374" i="9" s="1"/>
  <c r="AL375" i="9"/>
  <c r="AM375" i="9" s="1"/>
  <c r="AL376" i="9"/>
  <c r="AM376" i="9" s="1"/>
  <c r="AL377" i="9"/>
  <c r="AM377" i="9" s="1"/>
  <c r="AL378" i="9"/>
  <c r="AM378" i="9" s="1"/>
  <c r="AL379" i="9"/>
  <c r="AM379" i="9" s="1"/>
  <c r="AL380" i="9"/>
  <c r="AM380" i="9" s="1"/>
  <c r="AL381" i="9"/>
  <c r="AM381" i="9" s="1"/>
  <c r="AL382" i="9"/>
  <c r="AM382" i="9" s="1"/>
  <c r="AL383" i="9"/>
  <c r="AM383" i="9" s="1"/>
  <c r="AL384" i="9"/>
  <c r="AM384" i="9" s="1"/>
  <c r="AL385" i="9"/>
  <c r="AM385" i="9" s="1"/>
  <c r="AL386" i="9"/>
  <c r="AM386" i="9" s="1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X1" i="28" l="1"/>
  <c r="AN371" i="9"/>
  <c r="AN372" i="9"/>
  <c r="AN373" i="9"/>
  <c r="AE372" i="9"/>
  <c r="AE373" i="9"/>
  <c r="AF372" i="9"/>
  <c r="AF373" i="9"/>
  <c r="AG372" i="9"/>
  <c r="AG373" i="9"/>
  <c r="AH372" i="9"/>
  <c r="AH373" i="9"/>
  <c r="AI372" i="9"/>
  <c r="AI373" i="9"/>
  <c r="AJ372" i="9"/>
  <c r="AJ373" i="9"/>
  <c r="AK372" i="9"/>
  <c r="AK373" i="9"/>
  <c r="AL372" i="9"/>
  <c r="AM372" i="9" s="1"/>
  <c r="AL373" i="9"/>
  <c r="AM373" i="9" s="1"/>
  <c r="AE371" i="9"/>
  <c r="AF371" i="9"/>
  <c r="AG371" i="9"/>
  <c r="AH371" i="9"/>
  <c r="AI371" i="9"/>
  <c r="AJ371" i="9"/>
  <c r="AK371" i="9"/>
  <c r="AL371" i="9"/>
  <c r="AM371" i="9" s="1"/>
  <c r="M1" i="28" a="1"/>
  <c r="P7" i="31" l="1"/>
  <c r="P71" i="31"/>
  <c r="P24" i="31"/>
  <c r="P43" i="31"/>
  <c r="P40" i="31"/>
  <c r="P21" i="31"/>
  <c r="P44" i="31"/>
  <c r="P63" i="31"/>
  <c r="P4" i="31"/>
  <c r="P70" i="31"/>
  <c r="P19" i="31"/>
  <c r="P55" i="31"/>
  <c r="P31" i="31"/>
  <c r="P29" i="31"/>
  <c r="P10" i="31"/>
  <c r="P15" i="31"/>
  <c r="P47" i="31"/>
  <c r="P56" i="31"/>
  <c r="P23" i="31"/>
  <c r="P45" i="31"/>
  <c r="P49" i="31"/>
  <c r="P51" i="31"/>
  <c r="P27" i="31"/>
  <c r="P68" i="31"/>
  <c r="P6" i="31"/>
  <c r="P62" i="31"/>
  <c r="P52" i="31"/>
  <c r="P11" i="31"/>
  <c r="P50" i="31"/>
  <c r="P17" i="31"/>
  <c r="P54" i="31"/>
  <c r="P38" i="31"/>
  <c r="P57" i="31"/>
  <c r="P22" i="31"/>
  <c r="P42" i="31"/>
  <c r="P32" i="31"/>
  <c r="P34" i="31"/>
  <c r="P48" i="31"/>
  <c r="P39" i="31"/>
  <c r="P36" i="31"/>
  <c r="P59" i="31"/>
  <c r="P37" i="31"/>
  <c r="P61" i="31"/>
  <c r="P46" i="31"/>
  <c r="P60" i="31"/>
  <c r="P5" i="31"/>
  <c r="P28" i="31"/>
  <c r="P53" i="31"/>
  <c r="P66" i="31"/>
  <c r="P3" i="31"/>
  <c r="P33" i="31"/>
  <c r="P26" i="31"/>
  <c r="P13" i="31"/>
  <c r="P25" i="31"/>
  <c r="P35" i="31"/>
  <c r="P69" i="31"/>
  <c r="P30" i="31"/>
  <c r="P58" i="31"/>
  <c r="P67" i="31"/>
  <c r="P9" i="31"/>
  <c r="P64" i="31"/>
  <c r="P8" i="31"/>
  <c r="P20" i="31"/>
  <c r="P18" i="31"/>
  <c r="P14" i="31"/>
  <c r="P12" i="31"/>
  <c r="P41" i="31"/>
  <c r="P16" i="31"/>
  <c r="P65" i="31"/>
  <c r="M1" i="28"/>
  <c r="V9" i="35"/>
  <c r="T13" i="35"/>
  <c r="T10" i="35"/>
  <c r="U10" i="35" s="1"/>
  <c r="T9" i="35"/>
  <c r="V14" i="35"/>
  <c r="W14" i="35" s="1"/>
  <c r="V11" i="35"/>
  <c r="W11" i="35" s="1"/>
  <c r="T11" i="35"/>
  <c r="U11" i="35" s="1"/>
  <c r="V7" i="35"/>
  <c r="W7" i="35" s="1"/>
  <c r="V13" i="35"/>
  <c r="V10" i="35"/>
  <c r="W10" i="35" s="1"/>
  <c r="T7" i="35"/>
  <c r="U7" i="35" s="1"/>
  <c r="V6" i="35"/>
  <c r="T14" i="35"/>
  <c r="U14" i="35" s="1"/>
  <c r="T6" i="35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3" i="37"/>
  <c r="T5" i="35" l="1"/>
  <c r="U6" i="35"/>
  <c r="V5" i="35"/>
  <c r="W6" i="35"/>
  <c r="U9" i="35"/>
  <c r="T8" i="35"/>
  <c r="U8" i="35" s="1"/>
  <c r="U13" i="35"/>
  <c r="T12" i="35"/>
  <c r="U12" i="35" s="1"/>
  <c r="W13" i="35"/>
  <c r="V12" i="35"/>
  <c r="W12" i="35" s="1"/>
  <c r="V8" i="35"/>
  <c r="W8" i="35" s="1"/>
  <c r="W9" i="35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L315" i="9"/>
  <c r="L316" i="9"/>
  <c r="L317" i="9"/>
  <c r="L318" i="9"/>
  <c r="L319" i="9"/>
  <c r="L320" i="9"/>
  <c r="L321" i="9"/>
  <c r="L322" i="9"/>
  <c r="L323" i="9"/>
  <c r="L324" i="9"/>
  <c r="L325" i="9"/>
  <c r="L326" i="9"/>
  <c r="L327" i="9"/>
  <c r="L328" i="9"/>
  <c r="L329" i="9"/>
  <c r="L330" i="9"/>
  <c r="L331" i="9"/>
  <c r="L332" i="9"/>
  <c r="L333" i="9"/>
  <c r="L334" i="9"/>
  <c r="L335" i="9"/>
  <c r="L336" i="9"/>
  <c r="L337" i="9"/>
  <c r="L338" i="9"/>
  <c r="L339" i="9"/>
  <c r="L340" i="9"/>
  <c r="L341" i="9"/>
  <c r="L342" i="9"/>
  <c r="L343" i="9"/>
  <c r="L344" i="9"/>
  <c r="L345" i="9"/>
  <c r="L346" i="9"/>
  <c r="L347" i="9"/>
  <c r="L348" i="9"/>
  <c r="L349" i="9"/>
  <c r="L350" i="9"/>
  <c r="L351" i="9"/>
  <c r="L352" i="9"/>
  <c r="L353" i="9"/>
  <c r="L354" i="9"/>
  <c r="L355" i="9"/>
  <c r="L356" i="9"/>
  <c r="L357" i="9"/>
  <c r="L358" i="9"/>
  <c r="L359" i="9"/>
  <c r="L360" i="9"/>
  <c r="L361" i="9"/>
  <c r="L362" i="9"/>
  <c r="L363" i="9"/>
  <c r="L364" i="9"/>
  <c r="L365" i="9"/>
  <c r="L366" i="9"/>
  <c r="L367" i="9"/>
  <c r="L368" i="9"/>
  <c r="L369" i="9"/>
  <c r="L370" i="9"/>
  <c r="W5" i="35" l="1"/>
  <c r="V15" i="35"/>
  <c r="W15" i="35" s="1"/>
  <c r="U5" i="35"/>
  <c r="T15" i="35"/>
  <c r="U15" i="35" s="1"/>
  <c r="AE369" i="9"/>
  <c r="AE370" i="9"/>
  <c r="AF369" i="9"/>
  <c r="AF370" i="9"/>
  <c r="AG369" i="9"/>
  <c r="AG370" i="9"/>
  <c r="AH369" i="9"/>
  <c r="AH370" i="9"/>
  <c r="AI369" i="9"/>
  <c r="AI370" i="9"/>
  <c r="AJ369" i="9"/>
  <c r="AJ370" i="9"/>
  <c r="AK369" i="9"/>
  <c r="AK370" i="9"/>
  <c r="AL369" i="9"/>
  <c r="AM369" i="9" s="1"/>
  <c r="AL370" i="9"/>
  <c r="AM370" i="9" s="1"/>
  <c r="AN369" i="9"/>
  <c r="AN370" i="9"/>
  <c r="AE366" i="9"/>
  <c r="AE367" i="9"/>
  <c r="AE368" i="9"/>
  <c r="AF366" i="9"/>
  <c r="AF367" i="9"/>
  <c r="AF368" i="9"/>
  <c r="AG366" i="9"/>
  <c r="AG367" i="9"/>
  <c r="AG368" i="9"/>
  <c r="AH366" i="9"/>
  <c r="AH367" i="9"/>
  <c r="AH368" i="9"/>
  <c r="AI366" i="9"/>
  <c r="AI367" i="9"/>
  <c r="AI368" i="9"/>
  <c r="AJ366" i="9"/>
  <c r="AJ367" i="9"/>
  <c r="AJ368" i="9"/>
  <c r="AK366" i="9"/>
  <c r="AK367" i="9"/>
  <c r="AK368" i="9"/>
  <c r="AL366" i="9"/>
  <c r="AM366" i="9" s="1"/>
  <c r="AL367" i="9"/>
  <c r="AM367" i="9" s="1"/>
  <c r="AL368" i="9"/>
  <c r="AM368" i="9" s="1"/>
  <c r="AN366" i="9"/>
  <c r="AN367" i="9"/>
  <c r="AN368" i="9"/>
  <c r="AE358" i="9" l="1"/>
  <c r="AE359" i="9"/>
  <c r="AE360" i="9"/>
  <c r="AE361" i="9"/>
  <c r="AE362" i="9"/>
  <c r="AE363" i="9"/>
  <c r="AE364" i="9"/>
  <c r="AE365" i="9"/>
  <c r="AF358" i="9"/>
  <c r="AF359" i="9"/>
  <c r="AF360" i="9"/>
  <c r="AF361" i="9"/>
  <c r="AF362" i="9"/>
  <c r="AF363" i="9"/>
  <c r="AF364" i="9"/>
  <c r="AF365" i="9"/>
  <c r="AG358" i="9"/>
  <c r="AG359" i="9"/>
  <c r="AG360" i="9"/>
  <c r="AG361" i="9"/>
  <c r="AG362" i="9"/>
  <c r="AG363" i="9"/>
  <c r="AG364" i="9"/>
  <c r="AG365" i="9"/>
  <c r="AH358" i="9"/>
  <c r="AH359" i="9"/>
  <c r="AH360" i="9"/>
  <c r="AH361" i="9"/>
  <c r="AH362" i="9"/>
  <c r="AH363" i="9"/>
  <c r="AH364" i="9"/>
  <c r="AH365" i="9"/>
  <c r="AI358" i="9"/>
  <c r="AI359" i="9"/>
  <c r="AI360" i="9"/>
  <c r="AI361" i="9"/>
  <c r="AI362" i="9"/>
  <c r="AI363" i="9"/>
  <c r="AI364" i="9"/>
  <c r="AI365" i="9"/>
  <c r="AJ358" i="9"/>
  <c r="AJ359" i="9"/>
  <c r="AJ360" i="9"/>
  <c r="AJ361" i="9"/>
  <c r="AJ362" i="9"/>
  <c r="AJ363" i="9"/>
  <c r="AJ364" i="9"/>
  <c r="AJ365" i="9"/>
  <c r="AK358" i="9"/>
  <c r="AK359" i="9"/>
  <c r="AK360" i="9"/>
  <c r="AK361" i="9"/>
  <c r="AK362" i="9"/>
  <c r="AK363" i="9"/>
  <c r="AK364" i="9"/>
  <c r="AK365" i="9"/>
  <c r="AL358" i="9"/>
  <c r="AM358" i="9" s="1"/>
  <c r="AL359" i="9"/>
  <c r="AM359" i="9" s="1"/>
  <c r="AL360" i="9"/>
  <c r="AM360" i="9" s="1"/>
  <c r="AL361" i="9"/>
  <c r="AM361" i="9" s="1"/>
  <c r="AL362" i="9"/>
  <c r="AM362" i="9" s="1"/>
  <c r="AL363" i="9"/>
  <c r="AM363" i="9" s="1"/>
  <c r="AL364" i="9"/>
  <c r="AM364" i="9" s="1"/>
  <c r="AL365" i="9"/>
  <c r="AM365" i="9" s="1"/>
  <c r="AN358" i="9"/>
  <c r="AN359" i="9"/>
  <c r="AN360" i="9"/>
  <c r="AN361" i="9"/>
  <c r="AN362" i="9"/>
  <c r="AN363" i="9"/>
  <c r="AN364" i="9"/>
  <c r="AN365" i="9"/>
  <c r="AE355" i="9" l="1"/>
  <c r="AE356" i="9"/>
  <c r="AE357" i="9"/>
  <c r="AF355" i="9"/>
  <c r="AF356" i="9"/>
  <c r="AF357" i="9"/>
  <c r="AG355" i="9"/>
  <c r="AG356" i="9"/>
  <c r="AG357" i="9"/>
  <c r="AH355" i="9"/>
  <c r="AH356" i="9"/>
  <c r="AH357" i="9"/>
  <c r="AI355" i="9"/>
  <c r="AI356" i="9"/>
  <c r="AI357" i="9"/>
  <c r="AJ355" i="9"/>
  <c r="AJ356" i="9"/>
  <c r="AJ357" i="9"/>
  <c r="AK355" i="9"/>
  <c r="AK356" i="9"/>
  <c r="AK357" i="9"/>
  <c r="AL355" i="9"/>
  <c r="AM355" i="9" s="1"/>
  <c r="AL356" i="9"/>
  <c r="AM356" i="9" s="1"/>
  <c r="AL357" i="9"/>
  <c r="AM357" i="9" s="1"/>
  <c r="AN355" i="9"/>
  <c r="AN356" i="9"/>
  <c r="AN357" i="9"/>
  <c r="AE354" i="9"/>
  <c r="AF354" i="9"/>
  <c r="AG354" i="9"/>
  <c r="AH354" i="9"/>
  <c r="AI354" i="9"/>
  <c r="AJ354" i="9"/>
  <c r="AK354" i="9"/>
  <c r="AL354" i="9"/>
  <c r="AM354" i="9" s="1"/>
  <c r="AN354" i="9"/>
  <c r="AE346" i="9"/>
  <c r="AE347" i="9"/>
  <c r="AE348" i="9"/>
  <c r="AE349" i="9"/>
  <c r="AE350" i="9"/>
  <c r="AE351" i="9"/>
  <c r="AE352" i="9"/>
  <c r="AE353" i="9"/>
  <c r="AF346" i="9"/>
  <c r="AF347" i="9"/>
  <c r="AF348" i="9"/>
  <c r="AF349" i="9"/>
  <c r="AF350" i="9"/>
  <c r="AF351" i="9"/>
  <c r="AF352" i="9"/>
  <c r="AF353" i="9"/>
  <c r="AG346" i="9"/>
  <c r="AG347" i="9"/>
  <c r="AG348" i="9"/>
  <c r="AG349" i="9"/>
  <c r="AG350" i="9"/>
  <c r="AG351" i="9"/>
  <c r="AG352" i="9"/>
  <c r="AG353" i="9"/>
  <c r="AH346" i="9"/>
  <c r="AH347" i="9"/>
  <c r="AH348" i="9"/>
  <c r="AH349" i="9"/>
  <c r="AH350" i="9"/>
  <c r="AH351" i="9"/>
  <c r="AH352" i="9"/>
  <c r="AH353" i="9"/>
  <c r="AI346" i="9"/>
  <c r="AI347" i="9"/>
  <c r="AI348" i="9"/>
  <c r="AI349" i="9"/>
  <c r="AI350" i="9"/>
  <c r="AI351" i="9"/>
  <c r="AI352" i="9"/>
  <c r="AI353" i="9"/>
  <c r="AJ346" i="9"/>
  <c r="AJ347" i="9"/>
  <c r="AJ348" i="9"/>
  <c r="AJ349" i="9"/>
  <c r="AJ350" i="9"/>
  <c r="AJ351" i="9"/>
  <c r="AJ352" i="9"/>
  <c r="AJ353" i="9"/>
  <c r="AK346" i="9"/>
  <c r="AK347" i="9"/>
  <c r="AK348" i="9"/>
  <c r="AK349" i="9"/>
  <c r="AK350" i="9"/>
  <c r="AK351" i="9"/>
  <c r="AK352" i="9"/>
  <c r="AK353" i="9"/>
  <c r="AL346" i="9"/>
  <c r="AM346" i="9" s="1"/>
  <c r="AL347" i="9"/>
  <c r="AM347" i="9" s="1"/>
  <c r="AL348" i="9"/>
  <c r="AM348" i="9" s="1"/>
  <c r="AL349" i="9"/>
  <c r="AM349" i="9" s="1"/>
  <c r="AL350" i="9"/>
  <c r="AM350" i="9" s="1"/>
  <c r="AL351" i="9"/>
  <c r="AM351" i="9" s="1"/>
  <c r="AL352" i="9"/>
  <c r="AM352" i="9" s="1"/>
  <c r="AL353" i="9"/>
  <c r="AM353" i="9" s="1"/>
  <c r="AN346" i="9"/>
  <c r="AN347" i="9"/>
  <c r="AN348" i="9"/>
  <c r="AN349" i="9"/>
  <c r="AN350" i="9"/>
  <c r="AN351" i="9"/>
  <c r="AN352" i="9"/>
  <c r="AN353" i="9"/>
  <c r="AE345" i="9"/>
  <c r="AF345" i="9"/>
  <c r="AG345" i="9"/>
  <c r="AH345" i="9"/>
  <c r="AI345" i="9"/>
  <c r="AJ345" i="9"/>
  <c r="AK345" i="9"/>
  <c r="AL345" i="9"/>
  <c r="AM345" i="9" s="1"/>
  <c r="AN345" i="9"/>
  <c r="B77" i="12" l="1"/>
  <c r="B78" i="12"/>
  <c r="B79" i="12"/>
  <c r="B80" i="12"/>
  <c r="B81" i="12"/>
  <c r="B82" i="12"/>
  <c r="B83" i="12"/>
  <c r="B84" i="12"/>
  <c r="B85" i="12"/>
  <c r="B86" i="12"/>
  <c r="B87" i="12"/>
  <c r="A71" i="36" l="1"/>
  <c r="C72" i="33"/>
  <c r="C50" i="33"/>
  <c r="C49" i="33"/>
  <c r="C5" i="33"/>
  <c r="C14" i="33"/>
  <c r="AE344" i="9" l="1"/>
  <c r="AF344" i="9"/>
  <c r="AG344" i="9"/>
  <c r="AH344" i="9"/>
  <c r="AI344" i="9"/>
  <c r="AJ344" i="9"/>
  <c r="AK344" i="9"/>
  <c r="AL344" i="9"/>
  <c r="AM344" i="9" s="1"/>
  <c r="AN344" i="9"/>
  <c r="AE343" i="9" l="1"/>
  <c r="AF343" i="9"/>
  <c r="AG343" i="9"/>
  <c r="AH343" i="9"/>
  <c r="AI343" i="9"/>
  <c r="AJ343" i="9"/>
  <c r="AK343" i="9"/>
  <c r="AL343" i="9"/>
  <c r="AM343" i="9" s="1"/>
  <c r="AN343" i="9"/>
  <c r="AE341" i="9" l="1"/>
  <c r="AE342" i="9"/>
  <c r="AF341" i="9"/>
  <c r="AF342" i="9"/>
  <c r="AG341" i="9"/>
  <c r="AG342" i="9"/>
  <c r="AH341" i="9"/>
  <c r="AH342" i="9"/>
  <c r="AI341" i="9"/>
  <c r="AI342" i="9"/>
  <c r="AJ341" i="9"/>
  <c r="AJ342" i="9"/>
  <c r="AK341" i="9"/>
  <c r="AK342" i="9"/>
  <c r="AL341" i="9"/>
  <c r="AM341" i="9" s="1"/>
  <c r="AL342" i="9"/>
  <c r="AM342" i="9" s="1"/>
  <c r="AN341" i="9"/>
  <c r="AN342" i="9"/>
  <c r="D7" i="31" l="1"/>
  <c r="D37" i="31"/>
  <c r="D16" i="31"/>
  <c r="D24" i="31"/>
  <c r="D22" i="31"/>
  <c r="D18" i="31"/>
  <c r="D44" i="31"/>
  <c r="D11" i="31"/>
  <c r="D19" i="31"/>
  <c r="D14" i="31"/>
  <c r="D45" i="31"/>
  <c r="D31" i="31"/>
  <c r="D46" i="31"/>
  <c r="D17" i="31"/>
  <c r="D47" i="31"/>
  <c r="D48" i="31"/>
  <c r="D49" i="31"/>
  <c r="D50" i="31"/>
  <c r="D51" i="31"/>
  <c r="D27" i="31"/>
  <c r="D25" i="31"/>
  <c r="D21" i="31"/>
  <c r="D52" i="31"/>
  <c r="D53" i="31"/>
  <c r="D54" i="31"/>
  <c r="D55" i="31"/>
  <c r="D56" i="31"/>
  <c r="D57" i="31"/>
  <c r="D20" i="31"/>
  <c r="D15" i="31"/>
  <c r="D34" i="31"/>
  <c r="D58" i="31"/>
  <c r="D59" i="31"/>
  <c r="D60" i="31"/>
  <c r="D35" i="31"/>
  <c r="D61" i="31"/>
  <c r="D36" i="31"/>
  <c r="D62" i="31"/>
  <c r="D28" i="31"/>
  <c r="D41" i="31"/>
  <c r="D33" i="31"/>
  <c r="D63" i="31"/>
  <c r="D64" i="31"/>
  <c r="D13" i="31"/>
  <c r="D40" i="31"/>
  <c r="D32" i="31"/>
  <c r="D30" i="31"/>
  <c r="D65" i="31"/>
  <c r="D9" i="31"/>
  <c r="D26" i="31"/>
  <c r="D66" i="31"/>
  <c r="D8" i="31"/>
  <c r="D10" i="31"/>
  <c r="D5" i="31"/>
  <c r="D12" i="31"/>
  <c r="D4" i="31"/>
  <c r="D67" i="31"/>
  <c r="D29" i="31"/>
  <c r="D68" i="31"/>
  <c r="D3" i="31"/>
  <c r="D6" i="31"/>
  <c r="D69" i="31"/>
  <c r="D70" i="31"/>
  <c r="D23" i="31"/>
  <c r="D71" i="31"/>
  <c r="D39" i="31"/>
  <c r="D38" i="31"/>
  <c r="D43" i="31"/>
  <c r="D42" i="31"/>
  <c r="AE340" i="9" l="1"/>
  <c r="AF340" i="9"/>
  <c r="AG340" i="9"/>
  <c r="AH340" i="9"/>
  <c r="AI340" i="9"/>
  <c r="AJ340" i="9"/>
  <c r="AK340" i="9"/>
  <c r="AL340" i="9"/>
  <c r="AM340" i="9" s="1"/>
  <c r="AN340" i="9"/>
  <c r="AE339" i="9"/>
  <c r="AF339" i="9"/>
  <c r="AG339" i="9"/>
  <c r="AH339" i="9"/>
  <c r="AI339" i="9"/>
  <c r="AJ339" i="9"/>
  <c r="AK339" i="9"/>
  <c r="AL339" i="9"/>
  <c r="AM339" i="9" s="1"/>
  <c r="AN339" i="9"/>
  <c r="AE333" i="9"/>
  <c r="AE334" i="9"/>
  <c r="AE335" i="9"/>
  <c r="AE336" i="9"/>
  <c r="AE337" i="9"/>
  <c r="AE338" i="9"/>
  <c r="AF333" i="9"/>
  <c r="AF334" i="9"/>
  <c r="AF335" i="9"/>
  <c r="AF336" i="9"/>
  <c r="AF337" i="9"/>
  <c r="AF338" i="9"/>
  <c r="AG333" i="9"/>
  <c r="AG334" i="9"/>
  <c r="AG335" i="9"/>
  <c r="AG336" i="9"/>
  <c r="AG337" i="9"/>
  <c r="AG338" i="9"/>
  <c r="AH333" i="9"/>
  <c r="AH334" i="9"/>
  <c r="AH335" i="9"/>
  <c r="AH336" i="9"/>
  <c r="AH337" i="9"/>
  <c r="AH338" i="9"/>
  <c r="AI333" i="9"/>
  <c r="AI334" i="9"/>
  <c r="AI335" i="9"/>
  <c r="AI336" i="9"/>
  <c r="AI337" i="9"/>
  <c r="AI338" i="9"/>
  <c r="AJ333" i="9"/>
  <c r="AJ334" i="9"/>
  <c r="AJ335" i="9"/>
  <c r="AJ336" i="9"/>
  <c r="AJ337" i="9"/>
  <c r="AJ338" i="9"/>
  <c r="AK333" i="9"/>
  <c r="AK334" i="9"/>
  <c r="AK335" i="9"/>
  <c r="AK336" i="9"/>
  <c r="AK337" i="9"/>
  <c r="AK338" i="9"/>
  <c r="AL333" i="9"/>
  <c r="AM333" i="9" s="1"/>
  <c r="AL334" i="9"/>
  <c r="AM334" i="9" s="1"/>
  <c r="AL335" i="9"/>
  <c r="AM335" i="9" s="1"/>
  <c r="AL336" i="9"/>
  <c r="AM336" i="9" s="1"/>
  <c r="AL337" i="9"/>
  <c r="AM337" i="9" s="1"/>
  <c r="AL338" i="9"/>
  <c r="AM338" i="9" s="1"/>
  <c r="AN333" i="9"/>
  <c r="AN334" i="9"/>
  <c r="AN335" i="9"/>
  <c r="AN336" i="9"/>
  <c r="AN337" i="9"/>
  <c r="AN338" i="9"/>
  <c r="AE328" i="9"/>
  <c r="AE329" i="9"/>
  <c r="AE330" i="9"/>
  <c r="AE331" i="9"/>
  <c r="AE332" i="9"/>
  <c r="AF328" i="9"/>
  <c r="AF329" i="9"/>
  <c r="AF330" i="9"/>
  <c r="AF331" i="9"/>
  <c r="AF332" i="9"/>
  <c r="AG328" i="9"/>
  <c r="AG329" i="9"/>
  <c r="AG330" i="9"/>
  <c r="AG331" i="9"/>
  <c r="AG332" i="9"/>
  <c r="AH328" i="9"/>
  <c r="AH329" i="9"/>
  <c r="AH330" i="9"/>
  <c r="AH331" i="9"/>
  <c r="AH332" i="9"/>
  <c r="AI328" i="9"/>
  <c r="AI329" i="9"/>
  <c r="AI330" i="9"/>
  <c r="AI331" i="9"/>
  <c r="AI332" i="9"/>
  <c r="AJ328" i="9"/>
  <c r="AJ329" i="9"/>
  <c r="AJ330" i="9"/>
  <c r="AJ331" i="9"/>
  <c r="AJ332" i="9"/>
  <c r="AK328" i="9"/>
  <c r="AK329" i="9"/>
  <c r="AK330" i="9"/>
  <c r="AK331" i="9"/>
  <c r="AK332" i="9"/>
  <c r="AL328" i="9"/>
  <c r="AM328" i="9" s="1"/>
  <c r="AL329" i="9"/>
  <c r="AM329" i="9" s="1"/>
  <c r="AL330" i="9"/>
  <c r="AM330" i="9" s="1"/>
  <c r="AL331" i="9"/>
  <c r="AM331" i="9" s="1"/>
  <c r="AL332" i="9"/>
  <c r="AM332" i="9" s="1"/>
  <c r="AN328" i="9"/>
  <c r="AN329" i="9"/>
  <c r="AN330" i="9"/>
  <c r="AN331" i="9"/>
  <c r="AN332" i="9"/>
  <c r="AE322" i="9"/>
  <c r="AE323" i="9"/>
  <c r="AE324" i="9"/>
  <c r="AE325" i="9"/>
  <c r="AE326" i="9"/>
  <c r="AE327" i="9"/>
  <c r="AF322" i="9"/>
  <c r="AF323" i="9"/>
  <c r="AF324" i="9"/>
  <c r="AF325" i="9"/>
  <c r="AF326" i="9"/>
  <c r="AF327" i="9"/>
  <c r="AG322" i="9"/>
  <c r="AG323" i="9"/>
  <c r="AG324" i="9"/>
  <c r="AG325" i="9"/>
  <c r="AG326" i="9"/>
  <c r="AG327" i="9"/>
  <c r="AH322" i="9"/>
  <c r="AH323" i="9"/>
  <c r="AH324" i="9"/>
  <c r="AH325" i="9"/>
  <c r="AH326" i="9"/>
  <c r="AH327" i="9"/>
  <c r="AI322" i="9"/>
  <c r="AI323" i="9"/>
  <c r="AI324" i="9"/>
  <c r="AI325" i="9"/>
  <c r="AI326" i="9"/>
  <c r="AI327" i="9"/>
  <c r="AJ322" i="9"/>
  <c r="AJ323" i="9"/>
  <c r="AJ324" i="9"/>
  <c r="AJ325" i="9"/>
  <c r="AJ326" i="9"/>
  <c r="AJ327" i="9"/>
  <c r="AK322" i="9"/>
  <c r="AK323" i="9"/>
  <c r="AK324" i="9"/>
  <c r="AK325" i="9"/>
  <c r="AK326" i="9"/>
  <c r="AK327" i="9"/>
  <c r="AL322" i="9"/>
  <c r="AM322" i="9" s="1"/>
  <c r="AL323" i="9"/>
  <c r="AM323" i="9" s="1"/>
  <c r="AL324" i="9"/>
  <c r="AM324" i="9" s="1"/>
  <c r="AL325" i="9"/>
  <c r="AM325" i="9" s="1"/>
  <c r="AL326" i="9"/>
  <c r="AM326" i="9" s="1"/>
  <c r="AL327" i="9"/>
  <c r="AM327" i="9" s="1"/>
  <c r="AN322" i="9"/>
  <c r="AN323" i="9"/>
  <c r="AN324" i="9"/>
  <c r="AN325" i="9"/>
  <c r="AN326" i="9"/>
  <c r="AN327" i="9"/>
  <c r="AE320" i="9" l="1"/>
  <c r="AE321" i="9"/>
  <c r="AF320" i="9"/>
  <c r="AF321" i="9"/>
  <c r="AG320" i="9"/>
  <c r="AG321" i="9"/>
  <c r="AH320" i="9"/>
  <c r="AH321" i="9"/>
  <c r="AI320" i="9"/>
  <c r="AI321" i="9"/>
  <c r="AJ320" i="9"/>
  <c r="AJ321" i="9"/>
  <c r="AK320" i="9"/>
  <c r="AK321" i="9"/>
  <c r="AL320" i="9"/>
  <c r="AM320" i="9" s="1"/>
  <c r="AL321" i="9"/>
  <c r="AM321" i="9" s="1"/>
  <c r="AN320" i="9"/>
  <c r="AN321" i="9"/>
  <c r="AE318" i="9"/>
  <c r="AE319" i="9"/>
  <c r="AF318" i="9"/>
  <c r="AF319" i="9"/>
  <c r="AG318" i="9"/>
  <c r="AG319" i="9"/>
  <c r="AH318" i="9"/>
  <c r="AH319" i="9"/>
  <c r="AI318" i="9"/>
  <c r="AI319" i="9"/>
  <c r="AJ318" i="9"/>
  <c r="AJ319" i="9"/>
  <c r="AK318" i="9"/>
  <c r="AK319" i="9"/>
  <c r="AL318" i="9"/>
  <c r="AM318" i="9" s="1"/>
  <c r="AL319" i="9"/>
  <c r="AM319" i="9" s="1"/>
  <c r="AN318" i="9"/>
  <c r="AN319" i="9"/>
  <c r="AE315" i="9"/>
  <c r="AE316" i="9"/>
  <c r="AE317" i="9"/>
  <c r="AF315" i="9"/>
  <c r="AF316" i="9"/>
  <c r="AF317" i="9"/>
  <c r="AG315" i="9"/>
  <c r="AG316" i="9"/>
  <c r="AG317" i="9"/>
  <c r="AH315" i="9"/>
  <c r="AH316" i="9"/>
  <c r="AH317" i="9"/>
  <c r="AI315" i="9"/>
  <c r="AI316" i="9"/>
  <c r="AI317" i="9"/>
  <c r="AJ315" i="9"/>
  <c r="AJ316" i="9"/>
  <c r="AJ317" i="9"/>
  <c r="AK315" i="9"/>
  <c r="AK316" i="9"/>
  <c r="AK317" i="9"/>
  <c r="AL315" i="9"/>
  <c r="AM315" i="9" s="1"/>
  <c r="AL316" i="9"/>
  <c r="AM316" i="9" s="1"/>
  <c r="AL317" i="9"/>
  <c r="AM317" i="9" s="1"/>
  <c r="AN315" i="9"/>
  <c r="AN316" i="9"/>
  <c r="AN317" i="9"/>
  <c r="AE314" i="9"/>
  <c r="AF314" i="9"/>
  <c r="AG314" i="9"/>
  <c r="AH314" i="9"/>
  <c r="AI314" i="9"/>
  <c r="AJ314" i="9"/>
  <c r="AK314" i="9"/>
  <c r="AL314" i="9"/>
  <c r="AM314" i="9" s="1"/>
  <c r="AN314" i="9"/>
  <c r="AE311" i="9" l="1"/>
  <c r="AE312" i="9"/>
  <c r="AE313" i="9"/>
  <c r="AF311" i="9"/>
  <c r="AF312" i="9"/>
  <c r="AF313" i="9"/>
  <c r="AG311" i="9"/>
  <c r="AG312" i="9"/>
  <c r="AG313" i="9"/>
  <c r="AH311" i="9"/>
  <c r="AH312" i="9"/>
  <c r="AH313" i="9"/>
  <c r="AI311" i="9"/>
  <c r="AI312" i="9"/>
  <c r="AI313" i="9"/>
  <c r="AJ311" i="9"/>
  <c r="AJ312" i="9"/>
  <c r="AJ313" i="9"/>
  <c r="AK311" i="9"/>
  <c r="AK312" i="9"/>
  <c r="AK313" i="9"/>
  <c r="AL311" i="9"/>
  <c r="AM311" i="9" s="1"/>
  <c r="AL312" i="9"/>
  <c r="AM312" i="9" s="1"/>
  <c r="AL313" i="9"/>
  <c r="AM313" i="9" s="1"/>
  <c r="AN311" i="9"/>
  <c r="AN312" i="9"/>
  <c r="AN313" i="9"/>
  <c r="D41" i="33" l="1"/>
  <c r="G41" i="33"/>
  <c r="W7" i="33"/>
  <c r="C51" i="33"/>
  <c r="D51" i="33"/>
  <c r="W51" i="33"/>
  <c r="O9" i="35" l="1"/>
  <c r="Q14" i="35"/>
  <c r="Q11" i="35"/>
  <c r="O7" i="35"/>
  <c r="Q10" i="35"/>
  <c r="J7" i="35"/>
  <c r="Q6" i="35"/>
  <c r="O11" i="35"/>
  <c r="Q9" i="35"/>
  <c r="O13" i="35"/>
  <c r="L13" i="35"/>
  <c r="Q7" i="35"/>
  <c r="O14" i="35"/>
  <c r="J6" i="35"/>
  <c r="O6" i="35"/>
  <c r="O10" i="35"/>
  <c r="E10" i="35"/>
  <c r="J10" i="35"/>
  <c r="Q13" i="35"/>
  <c r="J9" i="35"/>
  <c r="J11" i="35"/>
  <c r="J13" i="35"/>
  <c r="J14" i="35"/>
  <c r="AE310" i="9"/>
  <c r="AF310" i="9"/>
  <c r="AG310" i="9"/>
  <c r="AH310" i="9"/>
  <c r="AI310" i="9"/>
  <c r="AJ310" i="9"/>
  <c r="AK310" i="9"/>
  <c r="AL310" i="9"/>
  <c r="AM310" i="9" s="1"/>
  <c r="AN310" i="9"/>
  <c r="AE307" i="9" l="1"/>
  <c r="AE308" i="9"/>
  <c r="AE309" i="9"/>
  <c r="AF307" i="9"/>
  <c r="AF308" i="9"/>
  <c r="AF309" i="9"/>
  <c r="AG307" i="9"/>
  <c r="AG308" i="9"/>
  <c r="AG309" i="9"/>
  <c r="AH307" i="9"/>
  <c r="AH308" i="9"/>
  <c r="AH309" i="9"/>
  <c r="AI307" i="9"/>
  <c r="AI308" i="9"/>
  <c r="AI309" i="9"/>
  <c r="AJ307" i="9"/>
  <c r="AJ308" i="9"/>
  <c r="AJ309" i="9"/>
  <c r="AK307" i="9"/>
  <c r="AK308" i="9"/>
  <c r="AK309" i="9"/>
  <c r="AL307" i="9"/>
  <c r="AM307" i="9" s="1"/>
  <c r="AL308" i="9"/>
  <c r="AM308" i="9" s="1"/>
  <c r="AL309" i="9"/>
  <c r="AM309" i="9" s="1"/>
  <c r="AN307" i="9"/>
  <c r="AN308" i="9"/>
  <c r="AN309" i="9"/>
  <c r="L9" i="35" l="1"/>
  <c r="AE305" i="9"/>
  <c r="AE306" i="9"/>
  <c r="AF305" i="9"/>
  <c r="AF306" i="9"/>
  <c r="AG305" i="9"/>
  <c r="AG306" i="9"/>
  <c r="AH305" i="9"/>
  <c r="AH306" i="9"/>
  <c r="AI305" i="9"/>
  <c r="AI306" i="9"/>
  <c r="AJ305" i="9"/>
  <c r="AJ306" i="9"/>
  <c r="AK305" i="9"/>
  <c r="AK306" i="9"/>
  <c r="AL305" i="9"/>
  <c r="AM305" i="9" s="1"/>
  <c r="AL306" i="9"/>
  <c r="AM306" i="9" s="1"/>
  <c r="AN305" i="9"/>
  <c r="AN306" i="9"/>
  <c r="AE301" i="9" l="1"/>
  <c r="AE302" i="9"/>
  <c r="AE303" i="9"/>
  <c r="AE304" i="9"/>
  <c r="AF301" i="9"/>
  <c r="AF302" i="9"/>
  <c r="AF303" i="9"/>
  <c r="AF304" i="9"/>
  <c r="AG301" i="9"/>
  <c r="AG302" i="9"/>
  <c r="AG303" i="9"/>
  <c r="AG304" i="9"/>
  <c r="AH301" i="9"/>
  <c r="AH302" i="9"/>
  <c r="AH303" i="9"/>
  <c r="AH304" i="9"/>
  <c r="AI301" i="9"/>
  <c r="AI302" i="9"/>
  <c r="AI303" i="9"/>
  <c r="AI304" i="9"/>
  <c r="AJ301" i="9"/>
  <c r="AJ302" i="9"/>
  <c r="AJ303" i="9"/>
  <c r="AJ304" i="9"/>
  <c r="AK301" i="9"/>
  <c r="AK302" i="9"/>
  <c r="AK303" i="9"/>
  <c r="AK304" i="9"/>
  <c r="AL301" i="9"/>
  <c r="AM301" i="9" s="1"/>
  <c r="AL302" i="9"/>
  <c r="AM302" i="9" s="1"/>
  <c r="AL303" i="9"/>
  <c r="AM303" i="9" s="1"/>
  <c r="AL304" i="9"/>
  <c r="AM304" i="9" s="1"/>
  <c r="AN301" i="9"/>
  <c r="AN302" i="9"/>
  <c r="AN303" i="9"/>
  <c r="AN304" i="9"/>
  <c r="AE297" i="9"/>
  <c r="AE298" i="9"/>
  <c r="AE299" i="9"/>
  <c r="AE300" i="9"/>
  <c r="AF297" i="9"/>
  <c r="AF298" i="9"/>
  <c r="AF299" i="9"/>
  <c r="AF300" i="9"/>
  <c r="AG297" i="9"/>
  <c r="AG298" i="9"/>
  <c r="AG299" i="9"/>
  <c r="AG300" i="9"/>
  <c r="AH297" i="9"/>
  <c r="AH298" i="9"/>
  <c r="AH299" i="9"/>
  <c r="AH300" i="9"/>
  <c r="AI297" i="9"/>
  <c r="AI298" i="9"/>
  <c r="AI299" i="9"/>
  <c r="AI300" i="9"/>
  <c r="AJ297" i="9"/>
  <c r="AJ298" i="9"/>
  <c r="AJ299" i="9"/>
  <c r="AJ300" i="9"/>
  <c r="AK297" i="9"/>
  <c r="AK298" i="9"/>
  <c r="AK299" i="9"/>
  <c r="AK300" i="9"/>
  <c r="AL297" i="9"/>
  <c r="AM297" i="9" s="1"/>
  <c r="AL298" i="9"/>
  <c r="AM298" i="9" s="1"/>
  <c r="AL299" i="9"/>
  <c r="AM299" i="9" s="1"/>
  <c r="AL300" i="9"/>
  <c r="AM300" i="9" s="1"/>
  <c r="AN297" i="9"/>
  <c r="AN298" i="9"/>
  <c r="AN299" i="9"/>
  <c r="AN300" i="9"/>
  <c r="AE290" i="9"/>
  <c r="AE291" i="9"/>
  <c r="AE292" i="9"/>
  <c r="AE293" i="9"/>
  <c r="AE294" i="9"/>
  <c r="AE295" i="9"/>
  <c r="AE296" i="9"/>
  <c r="AF290" i="9"/>
  <c r="AF291" i="9"/>
  <c r="AF292" i="9"/>
  <c r="AF293" i="9"/>
  <c r="AF294" i="9"/>
  <c r="AF295" i="9"/>
  <c r="AF296" i="9"/>
  <c r="AG290" i="9"/>
  <c r="AG291" i="9"/>
  <c r="AG292" i="9"/>
  <c r="AG293" i="9"/>
  <c r="AG294" i="9"/>
  <c r="AG295" i="9"/>
  <c r="AG296" i="9"/>
  <c r="AH290" i="9"/>
  <c r="AH291" i="9"/>
  <c r="AH292" i="9"/>
  <c r="AH293" i="9"/>
  <c r="AH294" i="9"/>
  <c r="AH295" i="9"/>
  <c r="AH296" i="9"/>
  <c r="AI290" i="9"/>
  <c r="AI291" i="9"/>
  <c r="AI292" i="9"/>
  <c r="AI293" i="9"/>
  <c r="AI294" i="9"/>
  <c r="AI295" i="9"/>
  <c r="AI296" i="9"/>
  <c r="AJ290" i="9"/>
  <c r="AJ291" i="9"/>
  <c r="AJ292" i="9"/>
  <c r="AJ293" i="9"/>
  <c r="AJ294" i="9"/>
  <c r="AJ295" i="9"/>
  <c r="AJ296" i="9"/>
  <c r="AK290" i="9"/>
  <c r="AK291" i="9"/>
  <c r="AK292" i="9"/>
  <c r="AK293" i="9"/>
  <c r="AK294" i="9"/>
  <c r="AK295" i="9"/>
  <c r="AK296" i="9"/>
  <c r="AL290" i="9"/>
  <c r="AM290" i="9" s="1"/>
  <c r="AL291" i="9"/>
  <c r="AM291" i="9" s="1"/>
  <c r="AL292" i="9"/>
  <c r="AM292" i="9" s="1"/>
  <c r="AL293" i="9"/>
  <c r="AM293" i="9" s="1"/>
  <c r="AL294" i="9"/>
  <c r="AM294" i="9" s="1"/>
  <c r="AL295" i="9"/>
  <c r="AM295" i="9" s="1"/>
  <c r="AL296" i="9"/>
  <c r="AM296" i="9" s="1"/>
  <c r="AN290" i="9"/>
  <c r="AN291" i="9"/>
  <c r="AN292" i="9"/>
  <c r="AN293" i="9"/>
  <c r="AN294" i="9"/>
  <c r="AN295" i="9"/>
  <c r="AN296" i="9"/>
  <c r="AE287" i="9"/>
  <c r="AE288" i="9"/>
  <c r="AE289" i="9"/>
  <c r="AF287" i="9"/>
  <c r="AF288" i="9"/>
  <c r="AF289" i="9"/>
  <c r="AG287" i="9"/>
  <c r="AG288" i="9"/>
  <c r="AG289" i="9"/>
  <c r="AH287" i="9"/>
  <c r="AH288" i="9"/>
  <c r="AH289" i="9"/>
  <c r="AI287" i="9"/>
  <c r="AI288" i="9"/>
  <c r="AI289" i="9"/>
  <c r="AJ287" i="9"/>
  <c r="AJ288" i="9"/>
  <c r="AJ289" i="9"/>
  <c r="AK287" i="9"/>
  <c r="AK288" i="9"/>
  <c r="AK289" i="9"/>
  <c r="AL287" i="9"/>
  <c r="AM287" i="9" s="1"/>
  <c r="AL288" i="9"/>
  <c r="AM288" i="9" s="1"/>
  <c r="AL289" i="9"/>
  <c r="AM289" i="9" s="1"/>
  <c r="AN287" i="9"/>
  <c r="AN288" i="9"/>
  <c r="AN289" i="9"/>
  <c r="AE278" i="9" l="1"/>
  <c r="AE279" i="9"/>
  <c r="AE280" i="9"/>
  <c r="AE281" i="9"/>
  <c r="AE282" i="9"/>
  <c r="AE283" i="9"/>
  <c r="AE284" i="9"/>
  <c r="AE285" i="9"/>
  <c r="AE286" i="9"/>
  <c r="AF278" i="9"/>
  <c r="AF279" i="9"/>
  <c r="AF280" i="9"/>
  <c r="AF281" i="9"/>
  <c r="AF282" i="9"/>
  <c r="AF283" i="9"/>
  <c r="AF284" i="9"/>
  <c r="AF285" i="9"/>
  <c r="AF286" i="9"/>
  <c r="AG278" i="9"/>
  <c r="AG279" i="9"/>
  <c r="AG280" i="9"/>
  <c r="AG281" i="9"/>
  <c r="AG282" i="9"/>
  <c r="AG283" i="9"/>
  <c r="AG284" i="9"/>
  <c r="AG285" i="9"/>
  <c r="AG286" i="9"/>
  <c r="AH278" i="9"/>
  <c r="AH279" i="9"/>
  <c r="AH280" i="9"/>
  <c r="AH281" i="9"/>
  <c r="AH282" i="9"/>
  <c r="AH283" i="9"/>
  <c r="AH284" i="9"/>
  <c r="AH285" i="9"/>
  <c r="AH286" i="9"/>
  <c r="AI278" i="9"/>
  <c r="AI279" i="9"/>
  <c r="AI280" i="9"/>
  <c r="AI281" i="9"/>
  <c r="AI282" i="9"/>
  <c r="AI283" i="9"/>
  <c r="AI284" i="9"/>
  <c r="AI285" i="9"/>
  <c r="AI286" i="9"/>
  <c r="AJ278" i="9"/>
  <c r="AJ279" i="9"/>
  <c r="AJ280" i="9"/>
  <c r="AJ281" i="9"/>
  <c r="AJ282" i="9"/>
  <c r="AJ283" i="9"/>
  <c r="AJ284" i="9"/>
  <c r="AJ285" i="9"/>
  <c r="AJ286" i="9"/>
  <c r="AK278" i="9"/>
  <c r="AK279" i="9"/>
  <c r="AK280" i="9"/>
  <c r="AK281" i="9"/>
  <c r="AK282" i="9"/>
  <c r="AK283" i="9"/>
  <c r="AK284" i="9"/>
  <c r="AK285" i="9"/>
  <c r="AK286" i="9"/>
  <c r="AL278" i="9"/>
  <c r="AM278" i="9" s="1"/>
  <c r="AL279" i="9"/>
  <c r="AM279" i="9" s="1"/>
  <c r="AL280" i="9"/>
  <c r="AM280" i="9" s="1"/>
  <c r="AL281" i="9"/>
  <c r="AM281" i="9" s="1"/>
  <c r="AL282" i="9"/>
  <c r="AM282" i="9" s="1"/>
  <c r="AL283" i="9"/>
  <c r="AM283" i="9" s="1"/>
  <c r="AL284" i="9"/>
  <c r="AM284" i="9" s="1"/>
  <c r="AL285" i="9"/>
  <c r="AM285" i="9" s="1"/>
  <c r="AL286" i="9"/>
  <c r="AM286" i="9" s="1"/>
  <c r="AN278" i="9"/>
  <c r="AN279" i="9"/>
  <c r="AN280" i="9"/>
  <c r="AN281" i="9"/>
  <c r="AN282" i="9"/>
  <c r="AN283" i="9"/>
  <c r="AN284" i="9"/>
  <c r="AN285" i="9"/>
  <c r="AN286" i="9"/>
  <c r="AE277" i="9"/>
  <c r="AF277" i="9"/>
  <c r="AG277" i="9"/>
  <c r="AH277" i="9"/>
  <c r="AI277" i="9"/>
  <c r="AJ277" i="9"/>
  <c r="AK277" i="9"/>
  <c r="AL277" i="9"/>
  <c r="AM277" i="9" s="1"/>
  <c r="AN277" i="9"/>
  <c r="AE274" i="9"/>
  <c r="AE275" i="9"/>
  <c r="AE276" i="9"/>
  <c r="AF274" i="9"/>
  <c r="AF275" i="9"/>
  <c r="AF276" i="9"/>
  <c r="AG274" i="9"/>
  <c r="AG275" i="9"/>
  <c r="AG276" i="9"/>
  <c r="AH274" i="9"/>
  <c r="AH275" i="9"/>
  <c r="AH276" i="9"/>
  <c r="AI274" i="9"/>
  <c r="AI275" i="9"/>
  <c r="AI276" i="9"/>
  <c r="AJ274" i="9"/>
  <c r="AJ275" i="9"/>
  <c r="AJ276" i="9"/>
  <c r="AK274" i="9"/>
  <c r="AK275" i="9"/>
  <c r="AK276" i="9"/>
  <c r="AL274" i="9"/>
  <c r="AM274" i="9" s="1"/>
  <c r="AL275" i="9"/>
  <c r="AM275" i="9" s="1"/>
  <c r="AL276" i="9"/>
  <c r="AM276" i="9" s="1"/>
  <c r="AN274" i="9"/>
  <c r="AN275" i="9"/>
  <c r="AN276" i="9"/>
  <c r="AE269" i="9"/>
  <c r="AE270" i="9"/>
  <c r="AE271" i="9"/>
  <c r="AE272" i="9"/>
  <c r="AE273" i="9"/>
  <c r="AF269" i="9"/>
  <c r="AF270" i="9"/>
  <c r="AF271" i="9"/>
  <c r="AF272" i="9"/>
  <c r="AF273" i="9"/>
  <c r="AG269" i="9"/>
  <c r="AG270" i="9"/>
  <c r="AG271" i="9"/>
  <c r="AG272" i="9"/>
  <c r="AG273" i="9"/>
  <c r="AH269" i="9"/>
  <c r="AH270" i="9"/>
  <c r="AH271" i="9"/>
  <c r="AH272" i="9"/>
  <c r="AH273" i="9"/>
  <c r="AI269" i="9"/>
  <c r="AI270" i="9"/>
  <c r="AI271" i="9"/>
  <c r="AI272" i="9"/>
  <c r="AI273" i="9"/>
  <c r="AJ269" i="9"/>
  <c r="AJ270" i="9"/>
  <c r="AJ271" i="9"/>
  <c r="AJ272" i="9"/>
  <c r="AJ273" i="9"/>
  <c r="AK269" i="9"/>
  <c r="AK270" i="9"/>
  <c r="AK271" i="9"/>
  <c r="AK272" i="9"/>
  <c r="AK273" i="9"/>
  <c r="AL269" i="9"/>
  <c r="AM269" i="9" s="1"/>
  <c r="AL270" i="9"/>
  <c r="AM270" i="9" s="1"/>
  <c r="AL271" i="9"/>
  <c r="AM271" i="9" s="1"/>
  <c r="AL272" i="9"/>
  <c r="AM272" i="9" s="1"/>
  <c r="AL273" i="9"/>
  <c r="AM273" i="9" s="1"/>
  <c r="AN269" i="9"/>
  <c r="AN270" i="9"/>
  <c r="AN271" i="9"/>
  <c r="AN272" i="9"/>
  <c r="AN273" i="9"/>
  <c r="AE265" i="9"/>
  <c r="AE266" i="9"/>
  <c r="AE267" i="9"/>
  <c r="AE268" i="9"/>
  <c r="AF265" i="9"/>
  <c r="AF266" i="9"/>
  <c r="AF267" i="9"/>
  <c r="AF268" i="9"/>
  <c r="AG265" i="9"/>
  <c r="AG266" i="9"/>
  <c r="AG267" i="9"/>
  <c r="AG268" i="9"/>
  <c r="AH265" i="9"/>
  <c r="AH266" i="9"/>
  <c r="AH267" i="9"/>
  <c r="AH268" i="9"/>
  <c r="AI265" i="9"/>
  <c r="AI266" i="9"/>
  <c r="AI267" i="9"/>
  <c r="AI268" i="9"/>
  <c r="AJ265" i="9"/>
  <c r="AJ266" i="9"/>
  <c r="AJ267" i="9"/>
  <c r="AJ268" i="9"/>
  <c r="AK265" i="9"/>
  <c r="AK266" i="9"/>
  <c r="AK267" i="9"/>
  <c r="AK268" i="9"/>
  <c r="AL265" i="9"/>
  <c r="AM265" i="9" s="1"/>
  <c r="AL266" i="9"/>
  <c r="AM266" i="9" s="1"/>
  <c r="AL267" i="9"/>
  <c r="AM267" i="9" s="1"/>
  <c r="AL268" i="9"/>
  <c r="AM268" i="9" s="1"/>
  <c r="AN265" i="9"/>
  <c r="AN266" i="9"/>
  <c r="AN267" i="9"/>
  <c r="AN268" i="9"/>
  <c r="AE262" i="9"/>
  <c r="AE263" i="9"/>
  <c r="AE264" i="9"/>
  <c r="AF262" i="9"/>
  <c r="AF263" i="9"/>
  <c r="AF264" i="9"/>
  <c r="AG262" i="9"/>
  <c r="AG263" i="9"/>
  <c r="AG264" i="9"/>
  <c r="AH262" i="9"/>
  <c r="AH263" i="9"/>
  <c r="AH264" i="9"/>
  <c r="AI262" i="9"/>
  <c r="AI263" i="9"/>
  <c r="AI264" i="9"/>
  <c r="AJ262" i="9"/>
  <c r="AJ263" i="9"/>
  <c r="AJ264" i="9"/>
  <c r="AK262" i="9"/>
  <c r="AK263" i="9"/>
  <c r="AK264" i="9"/>
  <c r="AL262" i="9"/>
  <c r="AM262" i="9" s="1"/>
  <c r="AL263" i="9"/>
  <c r="AM263" i="9" s="1"/>
  <c r="AL264" i="9"/>
  <c r="AM264" i="9" s="1"/>
  <c r="AN262" i="9"/>
  <c r="AN263" i="9"/>
  <c r="AN264" i="9"/>
  <c r="AE260" i="9"/>
  <c r="AE261" i="9"/>
  <c r="AF260" i="9"/>
  <c r="AF261" i="9"/>
  <c r="AG260" i="9"/>
  <c r="AG261" i="9"/>
  <c r="AH260" i="9"/>
  <c r="AH261" i="9"/>
  <c r="AI260" i="9"/>
  <c r="AI261" i="9"/>
  <c r="AJ260" i="9"/>
  <c r="AJ261" i="9"/>
  <c r="AK260" i="9"/>
  <c r="AK261" i="9"/>
  <c r="AL260" i="9"/>
  <c r="AM260" i="9" s="1"/>
  <c r="AL261" i="9"/>
  <c r="AM261" i="9" s="1"/>
  <c r="AN260" i="9"/>
  <c r="AN261" i="9"/>
  <c r="AE257" i="9"/>
  <c r="AE258" i="9"/>
  <c r="AE259" i="9"/>
  <c r="AF257" i="9"/>
  <c r="AF258" i="9"/>
  <c r="AF259" i="9"/>
  <c r="AG257" i="9"/>
  <c r="AG258" i="9"/>
  <c r="AG259" i="9"/>
  <c r="AH257" i="9"/>
  <c r="AH258" i="9"/>
  <c r="AH259" i="9"/>
  <c r="AI257" i="9"/>
  <c r="AI258" i="9"/>
  <c r="AI259" i="9"/>
  <c r="AJ257" i="9"/>
  <c r="AJ258" i="9"/>
  <c r="AJ259" i="9"/>
  <c r="AK257" i="9"/>
  <c r="AK258" i="9"/>
  <c r="AK259" i="9"/>
  <c r="AL257" i="9"/>
  <c r="AM257" i="9" s="1"/>
  <c r="AL258" i="9"/>
  <c r="AM258" i="9" s="1"/>
  <c r="AL259" i="9"/>
  <c r="AM259" i="9" s="1"/>
  <c r="AN257" i="9"/>
  <c r="AN258" i="9"/>
  <c r="AN259" i="9"/>
  <c r="L3" i="9" l="1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C54" i="33"/>
  <c r="E6" i="28" a="1"/>
  <c r="G6" i="28" a="1"/>
  <c r="G24" i="28" a="1"/>
  <c r="I29" i="28" a="1"/>
  <c r="I30" i="28" a="1"/>
  <c r="E30" i="28" a="1"/>
  <c r="E16" i="28" a="1"/>
  <c r="I13" i="28" a="1"/>
  <c r="G11" i="28" a="1"/>
  <c r="E23" i="28" a="1"/>
  <c r="G25" i="28" a="1"/>
  <c r="I21" i="28" a="1"/>
  <c r="H23" i="28" a="1"/>
  <c r="G9" i="28" a="1"/>
  <c r="I15" i="28" a="1"/>
  <c r="G20" i="28" a="1"/>
  <c r="H10" i="28" a="1"/>
  <c r="H11" i="28" a="1"/>
  <c r="H22" i="28" a="1"/>
  <c r="I25" i="28" a="1"/>
  <c r="E13" i="28" a="1"/>
  <c r="H8" i="28" a="1"/>
  <c r="I28" i="28" a="1"/>
  <c r="H27" i="28" a="1"/>
  <c r="I27" i="28" a="1"/>
  <c r="E11" i="28" a="1"/>
  <c r="I22" i="28" a="1"/>
  <c r="E26" i="28" a="1"/>
  <c r="E17" i="28" a="1"/>
  <c r="E22" i="28" a="1"/>
  <c r="G16" i="28" a="1"/>
  <c r="I6" i="28" a="1"/>
  <c r="E8" i="28" a="1"/>
  <c r="H15" i="28" a="1"/>
  <c r="G8" i="28" a="1"/>
  <c r="H7" i="28" a="1"/>
  <c r="G14" i="28" a="1"/>
  <c r="H16" i="28" a="1"/>
  <c r="I11" i="28" a="1"/>
  <c r="E24" i="28" a="1"/>
  <c r="I18" i="28" a="1"/>
  <c r="I7" i="28" a="1"/>
  <c r="E25" i="28" a="1"/>
  <c r="E10" i="28" a="1"/>
  <c r="H24" i="28" a="1"/>
  <c r="G30" i="28" a="1"/>
  <c r="I20" i="28" a="1"/>
  <c r="H13" i="28" a="1"/>
  <c r="E15" i="28" a="1"/>
  <c r="I14" i="28" a="1"/>
  <c r="I23" i="28" a="1"/>
  <c r="G23" i="28" a="1"/>
  <c r="G15" i="28" a="1"/>
  <c r="H17" i="28" a="1"/>
  <c r="G17" i="28" a="1"/>
  <c r="E27" i="28" a="1"/>
  <c r="G12" i="28" a="1"/>
  <c r="G28" i="28" a="1"/>
  <c r="G13" i="28" a="1"/>
  <c r="H25" i="28" a="1"/>
  <c r="I12" i="28" a="1"/>
  <c r="E14" i="28" a="1"/>
  <c r="H19" i="28" a="1"/>
  <c r="E28" i="28" a="1"/>
  <c r="I9" i="28" a="1"/>
  <c r="H21" i="28" a="1"/>
  <c r="I26" i="28" a="1"/>
  <c r="E9" i="28" a="1"/>
  <c r="H30" i="28" a="1"/>
  <c r="G22" i="28" a="1"/>
  <c r="H6" i="28" a="1"/>
  <c r="I17" i="28" a="1"/>
  <c r="G27" i="28" a="1"/>
  <c r="H12" i="28" a="1"/>
  <c r="G10" i="28" a="1"/>
  <c r="E20" i="28" a="1"/>
  <c r="H29" i="28" a="1"/>
  <c r="I19" i="28" a="1"/>
  <c r="E7" i="28" a="1"/>
  <c r="G7" i="28" a="1"/>
  <c r="H9" i="28" a="1"/>
  <c r="H28" i="28" a="1"/>
  <c r="E21" i="28" a="1"/>
  <c r="E19" i="28" a="1"/>
  <c r="G19" i="28" a="1"/>
  <c r="I16" i="28" a="1"/>
  <c r="E29" i="28" a="1"/>
  <c r="G29" i="28" a="1"/>
  <c r="H20" i="28" a="1"/>
  <c r="E12" i="28" a="1"/>
  <c r="G18" i="28" a="1"/>
  <c r="I8" i="28" a="1"/>
  <c r="E18" i="28" a="1"/>
  <c r="G26" i="28" a="1"/>
  <c r="H18" i="28" a="1"/>
  <c r="H14" i="28" a="1"/>
  <c r="G21" i="28" a="1"/>
  <c r="I24" i="28" a="1"/>
  <c r="I10" i="28" a="1"/>
  <c r="H26" i="28" a="1"/>
  <c r="I19" i="28" l="1"/>
  <c r="I24" i="28"/>
  <c r="I23" i="28"/>
  <c r="I20" i="28"/>
  <c r="I28" i="28"/>
  <c r="I21" i="28"/>
  <c r="I25" i="28"/>
  <c r="I29" i="28"/>
  <c r="I26" i="28"/>
  <c r="I27" i="28"/>
  <c r="I22" i="28"/>
  <c r="I30" i="28"/>
  <c r="G19" i="28"/>
  <c r="G28" i="28"/>
  <c r="G20" i="28"/>
  <c r="G24" i="28"/>
  <c r="G21" i="28"/>
  <c r="G29" i="28"/>
  <c r="G25" i="28"/>
  <c r="G30" i="28"/>
  <c r="G23" i="28"/>
  <c r="G22" i="28"/>
  <c r="G26" i="28"/>
  <c r="G27" i="28"/>
  <c r="H20" i="28"/>
  <c r="H21" i="28"/>
  <c r="H25" i="28"/>
  <c r="H29" i="28"/>
  <c r="H22" i="28"/>
  <c r="H30" i="28"/>
  <c r="H24" i="28"/>
  <c r="H26" i="28"/>
  <c r="H28" i="28"/>
  <c r="H23" i="28"/>
  <c r="H19" i="28"/>
  <c r="H27" i="28"/>
  <c r="E19" i="28"/>
  <c r="E27" i="28"/>
  <c r="E24" i="28"/>
  <c r="E20" i="28"/>
  <c r="E28" i="28"/>
  <c r="E25" i="28"/>
  <c r="E26" i="28"/>
  <c r="E21" i="28"/>
  <c r="E29" i="28"/>
  <c r="E30" i="28"/>
  <c r="E22" i="28"/>
  <c r="E23" i="28"/>
  <c r="E15" i="28"/>
  <c r="E18" i="28"/>
  <c r="E14" i="28"/>
  <c r="E17" i="28"/>
  <c r="E13" i="28"/>
  <c r="E12" i="28"/>
  <c r="E16" i="28"/>
  <c r="H15" i="28"/>
  <c r="H18" i="28"/>
  <c r="H14" i="28"/>
  <c r="H17" i="28"/>
  <c r="H13" i="28"/>
  <c r="H16" i="28"/>
  <c r="H12" i="28"/>
  <c r="G14" i="28"/>
  <c r="G18" i="28"/>
  <c r="G12" i="28"/>
  <c r="G17" i="28"/>
  <c r="G16" i="28"/>
  <c r="G13" i="28"/>
  <c r="G15" i="28"/>
  <c r="I14" i="28"/>
  <c r="I18" i="28"/>
  <c r="I17" i="28"/>
  <c r="I13" i="28"/>
  <c r="I16" i="28"/>
  <c r="I12" i="28"/>
  <c r="I15" i="28"/>
  <c r="I7" i="28"/>
  <c r="I11" i="28"/>
  <c r="I8" i="28"/>
  <c r="I9" i="28"/>
  <c r="I10" i="28"/>
  <c r="I6" i="28"/>
  <c r="G9" i="28"/>
  <c r="G11" i="28"/>
  <c r="G10" i="28"/>
  <c r="G8" i="28"/>
  <c r="G7" i="28"/>
  <c r="G6" i="28"/>
  <c r="H8" i="28"/>
  <c r="H9" i="28"/>
  <c r="H10" i="28"/>
  <c r="H7" i="28"/>
  <c r="H11" i="28"/>
  <c r="H6" i="28"/>
  <c r="E9" i="28"/>
  <c r="E10" i="28"/>
  <c r="E11" i="28"/>
  <c r="E7" i="28"/>
  <c r="E8" i="28"/>
  <c r="E6" i="28"/>
  <c r="AE252" i="9"/>
  <c r="AE253" i="9"/>
  <c r="AE254" i="9"/>
  <c r="AE255" i="9"/>
  <c r="AE256" i="9"/>
  <c r="AF252" i="9"/>
  <c r="AF253" i="9"/>
  <c r="AF254" i="9"/>
  <c r="AF255" i="9"/>
  <c r="AF256" i="9"/>
  <c r="AG252" i="9"/>
  <c r="AG253" i="9"/>
  <c r="AG254" i="9"/>
  <c r="AG255" i="9"/>
  <c r="AG256" i="9"/>
  <c r="AH252" i="9"/>
  <c r="AH253" i="9"/>
  <c r="AH254" i="9"/>
  <c r="AH255" i="9"/>
  <c r="AH256" i="9"/>
  <c r="AI252" i="9"/>
  <c r="AI253" i="9"/>
  <c r="AI254" i="9"/>
  <c r="AI255" i="9"/>
  <c r="AI256" i="9"/>
  <c r="AJ252" i="9"/>
  <c r="AJ253" i="9"/>
  <c r="AJ254" i="9"/>
  <c r="AJ255" i="9"/>
  <c r="AJ256" i="9"/>
  <c r="AK252" i="9"/>
  <c r="AK253" i="9"/>
  <c r="AK254" i="9"/>
  <c r="AK255" i="9"/>
  <c r="AK256" i="9"/>
  <c r="AL252" i="9"/>
  <c r="AM252" i="9" s="1"/>
  <c r="AL253" i="9"/>
  <c r="AM253" i="9" s="1"/>
  <c r="AL254" i="9"/>
  <c r="AM254" i="9" s="1"/>
  <c r="AL255" i="9"/>
  <c r="AM255" i="9" s="1"/>
  <c r="AL256" i="9"/>
  <c r="AM256" i="9" s="1"/>
  <c r="AN252" i="9"/>
  <c r="AN253" i="9"/>
  <c r="AN254" i="9"/>
  <c r="AN255" i="9"/>
  <c r="AN256" i="9"/>
  <c r="AE251" i="9" l="1"/>
  <c r="AF251" i="9"/>
  <c r="AG251" i="9"/>
  <c r="AH251" i="9"/>
  <c r="AI251" i="9"/>
  <c r="AJ251" i="9"/>
  <c r="AK251" i="9"/>
  <c r="AL251" i="9"/>
  <c r="AM251" i="9" s="1"/>
  <c r="AN251" i="9"/>
  <c r="AE248" i="9" l="1"/>
  <c r="AE249" i="9"/>
  <c r="AE250" i="9"/>
  <c r="AF248" i="9"/>
  <c r="AF249" i="9"/>
  <c r="AF250" i="9"/>
  <c r="AG248" i="9"/>
  <c r="AG249" i="9"/>
  <c r="AG250" i="9"/>
  <c r="AH248" i="9"/>
  <c r="AH249" i="9"/>
  <c r="AH250" i="9"/>
  <c r="AI248" i="9"/>
  <c r="AI249" i="9"/>
  <c r="AI250" i="9"/>
  <c r="AJ248" i="9"/>
  <c r="AJ249" i="9"/>
  <c r="AJ250" i="9"/>
  <c r="AK248" i="9"/>
  <c r="AK249" i="9"/>
  <c r="AK250" i="9"/>
  <c r="AL248" i="9"/>
  <c r="AM248" i="9" s="1"/>
  <c r="AL249" i="9"/>
  <c r="AM249" i="9" s="1"/>
  <c r="AL250" i="9"/>
  <c r="AM250" i="9" s="1"/>
  <c r="AN248" i="9"/>
  <c r="AN249" i="9"/>
  <c r="AN250" i="9"/>
  <c r="AE245" i="9" l="1"/>
  <c r="AE246" i="9"/>
  <c r="AE247" i="9"/>
  <c r="AF245" i="9"/>
  <c r="AF246" i="9"/>
  <c r="AF247" i="9"/>
  <c r="AG245" i="9"/>
  <c r="AG246" i="9"/>
  <c r="AG247" i="9"/>
  <c r="AH245" i="9"/>
  <c r="AH246" i="9"/>
  <c r="AH247" i="9"/>
  <c r="AI245" i="9"/>
  <c r="L11" i="35" s="1"/>
  <c r="AI246" i="9"/>
  <c r="AI247" i="9"/>
  <c r="AJ245" i="9"/>
  <c r="AJ246" i="9"/>
  <c r="AJ247" i="9"/>
  <c r="AK245" i="9"/>
  <c r="AK246" i="9"/>
  <c r="AK247" i="9"/>
  <c r="AL245" i="9"/>
  <c r="AM245" i="9" s="1"/>
  <c r="AL246" i="9"/>
  <c r="AM246" i="9" s="1"/>
  <c r="AL247" i="9"/>
  <c r="AM247" i="9" s="1"/>
  <c r="AN245" i="9"/>
  <c r="AN246" i="9"/>
  <c r="AN247" i="9"/>
  <c r="O5" i="33" l="1"/>
  <c r="O6" i="33"/>
  <c r="O7" i="33"/>
  <c r="O8" i="33"/>
  <c r="O9" i="33"/>
  <c r="O10" i="33"/>
  <c r="O16" i="33"/>
  <c r="O17" i="33"/>
  <c r="O18" i="33"/>
  <c r="O19" i="33"/>
  <c r="O20" i="33"/>
  <c r="O21" i="33"/>
  <c r="O22" i="33"/>
  <c r="O23" i="33"/>
  <c r="O25" i="33"/>
  <c r="O26" i="33"/>
  <c r="O27" i="33"/>
  <c r="O28" i="33"/>
  <c r="O29" i="33"/>
  <c r="O30" i="33"/>
  <c r="O31" i="33"/>
  <c r="O32" i="33"/>
  <c r="O33" i="33"/>
  <c r="O34" i="33"/>
  <c r="O35" i="33"/>
  <c r="O36" i="33"/>
  <c r="O37" i="33"/>
  <c r="O38" i="33"/>
  <c r="O39" i="33"/>
  <c r="O40" i="33"/>
  <c r="O42" i="33"/>
  <c r="O43" i="33"/>
  <c r="O44" i="33"/>
  <c r="O45" i="33"/>
  <c r="O46" i="33"/>
  <c r="O47" i="33"/>
  <c r="O49" i="33"/>
  <c r="O50" i="33"/>
  <c r="O52" i="33"/>
  <c r="O53" i="33"/>
  <c r="O54" i="33"/>
  <c r="O55" i="33"/>
  <c r="O56" i="33"/>
  <c r="O57" i="33"/>
  <c r="O58" i="33"/>
  <c r="O59" i="33"/>
  <c r="O62" i="33"/>
  <c r="O63" i="33"/>
  <c r="O64" i="33"/>
  <c r="O65" i="33"/>
  <c r="O66" i="33"/>
  <c r="O67" i="33"/>
  <c r="O68" i="33"/>
  <c r="O69" i="33"/>
  <c r="O70" i="33"/>
  <c r="O71" i="33"/>
  <c r="O72" i="33"/>
  <c r="O4" i="33"/>
  <c r="D11" i="33"/>
  <c r="O11" i="33" s="1"/>
  <c r="C61" i="33"/>
  <c r="D61" i="33"/>
  <c r="O61" i="33" s="1"/>
  <c r="D60" i="33"/>
  <c r="O60" i="33" s="1"/>
  <c r="O51" i="33"/>
  <c r="D24" i="33"/>
  <c r="O24" i="33" s="1"/>
  <c r="D48" i="33"/>
  <c r="O48" i="33" s="1"/>
  <c r="D15" i="33"/>
  <c r="O15" i="33" s="1"/>
  <c r="D14" i="33"/>
  <c r="O14" i="33" s="1"/>
  <c r="D13" i="33"/>
  <c r="O13" i="33" s="1"/>
  <c r="D12" i="33"/>
  <c r="O12" i="33" s="1"/>
  <c r="F72" i="37" l="1"/>
  <c r="AE242" i="9"/>
  <c r="AE243" i="9"/>
  <c r="AE244" i="9"/>
  <c r="AF242" i="9"/>
  <c r="AF243" i="9"/>
  <c r="AF244" i="9"/>
  <c r="AG242" i="9"/>
  <c r="AG243" i="9"/>
  <c r="AG244" i="9"/>
  <c r="AH242" i="9"/>
  <c r="AH243" i="9"/>
  <c r="AH244" i="9"/>
  <c r="AI242" i="9"/>
  <c r="AI243" i="9"/>
  <c r="AI244" i="9"/>
  <c r="AJ242" i="9"/>
  <c r="AJ243" i="9"/>
  <c r="AJ244" i="9"/>
  <c r="AK242" i="9"/>
  <c r="AK243" i="9"/>
  <c r="AK244" i="9"/>
  <c r="AL242" i="9"/>
  <c r="AM242" i="9" s="1"/>
  <c r="AL243" i="9"/>
  <c r="AM243" i="9" s="1"/>
  <c r="AL244" i="9"/>
  <c r="AM244" i="9" s="1"/>
  <c r="AN242" i="9"/>
  <c r="AN243" i="9"/>
  <c r="AN244" i="9"/>
  <c r="C4" i="37" l="1"/>
  <c r="D4" i="37" s="1"/>
  <c r="C5" i="37"/>
  <c r="D5" i="37" s="1"/>
  <c r="C6" i="37"/>
  <c r="D6" i="37" s="1"/>
  <c r="C7" i="37"/>
  <c r="D7" i="37" s="1"/>
  <c r="C8" i="37"/>
  <c r="D8" i="37" s="1"/>
  <c r="C9" i="37"/>
  <c r="D9" i="37" s="1"/>
  <c r="C10" i="37"/>
  <c r="D10" i="37" s="1"/>
  <c r="C11" i="37"/>
  <c r="D11" i="37" s="1"/>
  <c r="C12" i="37"/>
  <c r="D12" i="37" s="1"/>
  <c r="C13" i="37"/>
  <c r="D13" i="37" s="1"/>
  <c r="C14" i="37"/>
  <c r="D14" i="37" s="1"/>
  <c r="C15" i="37"/>
  <c r="D15" i="37" s="1"/>
  <c r="C16" i="37"/>
  <c r="D16" i="37" s="1"/>
  <c r="C17" i="37"/>
  <c r="D17" i="37" s="1"/>
  <c r="C18" i="37"/>
  <c r="D18" i="37" s="1"/>
  <c r="C19" i="37"/>
  <c r="D19" i="37" s="1"/>
  <c r="C20" i="37"/>
  <c r="D20" i="37" s="1"/>
  <c r="C21" i="37"/>
  <c r="D21" i="37" s="1"/>
  <c r="C22" i="37"/>
  <c r="D22" i="37" s="1"/>
  <c r="C23" i="37"/>
  <c r="D23" i="37" s="1"/>
  <c r="C24" i="37"/>
  <c r="D24" i="37" s="1"/>
  <c r="C25" i="37"/>
  <c r="D25" i="37" s="1"/>
  <c r="C26" i="37"/>
  <c r="D26" i="37" s="1"/>
  <c r="C27" i="37"/>
  <c r="D27" i="37" s="1"/>
  <c r="C28" i="37"/>
  <c r="D28" i="37" s="1"/>
  <c r="C29" i="37"/>
  <c r="D29" i="37" s="1"/>
  <c r="C30" i="37"/>
  <c r="D30" i="37" s="1"/>
  <c r="C31" i="37"/>
  <c r="D31" i="37" s="1"/>
  <c r="C32" i="37"/>
  <c r="D32" i="37" s="1"/>
  <c r="C33" i="37"/>
  <c r="D33" i="37" s="1"/>
  <c r="C34" i="37"/>
  <c r="D34" i="37" s="1"/>
  <c r="C35" i="37"/>
  <c r="D35" i="37" s="1"/>
  <c r="C36" i="37"/>
  <c r="D36" i="37" s="1"/>
  <c r="C37" i="37"/>
  <c r="D37" i="37" s="1"/>
  <c r="C38" i="37"/>
  <c r="D38" i="37" s="1"/>
  <c r="C39" i="37"/>
  <c r="D39" i="37" s="1"/>
  <c r="C40" i="37"/>
  <c r="D40" i="37" s="1"/>
  <c r="C41" i="37"/>
  <c r="D41" i="37" s="1"/>
  <c r="C42" i="37"/>
  <c r="D42" i="37" s="1"/>
  <c r="C43" i="37"/>
  <c r="D43" i="37" s="1"/>
  <c r="C44" i="37"/>
  <c r="D44" i="37" s="1"/>
  <c r="C45" i="37"/>
  <c r="D45" i="37" s="1"/>
  <c r="C46" i="37"/>
  <c r="D46" i="37" s="1"/>
  <c r="C47" i="37"/>
  <c r="D47" i="37" s="1"/>
  <c r="C48" i="37"/>
  <c r="D48" i="37" s="1"/>
  <c r="C49" i="37"/>
  <c r="D49" i="37" s="1"/>
  <c r="C50" i="37"/>
  <c r="D50" i="37" s="1"/>
  <c r="C51" i="37"/>
  <c r="D51" i="37" s="1"/>
  <c r="C52" i="37"/>
  <c r="D52" i="37" s="1"/>
  <c r="C53" i="37"/>
  <c r="D53" i="37" s="1"/>
  <c r="C54" i="37"/>
  <c r="D54" i="37" s="1"/>
  <c r="C55" i="37"/>
  <c r="D55" i="37" s="1"/>
  <c r="C56" i="37"/>
  <c r="D56" i="37" s="1"/>
  <c r="C57" i="37"/>
  <c r="D57" i="37" s="1"/>
  <c r="C58" i="37"/>
  <c r="D58" i="37" s="1"/>
  <c r="C59" i="37"/>
  <c r="D59" i="37" s="1"/>
  <c r="C60" i="37"/>
  <c r="D60" i="37" s="1"/>
  <c r="C61" i="37"/>
  <c r="D61" i="37" s="1"/>
  <c r="C62" i="37"/>
  <c r="D62" i="37" s="1"/>
  <c r="C63" i="37"/>
  <c r="D63" i="37" s="1"/>
  <c r="C64" i="37"/>
  <c r="D64" i="37" s="1"/>
  <c r="C65" i="37"/>
  <c r="D65" i="37" s="1"/>
  <c r="C66" i="37"/>
  <c r="D66" i="37" s="1"/>
  <c r="C67" i="37"/>
  <c r="D67" i="37" s="1"/>
  <c r="C68" i="37"/>
  <c r="D68" i="37" s="1"/>
  <c r="C69" i="37"/>
  <c r="D69" i="37" s="1"/>
  <c r="C70" i="37"/>
  <c r="D70" i="37" s="1"/>
  <c r="C71" i="37"/>
  <c r="D71" i="37" s="1"/>
  <c r="C3" i="37"/>
  <c r="D3" i="37" s="1"/>
  <c r="M16" i="34"/>
  <c r="K16" i="34"/>
  <c r="AE239" i="9"/>
  <c r="AE240" i="9"/>
  <c r="AE241" i="9"/>
  <c r="AF239" i="9"/>
  <c r="AF240" i="9"/>
  <c r="AF241" i="9"/>
  <c r="AG239" i="9"/>
  <c r="AG240" i="9"/>
  <c r="AG241" i="9"/>
  <c r="AH239" i="9"/>
  <c r="AH240" i="9"/>
  <c r="AH241" i="9"/>
  <c r="AI239" i="9"/>
  <c r="AI240" i="9"/>
  <c r="AI241" i="9"/>
  <c r="AJ239" i="9"/>
  <c r="AJ240" i="9"/>
  <c r="AJ241" i="9"/>
  <c r="AK239" i="9"/>
  <c r="AK240" i="9"/>
  <c r="AK241" i="9"/>
  <c r="AL239" i="9"/>
  <c r="AM239" i="9" s="1"/>
  <c r="AL240" i="9"/>
  <c r="AM240" i="9" s="1"/>
  <c r="AL241" i="9"/>
  <c r="AM241" i="9" s="1"/>
  <c r="AN239" i="9"/>
  <c r="AN240" i="9"/>
  <c r="AN241" i="9"/>
  <c r="E66" i="37" l="1"/>
  <c r="E58" i="37"/>
  <c r="E50" i="37"/>
  <c r="E42" i="37"/>
  <c r="E34" i="37"/>
  <c r="E26" i="37"/>
  <c r="E18" i="37"/>
  <c r="E10" i="37"/>
  <c r="E69" i="37"/>
  <c r="E8" i="37"/>
  <c r="E61" i="37"/>
  <c r="E45" i="37"/>
  <c r="E29" i="37"/>
  <c r="E52" i="37"/>
  <c r="E36" i="37"/>
  <c r="E20" i="37"/>
  <c r="E51" i="37"/>
  <c r="E43" i="37"/>
  <c r="E27" i="37"/>
  <c r="E65" i="37"/>
  <c r="E41" i="37"/>
  <c r="E17" i="37"/>
  <c r="E3" i="37"/>
  <c r="E56" i="37"/>
  <c r="E40" i="37"/>
  <c r="E16" i="37"/>
  <c r="E71" i="37"/>
  <c r="E63" i="37"/>
  <c r="E55" i="37"/>
  <c r="E47" i="37"/>
  <c r="E39" i="37"/>
  <c r="E31" i="37"/>
  <c r="E23" i="37"/>
  <c r="E15" i="37"/>
  <c r="E7" i="37"/>
  <c r="E53" i="37"/>
  <c r="E37" i="37"/>
  <c r="E21" i="37"/>
  <c r="E68" i="37"/>
  <c r="E60" i="37"/>
  <c r="E44" i="37"/>
  <c r="E28" i="37"/>
  <c r="E67" i="37"/>
  <c r="E59" i="37"/>
  <c r="E35" i="37"/>
  <c r="E19" i="37"/>
  <c r="E57" i="37"/>
  <c r="E49" i="37"/>
  <c r="E33" i="37"/>
  <c r="E25" i="37"/>
  <c r="E9" i="37"/>
  <c r="E64" i="37"/>
  <c r="E48" i="37"/>
  <c r="E32" i="37"/>
  <c r="E24" i="37"/>
  <c r="E70" i="37"/>
  <c r="E62" i="37"/>
  <c r="E54" i="37"/>
  <c r="E46" i="37"/>
  <c r="E38" i="37"/>
  <c r="E30" i="37"/>
  <c r="E22" i="37"/>
  <c r="E14" i="37"/>
  <c r="E6" i="37"/>
  <c r="E5" i="37"/>
  <c r="E4" i="37"/>
  <c r="E11" i="37"/>
  <c r="E13" i="37"/>
  <c r="E12" i="37"/>
  <c r="D72" i="37"/>
  <c r="AE233" i="9"/>
  <c r="AE234" i="9"/>
  <c r="AE235" i="9"/>
  <c r="AE236" i="9"/>
  <c r="AE237" i="9"/>
  <c r="AE238" i="9"/>
  <c r="AF233" i="9"/>
  <c r="AF234" i="9"/>
  <c r="AF235" i="9"/>
  <c r="AF236" i="9"/>
  <c r="AF237" i="9"/>
  <c r="AF238" i="9"/>
  <c r="AG233" i="9"/>
  <c r="AG234" i="9"/>
  <c r="AG235" i="9"/>
  <c r="AG236" i="9"/>
  <c r="AG237" i="9"/>
  <c r="AG238" i="9"/>
  <c r="AH233" i="9"/>
  <c r="AH234" i="9"/>
  <c r="AH235" i="9"/>
  <c r="AH236" i="9"/>
  <c r="AH237" i="9"/>
  <c r="AH238" i="9"/>
  <c r="AI233" i="9"/>
  <c r="AI234" i="9"/>
  <c r="AI235" i="9"/>
  <c r="AI236" i="9"/>
  <c r="AI237" i="9"/>
  <c r="AI238" i="9"/>
  <c r="AJ233" i="9"/>
  <c r="AJ234" i="9"/>
  <c r="AJ235" i="9"/>
  <c r="AJ236" i="9"/>
  <c r="AJ237" i="9"/>
  <c r="AJ238" i="9"/>
  <c r="AK233" i="9"/>
  <c r="AK234" i="9"/>
  <c r="AK235" i="9"/>
  <c r="AK236" i="9"/>
  <c r="AK237" i="9"/>
  <c r="AK238" i="9"/>
  <c r="AL233" i="9"/>
  <c r="AM233" i="9" s="1"/>
  <c r="AL234" i="9"/>
  <c r="AM234" i="9" s="1"/>
  <c r="AL235" i="9"/>
  <c r="AM235" i="9" s="1"/>
  <c r="AL236" i="9"/>
  <c r="AM236" i="9" s="1"/>
  <c r="AL237" i="9"/>
  <c r="AM237" i="9" s="1"/>
  <c r="AL238" i="9"/>
  <c r="AM238" i="9" s="1"/>
  <c r="AN233" i="9"/>
  <c r="AN234" i="9"/>
  <c r="AN235" i="9"/>
  <c r="AN236" i="9"/>
  <c r="AN237" i="9"/>
  <c r="AN238" i="9"/>
  <c r="L10" i="35" l="1"/>
  <c r="E72" i="37"/>
  <c r="C20" i="29"/>
  <c r="D20" i="29"/>
  <c r="E20" i="29"/>
  <c r="F20" i="29"/>
  <c r="G20" i="29"/>
  <c r="H20" i="29"/>
  <c r="I20" i="29"/>
  <c r="J20" i="29"/>
  <c r="K20" i="29"/>
  <c r="L20" i="29"/>
  <c r="M20" i="29"/>
  <c r="B20" i="29"/>
  <c r="AE229" i="9" l="1"/>
  <c r="AE230" i="9"/>
  <c r="AE231" i="9"/>
  <c r="AE232" i="9"/>
  <c r="AF229" i="9"/>
  <c r="AF230" i="9"/>
  <c r="AF231" i="9"/>
  <c r="AF232" i="9"/>
  <c r="AG229" i="9"/>
  <c r="AG230" i="9"/>
  <c r="AG231" i="9"/>
  <c r="AG232" i="9"/>
  <c r="AH229" i="9"/>
  <c r="AH230" i="9"/>
  <c r="AH231" i="9"/>
  <c r="AH232" i="9"/>
  <c r="AI229" i="9"/>
  <c r="AI230" i="9"/>
  <c r="AI231" i="9"/>
  <c r="AI232" i="9"/>
  <c r="AJ229" i="9"/>
  <c r="AJ230" i="9"/>
  <c r="AJ231" i="9"/>
  <c r="AJ232" i="9"/>
  <c r="AK229" i="9"/>
  <c r="AK230" i="9"/>
  <c r="AK231" i="9"/>
  <c r="AK232" i="9"/>
  <c r="AL229" i="9"/>
  <c r="AM229" i="9" s="1"/>
  <c r="AL230" i="9"/>
  <c r="AM230" i="9" s="1"/>
  <c r="AL231" i="9"/>
  <c r="AM231" i="9" s="1"/>
  <c r="AL232" i="9"/>
  <c r="AM232" i="9" s="1"/>
  <c r="AN229" i="9"/>
  <c r="AN230" i="9"/>
  <c r="AN231" i="9"/>
  <c r="AN232" i="9"/>
  <c r="AE226" i="9" l="1"/>
  <c r="AE227" i="9"/>
  <c r="AE228" i="9"/>
  <c r="AF226" i="9"/>
  <c r="AF227" i="9"/>
  <c r="AF228" i="9"/>
  <c r="AG226" i="9"/>
  <c r="AG227" i="9"/>
  <c r="AG228" i="9"/>
  <c r="AH226" i="9"/>
  <c r="AH227" i="9"/>
  <c r="AH228" i="9"/>
  <c r="AI226" i="9"/>
  <c r="AI227" i="9"/>
  <c r="AI228" i="9"/>
  <c r="AJ226" i="9"/>
  <c r="AJ227" i="9"/>
  <c r="AJ228" i="9"/>
  <c r="AK226" i="9"/>
  <c r="AK227" i="9"/>
  <c r="AK228" i="9"/>
  <c r="AL226" i="9"/>
  <c r="AM226" i="9" s="1"/>
  <c r="AL227" i="9"/>
  <c r="AM227" i="9" s="1"/>
  <c r="AL228" i="9"/>
  <c r="AM228" i="9" s="1"/>
  <c r="AN226" i="9"/>
  <c r="AN227" i="9"/>
  <c r="AN228" i="9"/>
  <c r="L6" i="35" l="1"/>
  <c r="AE223" i="9"/>
  <c r="AE224" i="9"/>
  <c r="AE225" i="9"/>
  <c r="AF223" i="9"/>
  <c r="AF224" i="9"/>
  <c r="AF225" i="9"/>
  <c r="AG223" i="9"/>
  <c r="AG224" i="9"/>
  <c r="AG225" i="9"/>
  <c r="AH223" i="9"/>
  <c r="AH224" i="9"/>
  <c r="AH225" i="9"/>
  <c r="AI223" i="9"/>
  <c r="AI224" i="9"/>
  <c r="AI225" i="9"/>
  <c r="AJ223" i="9"/>
  <c r="AJ224" i="9"/>
  <c r="AJ225" i="9"/>
  <c r="AK223" i="9"/>
  <c r="AK224" i="9"/>
  <c r="AK225" i="9"/>
  <c r="AL223" i="9"/>
  <c r="AM223" i="9" s="1"/>
  <c r="AL224" i="9"/>
  <c r="AM224" i="9" s="1"/>
  <c r="AL225" i="9"/>
  <c r="AM225" i="9" s="1"/>
  <c r="AN223" i="9"/>
  <c r="AN224" i="9"/>
  <c r="AN225" i="9"/>
  <c r="L14" i="35" l="1"/>
  <c r="AE214" i="9"/>
  <c r="AE215" i="9"/>
  <c r="AE216" i="9"/>
  <c r="AE217" i="9"/>
  <c r="AE218" i="9"/>
  <c r="AE219" i="9"/>
  <c r="AE220" i="9"/>
  <c r="AE221" i="9"/>
  <c r="AE222" i="9"/>
  <c r="AF214" i="9"/>
  <c r="AF215" i="9"/>
  <c r="AF216" i="9"/>
  <c r="AF217" i="9"/>
  <c r="AF218" i="9"/>
  <c r="AF219" i="9"/>
  <c r="AF220" i="9"/>
  <c r="AF221" i="9"/>
  <c r="AF222" i="9"/>
  <c r="AG214" i="9"/>
  <c r="AG215" i="9"/>
  <c r="AG216" i="9"/>
  <c r="AG217" i="9"/>
  <c r="AG218" i="9"/>
  <c r="AG219" i="9"/>
  <c r="AG220" i="9"/>
  <c r="AG221" i="9"/>
  <c r="AG222" i="9"/>
  <c r="AH214" i="9"/>
  <c r="AH215" i="9"/>
  <c r="AH216" i="9"/>
  <c r="AH217" i="9"/>
  <c r="AH218" i="9"/>
  <c r="AH219" i="9"/>
  <c r="AH220" i="9"/>
  <c r="AH221" i="9"/>
  <c r="AH222" i="9"/>
  <c r="AI214" i="9"/>
  <c r="AI215" i="9"/>
  <c r="AI216" i="9"/>
  <c r="AI217" i="9"/>
  <c r="AI218" i="9"/>
  <c r="AI219" i="9"/>
  <c r="AI220" i="9"/>
  <c r="AI221" i="9"/>
  <c r="AI222" i="9"/>
  <c r="AJ214" i="9"/>
  <c r="AJ215" i="9"/>
  <c r="AJ216" i="9"/>
  <c r="AJ217" i="9"/>
  <c r="AJ218" i="9"/>
  <c r="AJ219" i="9"/>
  <c r="AJ220" i="9"/>
  <c r="AJ221" i="9"/>
  <c r="AJ222" i="9"/>
  <c r="AK214" i="9"/>
  <c r="AK215" i="9"/>
  <c r="AK216" i="9"/>
  <c r="AK217" i="9"/>
  <c r="AK218" i="9"/>
  <c r="AK219" i="9"/>
  <c r="AK220" i="9"/>
  <c r="AK221" i="9"/>
  <c r="AK222" i="9"/>
  <c r="AL214" i="9"/>
  <c r="AM214" i="9" s="1"/>
  <c r="AL215" i="9"/>
  <c r="AM215" i="9" s="1"/>
  <c r="AL216" i="9"/>
  <c r="AM216" i="9" s="1"/>
  <c r="AL217" i="9"/>
  <c r="AM217" i="9" s="1"/>
  <c r="AL218" i="9"/>
  <c r="AM218" i="9" s="1"/>
  <c r="AL219" i="9"/>
  <c r="AM219" i="9" s="1"/>
  <c r="AL220" i="9"/>
  <c r="AM220" i="9" s="1"/>
  <c r="AL221" i="9"/>
  <c r="AM221" i="9" s="1"/>
  <c r="AL222" i="9"/>
  <c r="AM222" i="9" s="1"/>
  <c r="AN214" i="9"/>
  <c r="AN215" i="9"/>
  <c r="AN216" i="9"/>
  <c r="AN217" i="9"/>
  <c r="AN218" i="9"/>
  <c r="AN219" i="9"/>
  <c r="AN220" i="9"/>
  <c r="AN221" i="9"/>
  <c r="AN222" i="9"/>
  <c r="AE205" i="9" l="1"/>
  <c r="AE206" i="9"/>
  <c r="AE207" i="9"/>
  <c r="AE208" i="9"/>
  <c r="AE209" i="9"/>
  <c r="AE210" i="9"/>
  <c r="AE211" i="9"/>
  <c r="AE212" i="9"/>
  <c r="AE213" i="9"/>
  <c r="AF205" i="9"/>
  <c r="AF206" i="9"/>
  <c r="AF207" i="9"/>
  <c r="AF208" i="9"/>
  <c r="AF209" i="9"/>
  <c r="AF210" i="9"/>
  <c r="AF211" i="9"/>
  <c r="AF212" i="9"/>
  <c r="AF213" i="9"/>
  <c r="AG205" i="9"/>
  <c r="AG206" i="9"/>
  <c r="AG207" i="9"/>
  <c r="AG208" i="9"/>
  <c r="AG209" i="9"/>
  <c r="AG210" i="9"/>
  <c r="AG211" i="9"/>
  <c r="AG212" i="9"/>
  <c r="AG213" i="9"/>
  <c r="AH205" i="9"/>
  <c r="AH206" i="9"/>
  <c r="AH207" i="9"/>
  <c r="AH208" i="9"/>
  <c r="AH209" i="9"/>
  <c r="AH210" i="9"/>
  <c r="AH211" i="9"/>
  <c r="AH212" i="9"/>
  <c r="AH213" i="9"/>
  <c r="AI205" i="9"/>
  <c r="AI206" i="9"/>
  <c r="AI207" i="9"/>
  <c r="AI208" i="9"/>
  <c r="AI209" i="9"/>
  <c r="AI210" i="9"/>
  <c r="AI211" i="9"/>
  <c r="AI212" i="9"/>
  <c r="AI213" i="9"/>
  <c r="AJ205" i="9"/>
  <c r="AJ206" i="9"/>
  <c r="AJ207" i="9"/>
  <c r="AJ208" i="9"/>
  <c r="AJ209" i="9"/>
  <c r="AJ210" i="9"/>
  <c r="AJ211" i="9"/>
  <c r="AJ212" i="9"/>
  <c r="AJ213" i="9"/>
  <c r="AK205" i="9"/>
  <c r="AK206" i="9"/>
  <c r="AK207" i="9"/>
  <c r="AK208" i="9"/>
  <c r="AK209" i="9"/>
  <c r="AK210" i="9"/>
  <c r="AK211" i="9"/>
  <c r="AK212" i="9"/>
  <c r="AK213" i="9"/>
  <c r="AL205" i="9"/>
  <c r="AM205" i="9" s="1"/>
  <c r="AL206" i="9"/>
  <c r="AM206" i="9" s="1"/>
  <c r="AL207" i="9"/>
  <c r="AM207" i="9" s="1"/>
  <c r="AL208" i="9"/>
  <c r="AM208" i="9" s="1"/>
  <c r="AL209" i="9"/>
  <c r="AM209" i="9" s="1"/>
  <c r="AL210" i="9"/>
  <c r="AM210" i="9" s="1"/>
  <c r="AL211" i="9"/>
  <c r="AM211" i="9" s="1"/>
  <c r="AL212" i="9"/>
  <c r="AM212" i="9" s="1"/>
  <c r="AL213" i="9"/>
  <c r="AM213" i="9" s="1"/>
  <c r="AN205" i="9"/>
  <c r="AN206" i="9"/>
  <c r="AN207" i="9"/>
  <c r="AN208" i="9"/>
  <c r="AN209" i="9"/>
  <c r="AN210" i="9"/>
  <c r="AN211" i="9"/>
  <c r="AN212" i="9"/>
  <c r="AN213" i="9"/>
  <c r="AD31" i="31" l="1"/>
  <c r="AD54" i="31"/>
  <c r="AD6" i="31"/>
  <c r="AD32" i="31"/>
  <c r="AD28" i="31"/>
  <c r="AD53" i="31"/>
  <c r="AD34" i="31"/>
  <c r="AD46" i="31"/>
  <c r="AD35" i="31"/>
  <c r="AD40" i="31"/>
  <c r="AD23" i="31"/>
  <c r="AD50" i="31"/>
  <c r="AD20" i="31"/>
  <c r="AD49" i="31"/>
  <c r="AD7" i="31"/>
  <c r="AD44" i="31"/>
  <c r="AD27" i="31"/>
  <c r="AD16" i="31"/>
  <c r="AD37" i="31"/>
  <c r="AD64" i="31"/>
  <c r="AD26" i="31"/>
  <c r="AD3" i="31"/>
  <c r="AD71" i="31"/>
  <c r="AD63" i="31"/>
  <c r="AD13" i="31"/>
  <c r="AD18" i="31"/>
  <c r="AD22" i="31"/>
  <c r="AD65" i="31"/>
  <c r="AD69" i="31"/>
  <c r="AD51" i="31"/>
  <c r="AD12" i="31"/>
  <c r="AD58" i="31"/>
  <c r="AD48" i="31"/>
  <c r="AD67" i="31"/>
  <c r="AD47" i="31"/>
  <c r="AD10" i="31"/>
  <c r="AD68" i="31"/>
  <c r="AD25" i="31"/>
  <c r="AD70" i="31"/>
  <c r="AD33" i="31"/>
  <c r="AD30" i="31"/>
  <c r="AD24" i="31"/>
  <c r="AD45" i="31"/>
  <c r="AD21" i="31"/>
  <c r="AD60" i="31"/>
  <c r="AD59" i="31"/>
  <c r="AD61" i="31"/>
  <c r="AD52" i="31"/>
  <c r="AD57" i="31"/>
  <c r="AD5" i="31"/>
  <c r="AD9" i="31"/>
  <c r="AD55" i="31"/>
  <c r="AD36" i="31"/>
  <c r="AD4" i="31"/>
  <c r="AD14" i="31"/>
  <c r="AD66" i="31"/>
  <c r="AD38" i="31"/>
  <c r="AD15" i="31"/>
  <c r="AD17" i="31"/>
  <c r="AD29" i="31"/>
  <c r="AD42" i="31"/>
  <c r="AD11" i="31"/>
  <c r="AD56" i="31"/>
  <c r="AD8" i="31"/>
  <c r="AD19" i="31"/>
  <c r="AD43" i="31"/>
  <c r="AD39" i="31"/>
  <c r="AD41" i="31"/>
  <c r="AD62" i="31"/>
  <c r="N5" i="35"/>
  <c r="R6" i="35"/>
  <c r="P7" i="35"/>
  <c r="R7" i="35"/>
  <c r="N8" i="35"/>
  <c r="P9" i="35"/>
  <c r="R9" i="35"/>
  <c r="P10" i="35"/>
  <c r="R10" i="35"/>
  <c r="P11" i="35"/>
  <c r="R11" i="35"/>
  <c r="N12" i="35"/>
  <c r="P13" i="35"/>
  <c r="P14" i="35"/>
  <c r="R14" i="35"/>
  <c r="AD1" i="31" l="1"/>
  <c r="O5" i="35"/>
  <c r="P5" i="35" s="1"/>
  <c r="N15" i="35"/>
  <c r="O8" i="35"/>
  <c r="P8" i="35" s="1"/>
  <c r="Q12" i="35"/>
  <c r="R12" i="35" s="1"/>
  <c r="Q8" i="35"/>
  <c r="R8" i="35" s="1"/>
  <c r="R13" i="35"/>
  <c r="P6" i="35"/>
  <c r="Q5" i="35"/>
  <c r="O12" i="35"/>
  <c r="P12" i="35" s="1"/>
  <c r="R5" i="35" l="1"/>
  <c r="Q15" i="35"/>
  <c r="R15" i="35" s="1"/>
  <c r="O15" i="35"/>
  <c r="P15" i="35" s="1"/>
  <c r="T4" i="33" l="1"/>
  <c r="N17" i="29" l="1"/>
  <c r="C48" i="33" l="1"/>
  <c r="O41" i="33"/>
  <c r="C44" i="33" l="1"/>
  <c r="M14" i="35"/>
  <c r="M11" i="35"/>
  <c r="M10" i="35"/>
  <c r="K10" i="35"/>
  <c r="K9" i="35"/>
  <c r="K7" i="35"/>
  <c r="K11" i="35"/>
  <c r="K14" i="35"/>
  <c r="E14" i="35"/>
  <c r="E13" i="35"/>
  <c r="E11" i="35"/>
  <c r="E9" i="35"/>
  <c r="E7" i="35"/>
  <c r="E6" i="35"/>
  <c r="D5" i="35"/>
  <c r="D8" i="35"/>
  <c r="D12" i="35"/>
  <c r="L12" i="35" l="1"/>
  <c r="M13" i="35"/>
  <c r="L8" i="35"/>
  <c r="M9" i="35"/>
  <c r="M6" i="35"/>
  <c r="J5" i="35"/>
  <c r="J8" i="35"/>
  <c r="J12" i="35"/>
  <c r="K13" i="35"/>
  <c r="E12" i="35"/>
  <c r="E8" i="35"/>
  <c r="E5" i="35"/>
  <c r="K6" i="35"/>
  <c r="I12" i="35"/>
  <c r="I8" i="35"/>
  <c r="I5" i="35"/>
  <c r="K5" i="35" l="1"/>
  <c r="K12" i="35"/>
  <c r="I15" i="35"/>
  <c r="K8" i="35"/>
  <c r="M8" i="35"/>
  <c r="M12" i="35"/>
  <c r="J15" i="35"/>
  <c r="AE201" i="9"/>
  <c r="AE202" i="9"/>
  <c r="AE203" i="9"/>
  <c r="AE204" i="9"/>
  <c r="AF201" i="9"/>
  <c r="AF202" i="9"/>
  <c r="AF203" i="9"/>
  <c r="AF204" i="9"/>
  <c r="AG201" i="9"/>
  <c r="AG202" i="9"/>
  <c r="AG203" i="9"/>
  <c r="AG204" i="9"/>
  <c r="AH201" i="9"/>
  <c r="AH202" i="9"/>
  <c r="AH203" i="9"/>
  <c r="AH204" i="9"/>
  <c r="AI201" i="9"/>
  <c r="AI202" i="9"/>
  <c r="AI203" i="9"/>
  <c r="AI204" i="9"/>
  <c r="AJ201" i="9"/>
  <c r="AJ202" i="9"/>
  <c r="AJ203" i="9"/>
  <c r="AJ204" i="9"/>
  <c r="AK201" i="9"/>
  <c r="AK202" i="9"/>
  <c r="AK203" i="9"/>
  <c r="AK204" i="9"/>
  <c r="AL201" i="9"/>
  <c r="AM201" i="9" s="1"/>
  <c r="AL202" i="9"/>
  <c r="AM202" i="9" s="1"/>
  <c r="AL203" i="9"/>
  <c r="AM203" i="9" s="1"/>
  <c r="AL204" i="9"/>
  <c r="AM204" i="9" s="1"/>
  <c r="AN201" i="9"/>
  <c r="AN202" i="9"/>
  <c r="AN203" i="9"/>
  <c r="AN204" i="9"/>
  <c r="L7" i="35" l="1"/>
  <c r="M7" i="35" s="1"/>
  <c r="K15" i="35"/>
  <c r="L5" i="35" l="1"/>
  <c r="M5" i="35" s="1"/>
  <c r="F6" i="35"/>
  <c r="F7" i="35"/>
  <c r="F8" i="35"/>
  <c r="F9" i="35"/>
  <c r="F10" i="35"/>
  <c r="F11" i="35"/>
  <c r="F12" i="35"/>
  <c r="F13" i="35"/>
  <c r="F14" i="35"/>
  <c r="F5" i="35"/>
  <c r="E15" i="35"/>
  <c r="D15" i="35"/>
  <c r="L15" i="35" l="1"/>
  <c r="M15" i="35" s="1"/>
  <c r="F15" i="35"/>
  <c r="B77" i="31"/>
  <c r="AE198" i="9" l="1"/>
  <c r="AE199" i="9"/>
  <c r="AE200" i="9"/>
  <c r="AF198" i="9"/>
  <c r="AF199" i="9"/>
  <c r="AF200" i="9"/>
  <c r="AG198" i="9"/>
  <c r="AG199" i="9"/>
  <c r="AG200" i="9"/>
  <c r="AH198" i="9"/>
  <c r="AH199" i="9"/>
  <c r="AH200" i="9"/>
  <c r="AI198" i="9"/>
  <c r="AI199" i="9"/>
  <c r="AI200" i="9"/>
  <c r="AJ198" i="9"/>
  <c r="AJ199" i="9"/>
  <c r="AJ200" i="9"/>
  <c r="AK198" i="9"/>
  <c r="AK199" i="9"/>
  <c r="AK200" i="9"/>
  <c r="AL198" i="9"/>
  <c r="AM198" i="9" s="1"/>
  <c r="AL199" i="9"/>
  <c r="AM199" i="9" s="1"/>
  <c r="AL200" i="9"/>
  <c r="AM200" i="9" s="1"/>
  <c r="AN198" i="9"/>
  <c r="AN199" i="9"/>
  <c r="AN200" i="9"/>
  <c r="AE196" i="9"/>
  <c r="AE197" i="9"/>
  <c r="AF196" i="9"/>
  <c r="AF197" i="9"/>
  <c r="AG196" i="9"/>
  <c r="AG197" i="9"/>
  <c r="AH196" i="9"/>
  <c r="AH197" i="9"/>
  <c r="AI196" i="9"/>
  <c r="AI197" i="9"/>
  <c r="AJ196" i="9"/>
  <c r="AJ197" i="9"/>
  <c r="AK196" i="9"/>
  <c r="AK197" i="9"/>
  <c r="AL196" i="9"/>
  <c r="AM196" i="9" s="1"/>
  <c r="AL197" i="9"/>
  <c r="AM197" i="9" s="1"/>
  <c r="AN196" i="9"/>
  <c r="AN197" i="9"/>
  <c r="AE190" i="9"/>
  <c r="AE191" i="9"/>
  <c r="AE192" i="9"/>
  <c r="AE193" i="9"/>
  <c r="AE194" i="9"/>
  <c r="AE195" i="9"/>
  <c r="AF190" i="9"/>
  <c r="AF191" i="9"/>
  <c r="AF192" i="9"/>
  <c r="AF193" i="9"/>
  <c r="AF194" i="9"/>
  <c r="AF195" i="9"/>
  <c r="AG190" i="9"/>
  <c r="AG191" i="9"/>
  <c r="AG192" i="9"/>
  <c r="AG193" i="9"/>
  <c r="AG194" i="9"/>
  <c r="AG195" i="9"/>
  <c r="AH190" i="9"/>
  <c r="AH191" i="9"/>
  <c r="AH192" i="9"/>
  <c r="AH193" i="9"/>
  <c r="AH194" i="9"/>
  <c r="AH195" i="9"/>
  <c r="AI190" i="9"/>
  <c r="AI191" i="9"/>
  <c r="AI192" i="9"/>
  <c r="AI193" i="9"/>
  <c r="AI194" i="9"/>
  <c r="AI195" i="9"/>
  <c r="AJ190" i="9"/>
  <c r="AJ191" i="9"/>
  <c r="AJ192" i="9"/>
  <c r="AJ193" i="9"/>
  <c r="AJ194" i="9"/>
  <c r="AJ195" i="9"/>
  <c r="AK190" i="9"/>
  <c r="AK191" i="9"/>
  <c r="AK192" i="9"/>
  <c r="AK193" i="9"/>
  <c r="AK194" i="9"/>
  <c r="AK195" i="9"/>
  <c r="AL190" i="9"/>
  <c r="AM190" i="9" s="1"/>
  <c r="AL191" i="9"/>
  <c r="AM191" i="9" s="1"/>
  <c r="AL192" i="9"/>
  <c r="AM192" i="9" s="1"/>
  <c r="AL193" i="9"/>
  <c r="AM193" i="9" s="1"/>
  <c r="AL194" i="9"/>
  <c r="AM194" i="9" s="1"/>
  <c r="AL195" i="9"/>
  <c r="AM195" i="9" s="1"/>
  <c r="AN190" i="9"/>
  <c r="AN191" i="9"/>
  <c r="AN192" i="9"/>
  <c r="AN193" i="9"/>
  <c r="AN194" i="9"/>
  <c r="AN195" i="9"/>
  <c r="AE188" i="9" l="1"/>
  <c r="AE189" i="9"/>
  <c r="AF188" i="9"/>
  <c r="AF189" i="9"/>
  <c r="AG188" i="9"/>
  <c r="AG189" i="9"/>
  <c r="AH188" i="9"/>
  <c r="AH189" i="9"/>
  <c r="AI188" i="9"/>
  <c r="AI189" i="9"/>
  <c r="AJ188" i="9"/>
  <c r="AJ189" i="9"/>
  <c r="AK188" i="9"/>
  <c r="AK189" i="9"/>
  <c r="AL188" i="9"/>
  <c r="AM188" i="9" s="1"/>
  <c r="AL189" i="9"/>
  <c r="AM189" i="9" s="1"/>
  <c r="AN188" i="9"/>
  <c r="AN189" i="9"/>
  <c r="AE187" i="9"/>
  <c r="AF187" i="9"/>
  <c r="AG187" i="9"/>
  <c r="AH187" i="9"/>
  <c r="AI187" i="9"/>
  <c r="AJ187" i="9"/>
  <c r="AK187" i="9"/>
  <c r="AL187" i="9"/>
  <c r="AM187" i="9" s="1"/>
  <c r="AN187" i="9"/>
  <c r="AE185" i="9"/>
  <c r="AE186" i="9"/>
  <c r="AF185" i="9"/>
  <c r="AF186" i="9"/>
  <c r="AG185" i="9"/>
  <c r="AG186" i="9"/>
  <c r="AH185" i="9"/>
  <c r="AH186" i="9"/>
  <c r="AI185" i="9"/>
  <c r="AI186" i="9"/>
  <c r="AJ185" i="9"/>
  <c r="AJ186" i="9"/>
  <c r="AK185" i="9"/>
  <c r="AK186" i="9"/>
  <c r="AL185" i="9"/>
  <c r="AM185" i="9" s="1"/>
  <c r="AL186" i="9"/>
  <c r="AM186" i="9" s="1"/>
  <c r="AN185" i="9"/>
  <c r="AN186" i="9"/>
  <c r="AE181" i="9" l="1"/>
  <c r="AE182" i="9"/>
  <c r="AE183" i="9"/>
  <c r="AE184" i="9"/>
  <c r="AF181" i="9"/>
  <c r="AF182" i="9"/>
  <c r="AF183" i="9"/>
  <c r="AF184" i="9"/>
  <c r="AG181" i="9"/>
  <c r="AG182" i="9"/>
  <c r="AG183" i="9"/>
  <c r="AG184" i="9"/>
  <c r="AH181" i="9"/>
  <c r="AH182" i="9"/>
  <c r="AH183" i="9"/>
  <c r="AH184" i="9"/>
  <c r="AI181" i="9"/>
  <c r="AI182" i="9"/>
  <c r="AI183" i="9"/>
  <c r="AI184" i="9"/>
  <c r="AJ181" i="9"/>
  <c r="AJ182" i="9"/>
  <c r="AJ183" i="9"/>
  <c r="AJ184" i="9"/>
  <c r="AK181" i="9"/>
  <c r="AK182" i="9"/>
  <c r="AK183" i="9"/>
  <c r="AK184" i="9"/>
  <c r="AL181" i="9"/>
  <c r="AM181" i="9" s="1"/>
  <c r="AL182" i="9"/>
  <c r="AM182" i="9" s="1"/>
  <c r="AL183" i="9"/>
  <c r="AM183" i="9" s="1"/>
  <c r="AL184" i="9"/>
  <c r="AM184" i="9" s="1"/>
  <c r="AN181" i="9"/>
  <c r="AN182" i="9"/>
  <c r="AN183" i="9"/>
  <c r="AN184" i="9"/>
  <c r="AE179" i="9" l="1"/>
  <c r="AE180" i="9"/>
  <c r="AF179" i="9"/>
  <c r="AF180" i="9"/>
  <c r="AG179" i="9"/>
  <c r="AG180" i="9"/>
  <c r="AH179" i="9"/>
  <c r="AH180" i="9"/>
  <c r="AI179" i="9"/>
  <c r="AI180" i="9"/>
  <c r="AJ179" i="9"/>
  <c r="AJ180" i="9"/>
  <c r="AK179" i="9"/>
  <c r="AK180" i="9"/>
  <c r="AL179" i="9"/>
  <c r="AM179" i="9" s="1"/>
  <c r="AL180" i="9"/>
  <c r="AM180" i="9" s="1"/>
  <c r="AN179" i="9"/>
  <c r="AN180" i="9"/>
  <c r="AE178" i="9" l="1"/>
  <c r="AF178" i="9"/>
  <c r="AG178" i="9"/>
  <c r="AH178" i="9"/>
  <c r="AI178" i="9"/>
  <c r="AJ178" i="9"/>
  <c r="AK178" i="9"/>
  <c r="AL178" i="9"/>
  <c r="AM178" i="9" s="1"/>
  <c r="AN178" i="9"/>
  <c r="AE177" i="9"/>
  <c r="AF177" i="9"/>
  <c r="AG177" i="9"/>
  <c r="AH177" i="9"/>
  <c r="AI177" i="9"/>
  <c r="AJ177" i="9"/>
  <c r="AK177" i="9"/>
  <c r="AL177" i="9"/>
  <c r="AM177" i="9" s="1"/>
  <c r="AN177" i="9"/>
  <c r="AE170" i="9" l="1"/>
  <c r="AE171" i="9"/>
  <c r="AE172" i="9"/>
  <c r="AE173" i="9"/>
  <c r="AE174" i="9"/>
  <c r="AE175" i="9"/>
  <c r="AE176" i="9"/>
  <c r="AF170" i="9"/>
  <c r="AF171" i="9"/>
  <c r="AF172" i="9"/>
  <c r="AF173" i="9"/>
  <c r="AF174" i="9"/>
  <c r="AF175" i="9"/>
  <c r="AF176" i="9"/>
  <c r="AG170" i="9"/>
  <c r="AG171" i="9"/>
  <c r="AG172" i="9"/>
  <c r="AG173" i="9"/>
  <c r="AG174" i="9"/>
  <c r="AG175" i="9"/>
  <c r="AG176" i="9"/>
  <c r="AH170" i="9"/>
  <c r="AH171" i="9"/>
  <c r="AH172" i="9"/>
  <c r="AH173" i="9"/>
  <c r="AH174" i="9"/>
  <c r="AH175" i="9"/>
  <c r="AH176" i="9"/>
  <c r="AI170" i="9"/>
  <c r="AI171" i="9"/>
  <c r="AI172" i="9"/>
  <c r="AI173" i="9"/>
  <c r="AI174" i="9"/>
  <c r="AI175" i="9"/>
  <c r="AI176" i="9"/>
  <c r="AJ170" i="9"/>
  <c r="AJ171" i="9"/>
  <c r="AJ172" i="9"/>
  <c r="AJ173" i="9"/>
  <c r="AJ174" i="9"/>
  <c r="AJ175" i="9"/>
  <c r="AJ176" i="9"/>
  <c r="AK170" i="9"/>
  <c r="AK171" i="9"/>
  <c r="AK172" i="9"/>
  <c r="AK173" i="9"/>
  <c r="AK174" i="9"/>
  <c r="AK175" i="9"/>
  <c r="AK176" i="9"/>
  <c r="AL170" i="9"/>
  <c r="AM170" i="9" s="1"/>
  <c r="AL171" i="9"/>
  <c r="AM171" i="9" s="1"/>
  <c r="AL172" i="9"/>
  <c r="AM172" i="9" s="1"/>
  <c r="AL173" i="9"/>
  <c r="AM173" i="9" s="1"/>
  <c r="AL174" i="9"/>
  <c r="AM174" i="9" s="1"/>
  <c r="AL175" i="9"/>
  <c r="AM175" i="9" s="1"/>
  <c r="AL176" i="9"/>
  <c r="AM176" i="9" s="1"/>
  <c r="AN170" i="9"/>
  <c r="AN171" i="9"/>
  <c r="AN172" i="9"/>
  <c r="AN173" i="9"/>
  <c r="AN174" i="9"/>
  <c r="AN175" i="9"/>
  <c r="AN176" i="9"/>
  <c r="AE167" i="9" l="1"/>
  <c r="AE168" i="9"/>
  <c r="AE169" i="9"/>
  <c r="AF167" i="9"/>
  <c r="AF168" i="9"/>
  <c r="AF169" i="9"/>
  <c r="AG167" i="9"/>
  <c r="AG168" i="9"/>
  <c r="AG169" i="9"/>
  <c r="AH167" i="9"/>
  <c r="AH168" i="9"/>
  <c r="AH169" i="9"/>
  <c r="AI167" i="9"/>
  <c r="AI168" i="9"/>
  <c r="AI169" i="9"/>
  <c r="AJ167" i="9"/>
  <c r="AJ168" i="9"/>
  <c r="AJ169" i="9"/>
  <c r="AK167" i="9"/>
  <c r="AK168" i="9"/>
  <c r="AK169" i="9"/>
  <c r="AL167" i="9"/>
  <c r="AM167" i="9" s="1"/>
  <c r="AL168" i="9"/>
  <c r="AM168" i="9" s="1"/>
  <c r="AL169" i="9"/>
  <c r="AM169" i="9" s="1"/>
  <c r="AN167" i="9"/>
  <c r="AN168" i="9"/>
  <c r="AN169" i="9"/>
  <c r="AE164" i="9" l="1"/>
  <c r="AE165" i="9"/>
  <c r="AE166" i="9"/>
  <c r="AF164" i="9"/>
  <c r="AF165" i="9"/>
  <c r="AF166" i="9"/>
  <c r="AG164" i="9"/>
  <c r="AG165" i="9"/>
  <c r="AG166" i="9"/>
  <c r="AH164" i="9"/>
  <c r="AH165" i="9"/>
  <c r="AH166" i="9"/>
  <c r="AI164" i="9"/>
  <c r="AI165" i="9"/>
  <c r="AI166" i="9"/>
  <c r="AJ164" i="9"/>
  <c r="AJ165" i="9"/>
  <c r="AJ166" i="9"/>
  <c r="AK164" i="9"/>
  <c r="AK165" i="9"/>
  <c r="AK166" i="9"/>
  <c r="AL164" i="9"/>
  <c r="AM164" i="9" s="1"/>
  <c r="AL165" i="9"/>
  <c r="AM165" i="9" s="1"/>
  <c r="AL166" i="9"/>
  <c r="AM166" i="9" s="1"/>
  <c r="AN164" i="9"/>
  <c r="AN165" i="9"/>
  <c r="AN166" i="9"/>
  <c r="AE160" i="9" l="1"/>
  <c r="AE161" i="9"/>
  <c r="AE162" i="9"/>
  <c r="AE163" i="9"/>
  <c r="AF160" i="9"/>
  <c r="AF161" i="9"/>
  <c r="AF162" i="9"/>
  <c r="AF163" i="9"/>
  <c r="AG160" i="9"/>
  <c r="AG161" i="9"/>
  <c r="AG162" i="9"/>
  <c r="AG163" i="9"/>
  <c r="AH160" i="9"/>
  <c r="AH161" i="9"/>
  <c r="AH162" i="9"/>
  <c r="AH163" i="9"/>
  <c r="AI160" i="9"/>
  <c r="AI161" i="9"/>
  <c r="AI162" i="9"/>
  <c r="AI163" i="9"/>
  <c r="AJ160" i="9"/>
  <c r="AJ161" i="9"/>
  <c r="AJ162" i="9"/>
  <c r="AJ163" i="9"/>
  <c r="AK160" i="9"/>
  <c r="AK161" i="9"/>
  <c r="AK162" i="9"/>
  <c r="AK163" i="9"/>
  <c r="AL160" i="9"/>
  <c r="AM160" i="9" s="1"/>
  <c r="AL161" i="9"/>
  <c r="AM161" i="9" s="1"/>
  <c r="AL162" i="9"/>
  <c r="AM162" i="9" s="1"/>
  <c r="AL163" i="9"/>
  <c r="AM163" i="9" s="1"/>
  <c r="AN160" i="9"/>
  <c r="AN161" i="9"/>
  <c r="AN162" i="9"/>
  <c r="AN163" i="9"/>
  <c r="AE157" i="9"/>
  <c r="AE158" i="9"/>
  <c r="AE159" i="9"/>
  <c r="AF157" i="9"/>
  <c r="AF158" i="9"/>
  <c r="AF159" i="9"/>
  <c r="AG157" i="9"/>
  <c r="AG158" i="9"/>
  <c r="AG159" i="9"/>
  <c r="AH157" i="9"/>
  <c r="AH158" i="9"/>
  <c r="AH159" i="9"/>
  <c r="AI157" i="9"/>
  <c r="AI158" i="9"/>
  <c r="AI159" i="9"/>
  <c r="AJ157" i="9"/>
  <c r="AJ158" i="9"/>
  <c r="AJ159" i="9"/>
  <c r="AK157" i="9"/>
  <c r="AK158" i="9"/>
  <c r="AK159" i="9"/>
  <c r="AL157" i="9"/>
  <c r="AM157" i="9" s="1"/>
  <c r="AL158" i="9"/>
  <c r="AM158" i="9" s="1"/>
  <c r="AL159" i="9"/>
  <c r="AM159" i="9" s="1"/>
  <c r="AN157" i="9"/>
  <c r="AN158" i="9"/>
  <c r="AN159" i="9"/>
  <c r="E37" i="31" l="1"/>
  <c r="E16" i="31"/>
  <c r="E24" i="31"/>
  <c r="E22" i="31"/>
  <c r="E18" i="31"/>
  <c r="E44" i="31"/>
  <c r="E11" i="31"/>
  <c r="E19" i="31"/>
  <c r="E14" i="31"/>
  <c r="E45" i="31"/>
  <c r="E31" i="31"/>
  <c r="E46" i="31"/>
  <c r="E17" i="31"/>
  <c r="E47" i="31"/>
  <c r="E48" i="31"/>
  <c r="E49" i="31"/>
  <c r="E50" i="31"/>
  <c r="E51" i="31"/>
  <c r="E27" i="31"/>
  <c r="E25" i="31"/>
  <c r="E21" i="31"/>
  <c r="E52" i="31"/>
  <c r="E53" i="31"/>
  <c r="E54" i="31"/>
  <c r="E55" i="31"/>
  <c r="E56" i="31"/>
  <c r="E57" i="31"/>
  <c r="E20" i="31"/>
  <c r="E15" i="31"/>
  <c r="E34" i="31"/>
  <c r="E58" i="31"/>
  <c r="E59" i="31"/>
  <c r="E60" i="31"/>
  <c r="E35" i="31"/>
  <c r="E61" i="31"/>
  <c r="E36" i="31"/>
  <c r="E62" i="31"/>
  <c r="E28" i="31"/>
  <c r="E41" i="31"/>
  <c r="E33" i="31"/>
  <c r="E63" i="31"/>
  <c r="E64" i="31"/>
  <c r="E13" i="31"/>
  <c r="E40" i="31"/>
  <c r="E32" i="31"/>
  <c r="E30" i="31"/>
  <c r="E65" i="31"/>
  <c r="E9" i="31"/>
  <c r="E26" i="31"/>
  <c r="E66" i="31"/>
  <c r="E8" i="31"/>
  <c r="E10" i="31"/>
  <c r="E5" i="31"/>
  <c r="E12" i="31"/>
  <c r="E4" i="31"/>
  <c r="E67" i="31"/>
  <c r="E29" i="31"/>
  <c r="E68" i="31"/>
  <c r="E3" i="31"/>
  <c r="E6" i="31"/>
  <c r="E69" i="31"/>
  <c r="E70" i="31"/>
  <c r="E23" i="31"/>
  <c r="E71" i="31"/>
  <c r="E39" i="31"/>
  <c r="E38" i="31"/>
  <c r="E43" i="31"/>
  <c r="E42" i="31"/>
  <c r="E7" i="31"/>
  <c r="AE154" i="9" l="1"/>
  <c r="AE155" i="9"/>
  <c r="AE156" i="9"/>
  <c r="AF154" i="9"/>
  <c r="AF155" i="9"/>
  <c r="AF156" i="9"/>
  <c r="AG154" i="9"/>
  <c r="AG155" i="9"/>
  <c r="AG156" i="9"/>
  <c r="AH154" i="9"/>
  <c r="AH155" i="9"/>
  <c r="AH156" i="9"/>
  <c r="AI154" i="9"/>
  <c r="AI155" i="9"/>
  <c r="AI156" i="9"/>
  <c r="AJ154" i="9"/>
  <c r="AJ155" i="9"/>
  <c r="AJ156" i="9"/>
  <c r="AK154" i="9"/>
  <c r="AK155" i="9"/>
  <c r="AK156" i="9"/>
  <c r="AL154" i="9"/>
  <c r="AM154" i="9" s="1"/>
  <c r="AL155" i="9"/>
  <c r="AM155" i="9" s="1"/>
  <c r="AL156" i="9"/>
  <c r="AM156" i="9" s="1"/>
  <c r="AN154" i="9"/>
  <c r="AN155" i="9"/>
  <c r="AN156" i="9"/>
  <c r="AE150" i="9" l="1"/>
  <c r="AE151" i="9"/>
  <c r="AE152" i="9"/>
  <c r="AE153" i="9"/>
  <c r="AF150" i="9"/>
  <c r="AF151" i="9"/>
  <c r="AF152" i="9"/>
  <c r="AF153" i="9"/>
  <c r="AG150" i="9"/>
  <c r="AG151" i="9"/>
  <c r="AG152" i="9"/>
  <c r="AG153" i="9"/>
  <c r="AH150" i="9"/>
  <c r="AH151" i="9"/>
  <c r="AH152" i="9"/>
  <c r="AH153" i="9"/>
  <c r="AI150" i="9"/>
  <c r="AI151" i="9"/>
  <c r="AI152" i="9"/>
  <c r="AI153" i="9"/>
  <c r="AJ150" i="9"/>
  <c r="AJ151" i="9"/>
  <c r="AJ152" i="9"/>
  <c r="AJ153" i="9"/>
  <c r="AK150" i="9"/>
  <c r="AK151" i="9"/>
  <c r="AK152" i="9"/>
  <c r="AK153" i="9"/>
  <c r="AL150" i="9"/>
  <c r="AM150" i="9" s="1"/>
  <c r="AL151" i="9"/>
  <c r="AM151" i="9" s="1"/>
  <c r="AL152" i="9"/>
  <c r="AM152" i="9" s="1"/>
  <c r="AL153" i="9"/>
  <c r="AM153" i="9" s="1"/>
  <c r="AN150" i="9"/>
  <c r="AN151" i="9"/>
  <c r="AN152" i="9"/>
  <c r="AN153" i="9"/>
  <c r="C7" i="31" l="1"/>
  <c r="C37" i="31"/>
  <c r="C16" i="31"/>
  <c r="C24" i="31"/>
  <c r="C22" i="31"/>
  <c r="C18" i="31"/>
  <c r="C44" i="31"/>
  <c r="C11" i="31"/>
  <c r="C19" i="31"/>
  <c r="C14" i="31"/>
  <c r="C45" i="31"/>
  <c r="C31" i="31"/>
  <c r="C46" i="31"/>
  <c r="C17" i="31"/>
  <c r="C47" i="31"/>
  <c r="C48" i="31"/>
  <c r="C49" i="31"/>
  <c r="C50" i="31"/>
  <c r="C51" i="31"/>
  <c r="C27" i="31"/>
  <c r="C25" i="31"/>
  <c r="C21" i="31"/>
  <c r="C52" i="31"/>
  <c r="C53" i="31"/>
  <c r="C54" i="31"/>
  <c r="C55" i="31"/>
  <c r="C56" i="31"/>
  <c r="C57" i="31"/>
  <c r="C20" i="31"/>
  <c r="C15" i="31"/>
  <c r="C34" i="31"/>
  <c r="C58" i="31"/>
  <c r="C59" i="31"/>
  <c r="C60" i="31"/>
  <c r="C35" i="31"/>
  <c r="C61" i="31"/>
  <c r="C36" i="31"/>
  <c r="C62" i="31"/>
  <c r="C28" i="31"/>
  <c r="C41" i="31"/>
  <c r="C33" i="31"/>
  <c r="C63" i="31"/>
  <c r="C64" i="31"/>
  <c r="C13" i="31"/>
  <c r="C40" i="31"/>
  <c r="C32" i="31"/>
  <c r="C30" i="31"/>
  <c r="C65" i="31"/>
  <c r="C9" i="31"/>
  <c r="C26" i="31"/>
  <c r="C66" i="31"/>
  <c r="C8" i="31"/>
  <c r="C10" i="31"/>
  <c r="C5" i="31"/>
  <c r="C12" i="31"/>
  <c r="C4" i="31"/>
  <c r="C67" i="31"/>
  <c r="C29" i="31"/>
  <c r="C68" i="31"/>
  <c r="C3" i="31"/>
  <c r="C6" i="31"/>
  <c r="C69" i="31"/>
  <c r="C70" i="31"/>
  <c r="C23" i="31"/>
  <c r="C71" i="31"/>
  <c r="C39" i="31"/>
  <c r="C38" i="31"/>
  <c r="C43" i="31"/>
  <c r="C42" i="31"/>
  <c r="AE149" i="9"/>
  <c r="AF149" i="9"/>
  <c r="AG149" i="9"/>
  <c r="AH149" i="9"/>
  <c r="AI149" i="9"/>
  <c r="AJ149" i="9"/>
  <c r="AK149" i="9"/>
  <c r="AL149" i="9"/>
  <c r="AM149" i="9" s="1"/>
  <c r="AN149" i="9"/>
  <c r="AE146" i="9" l="1"/>
  <c r="AE147" i="9"/>
  <c r="AE148" i="9"/>
  <c r="AF146" i="9"/>
  <c r="AF147" i="9"/>
  <c r="AF148" i="9"/>
  <c r="AG146" i="9"/>
  <c r="AG147" i="9"/>
  <c r="AG148" i="9"/>
  <c r="AH146" i="9"/>
  <c r="AH147" i="9"/>
  <c r="AH148" i="9"/>
  <c r="AI146" i="9"/>
  <c r="AI147" i="9"/>
  <c r="AI148" i="9"/>
  <c r="AJ146" i="9"/>
  <c r="AJ147" i="9"/>
  <c r="AJ148" i="9"/>
  <c r="AK146" i="9"/>
  <c r="AK147" i="9"/>
  <c r="AK148" i="9"/>
  <c r="AL146" i="9"/>
  <c r="AM146" i="9" s="1"/>
  <c r="AL147" i="9"/>
  <c r="AM147" i="9" s="1"/>
  <c r="AL148" i="9"/>
  <c r="AM148" i="9" s="1"/>
  <c r="AN146" i="9"/>
  <c r="AN147" i="9"/>
  <c r="AN148" i="9"/>
  <c r="AE144" i="9" l="1"/>
  <c r="AE145" i="9"/>
  <c r="AF144" i="9"/>
  <c r="AF145" i="9"/>
  <c r="AG144" i="9"/>
  <c r="AG145" i="9"/>
  <c r="AH144" i="9"/>
  <c r="AH145" i="9"/>
  <c r="AI144" i="9"/>
  <c r="AI145" i="9"/>
  <c r="AJ144" i="9"/>
  <c r="AJ145" i="9"/>
  <c r="AK144" i="9"/>
  <c r="AK145" i="9"/>
  <c r="AL144" i="9"/>
  <c r="AM144" i="9" s="1"/>
  <c r="AL145" i="9"/>
  <c r="AM145" i="9" s="1"/>
  <c r="AN144" i="9"/>
  <c r="AN145" i="9"/>
  <c r="AE142" i="9" l="1"/>
  <c r="AE143" i="9"/>
  <c r="AF142" i="9"/>
  <c r="AF143" i="9"/>
  <c r="AG142" i="9"/>
  <c r="AG143" i="9"/>
  <c r="AH142" i="9"/>
  <c r="AH143" i="9"/>
  <c r="AI142" i="9"/>
  <c r="AI143" i="9"/>
  <c r="AJ142" i="9"/>
  <c r="AJ143" i="9"/>
  <c r="AK142" i="9"/>
  <c r="AK143" i="9"/>
  <c r="AL142" i="9"/>
  <c r="AM142" i="9" s="1"/>
  <c r="AL143" i="9"/>
  <c r="AM143" i="9" s="1"/>
  <c r="AN142" i="9"/>
  <c r="AN143" i="9"/>
  <c r="AE140" i="9"/>
  <c r="AE141" i="9"/>
  <c r="AF140" i="9"/>
  <c r="AF141" i="9"/>
  <c r="AG140" i="9"/>
  <c r="AG141" i="9"/>
  <c r="AH140" i="9"/>
  <c r="AH141" i="9"/>
  <c r="AI140" i="9"/>
  <c r="AI141" i="9"/>
  <c r="AJ140" i="9"/>
  <c r="AJ141" i="9"/>
  <c r="AK140" i="9"/>
  <c r="AK141" i="9"/>
  <c r="AL140" i="9"/>
  <c r="AM140" i="9" s="1"/>
  <c r="AL141" i="9"/>
  <c r="AM141" i="9" s="1"/>
  <c r="AN140" i="9"/>
  <c r="AN141" i="9"/>
  <c r="AE135" i="9" l="1"/>
  <c r="AE136" i="9"/>
  <c r="AE137" i="9"/>
  <c r="AE138" i="9"/>
  <c r="AE139" i="9"/>
  <c r="AF135" i="9"/>
  <c r="AF136" i="9"/>
  <c r="AF137" i="9"/>
  <c r="AF138" i="9"/>
  <c r="AF139" i="9"/>
  <c r="AG135" i="9"/>
  <c r="AG136" i="9"/>
  <c r="AG137" i="9"/>
  <c r="AG138" i="9"/>
  <c r="AG139" i="9"/>
  <c r="AH135" i="9"/>
  <c r="AH136" i="9"/>
  <c r="AH137" i="9"/>
  <c r="AH138" i="9"/>
  <c r="AH139" i="9"/>
  <c r="AI135" i="9"/>
  <c r="AI136" i="9"/>
  <c r="AI137" i="9"/>
  <c r="AI138" i="9"/>
  <c r="AI139" i="9"/>
  <c r="AJ135" i="9"/>
  <c r="AJ136" i="9"/>
  <c r="AJ137" i="9"/>
  <c r="AJ138" i="9"/>
  <c r="AJ139" i="9"/>
  <c r="AK135" i="9"/>
  <c r="AK136" i="9"/>
  <c r="AK137" i="9"/>
  <c r="AK138" i="9"/>
  <c r="AK139" i="9"/>
  <c r="AL135" i="9"/>
  <c r="AM135" i="9" s="1"/>
  <c r="AL136" i="9"/>
  <c r="AM136" i="9" s="1"/>
  <c r="AL137" i="9"/>
  <c r="AM137" i="9" s="1"/>
  <c r="AL138" i="9"/>
  <c r="AM138" i="9" s="1"/>
  <c r="AL139" i="9"/>
  <c r="AM139" i="9" s="1"/>
  <c r="AN135" i="9"/>
  <c r="AN136" i="9"/>
  <c r="AN137" i="9"/>
  <c r="AN138" i="9"/>
  <c r="AN139" i="9"/>
  <c r="Q29" i="28" a="1"/>
  <c r="Q30" i="28" a="1"/>
  <c r="Q28" i="28" a="1"/>
  <c r="Q26" i="28" a="1"/>
  <c r="Q19" i="28" a="1"/>
  <c r="R4" i="28" a="1"/>
  <c r="Q14" i="28" a="1"/>
  <c r="Q18" i="28" a="1"/>
  <c r="Q22" i="28" a="1"/>
  <c r="Q10" i="28" a="1"/>
  <c r="Q20" i="28" a="1"/>
  <c r="Q16" i="28" a="1"/>
  <c r="Q9" i="28" a="1"/>
  <c r="Q8" i="28" a="1"/>
  <c r="Q7" i="28" a="1"/>
  <c r="Q17" i="28" a="1"/>
  <c r="Q25" i="28" a="1"/>
  <c r="Q12" i="28" a="1"/>
  <c r="Q24" i="28" a="1"/>
  <c r="Q21" i="28" a="1"/>
  <c r="Q13" i="28" a="1"/>
  <c r="Q6" i="28" a="1"/>
  <c r="Q15" i="28" a="1"/>
  <c r="Q23" i="28" a="1"/>
  <c r="Q11" i="28" a="1"/>
  <c r="Q27" i="28" a="1"/>
  <c r="R4" i="28" l="1"/>
  <c r="Q6" i="28"/>
  <c r="Q9" i="28"/>
  <c r="Q11" i="28"/>
  <c r="Q7" i="28"/>
  <c r="Q8" i="28"/>
  <c r="Q10" i="28"/>
  <c r="Q15" i="28"/>
  <c r="Q12" i="28"/>
  <c r="Q16" i="28"/>
  <c r="Q13" i="28"/>
  <c r="Q17" i="28"/>
  <c r="Q14" i="28"/>
  <c r="Q18" i="28"/>
  <c r="Q27" i="28"/>
  <c r="Q26" i="28"/>
  <c r="Q22" i="28"/>
  <c r="Q30" i="28"/>
  <c r="Q25" i="28"/>
  <c r="Q29" i="28"/>
  <c r="Q21" i="28"/>
  <c r="Q28" i="28"/>
  <c r="Q24" i="28"/>
  <c r="Q20" i="28"/>
  <c r="Q23" i="28"/>
  <c r="Q19" i="28"/>
  <c r="O15" i="34"/>
  <c r="G20" i="34" l="1"/>
  <c r="AE123" i="9" l="1"/>
  <c r="AE124" i="9"/>
  <c r="AE125" i="9"/>
  <c r="AE126" i="9"/>
  <c r="AE127" i="9"/>
  <c r="AE128" i="9"/>
  <c r="AE129" i="9"/>
  <c r="AE130" i="9"/>
  <c r="AE131" i="9"/>
  <c r="AE132" i="9"/>
  <c r="AE133" i="9"/>
  <c r="AE134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G123" i="9"/>
  <c r="AG124" i="9"/>
  <c r="AG125" i="9"/>
  <c r="AG126" i="9"/>
  <c r="AG127" i="9"/>
  <c r="AG128" i="9"/>
  <c r="AG129" i="9"/>
  <c r="AG130" i="9"/>
  <c r="AG131" i="9"/>
  <c r="AG132" i="9"/>
  <c r="AG133" i="9"/>
  <c r="AG134" i="9"/>
  <c r="AH123" i="9"/>
  <c r="AH124" i="9"/>
  <c r="AH125" i="9"/>
  <c r="AH126" i="9"/>
  <c r="AH127" i="9"/>
  <c r="AH128" i="9"/>
  <c r="AH129" i="9"/>
  <c r="AH130" i="9"/>
  <c r="AH131" i="9"/>
  <c r="AH132" i="9"/>
  <c r="AH133" i="9"/>
  <c r="AH134" i="9"/>
  <c r="AI123" i="9"/>
  <c r="AI124" i="9"/>
  <c r="AI125" i="9"/>
  <c r="AI126" i="9"/>
  <c r="AI127" i="9"/>
  <c r="AI128" i="9"/>
  <c r="AI129" i="9"/>
  <c r="AI130" i="9"/>
  <c r="AI131" i="9"/>
  <c r="AI132" i="9"/>
  <c r="AI133" i="9"/>
  <c r="AI134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L123" i="9"/>
  <c r="AM123" i="9" s="1"/>
  <c r="AL124" i="9"/>
  <c r="AM124" i="9" s="1"/>
  <c r="AL125" i="9"/>
  <c r="AM125" i="9" s="1"/>
  <c r="AL126" i="9"/>
  <c r="AM126" i="9" s="1"/>
  <c r="AL127" i="9"/>
  <c r="AM127" i="9" s="1"/>
  <c r="AL128" i="9"/>
  <c r="AM128" i="9" s="1"/>
  <c r="AL129" i="9"/>
  <c r="AM129" i="9" s="1"/>
  <c r="AL130" i="9"/>
  <c r="AM130" i="9" s="1"/>
  <c r="AL131" i="9"/>
  <c r="AM131" i="9" s="1"/>
  <c r="AL132" i="9"/>
  <c r="AM132" i="9" s="1"/>
  <c r="AL133" i="9"/>
  <c r="AM133" i="9" s="1"/>
  <c r="AL134" i="9"/>
  <c r="AM134" i="9" s="1"/>
  <c r="AN123" i="9"/>
  <c r="AN124" i="9"/>
  <c r="AN125" i="9"/>
  <c r="AN126" i="9"/>
  <c r="AN127" i="9"/>
  <c r="AN128" i="9"/>
  <c r="AN129" i="9"/>
  <c r="AN130" i="9"/>
  <c r="AN131" i="9"/>
  <c r="AN132" i="9"/>
  <c r="AN133" i="9"/>
  <c r="AN134" i="9"/>
  <c r="AE121" i="9" l="1"/>
  <c r="AE122" i="9"/>
  <c r="AF121" i="9"/>
  <c r="AF122" i="9"/>
  <c r="AG121" i="9"/>
  <c r="AG122" i="9"/>
  <c r="AH121" i="9"/>
  <c r="AH122" i="9"/>
  <c r="AI121" i="9"/>
  <c r="AI122" i="9"/>
  <c r="AJ121" i="9"/>
  <c r="AJ122" i="9"/>
  <c r="AK121" i="9"/>
  <c r="AK122" i="9"/>
  <c r="AL121" i="9"/>
  <c r="AM121" i="9" s="1"/>
  <c r="AL122" i="9"/>
  <c r="AM122" i="9" s="1"/>
  <c r="AN121" i="9"/>
  <c r="AN122" i="9"/>
  <c r="L2" i="9"/>
  <c r="AE115" i="9"/>
  <c r="AE116" i="9"/>
  <c r="AE117" i="9"/>
  <c r="AE118" i="9"/>
  <c r="AE119" i="9"/>
  <c r="AE120" i="9"/>
  <c r="AF115" i="9"/>
  <c r="AF116" i="9"/>
  <c r="AF117" i="9"/>
  <c r="AF118" i="9"/>
  <c r="AF119" i="9"/>
  <c r="AF120" i="9"/>
  <c r="AG115" i="9"/>
  <c r="AG116" i="9"/>
  <c r="AG117" i="9"/>
  <c r="AG118" i="9"/>
  <c r="AG119" i="9"/>
  <c r="AG120" i="9"/>
  <c r="AH115" i="9"/>
  <c r="AH116" i="9"/>
  <c r="AH117" i="9"/>
  <c r="AH118" i="9"/>
  <c r="AH119" i="9"/>
  <c r="AH120" i="9"/>
  <c r="AI115" i="9"/>
  <c r="AI116" i="9"/>
  <c r="AI117" i="9"/>
  <c r="AI118" i="9"/>
  <c r="AI119" i="9"/>
  <c r="AI120" i="9"/>
  <c r="AJ115" i="9"/>
  <c r="AJ116" i="9"/>
  <c r="AJ117" i="9"/>
  <c r="AJ118" i="9"/>
  <c r="AJ119" i="9"/>
  <c r="AJ120" i="9"/>
  <c r="AK115" i="9"/>
  <c r="AK116" i="9"/>
  <c r="AK117" i="9"/>
  <c r="AK118" i="9"/>
  <c r="AK119" i="9"/>
  <c r="AK120" i="9"/>
  <c r="AL115" i="9"/>
  <c r="AM115" i="9" s="1"/>
  <c r="AL116" i="9"/>
  <c r="AM116" i="9" s="1"/>
  <c r="AL117" i="9"/>
  <c r="AM117" i="9" s="1"/>
  <c r="AL118" i="9"/>
  <c r="AM118" i="9" s="1"/>
  <c r="AL119" i="9"/>
  <c r="AM119" i="9" s="1"/>
  <c r="AL120" i="9"/>
  <c r="AM120" i="9" s="1"/>
  <c r="AN115" i="9"/>
  <c r="AN116" i="9"/>
  <c r="AN117" i="9"/>
  <c r="AN118" i="9"/>
  <c r="AN119" i="9"/>
  <c r="AN120" i="9"/>
  <c r="A30" i="28" l="1"/>
  <c r="C30" i="28"/>
  <c r="D30" i="28"/>
  <c r="F30" i="28" l="1"/>
  <c r="J30" i="28"/>
  <c r="L30" i="28" s="1"/>
  <c r="P30" i="28"/>
  <c r="M30" i="28"/>
  <c r="N30" i="28" s="1"/>
  <c r="K30" i="28" l="1"/>
  <c r="O30" i="28"/>
  <c r="AE108" i="9" l="1"/>
  <c r="AE109" i="9"/>
  <c r="AE110" i="9"/>
  <c r="AE111" i="9"/>
  <c r="AE112" i="9"/>
  <c r="AE113" i="9"/>
  <c r="AE114" i="9"/>
  <c r="AF108" i="9"/>
  <c r="AF109" i="9"/>
  <c r="AF110" i="9"/>
  <c r="AF111" i="9"/>
  <c r="AF112" i="9"/>
  <c r="AF113" i="9"/>
  <c r="AF114" i="9"/>
  <c r="AG108" i="9"/>
  <c r="AG109" i="9"/>
  <c r="AG110" i="9"/>
  <c r="AG111" i="9"/>
  <c r="AG112" i="9"/>
  <c r="AG113" i="9"/>
  <c r="AG114" i="9"/>
  <c r="AH108" i="9"/>
  <c r="AH109" i="9"/>
  <c r="AH110" i="9"/>
  <c r="AH111" i="9"/>
  <c r="AH112" i="9"/>
  <c r="AH113" i="9"/>
  <c r="AH114" i="9"/>
  <c r="AI108" i="9"/>
  <c r="AI109" i="9"/>
  <c r="AI110" i="9"/>
  <c r="AI111" i="9"/>
  <c r="AI112" i="9"/>
  <c r="AI113" i="9"/>
  <c r="AI114" i="9"/>
  <c r="AJ108" i="9"/>
  <c r="AJ109" i="9"/>
  <c r="AJ110" i="9"/>
  <c r="AJ111" i="9"/>
  <c r="AJ112" i="9"/>
  <c r="AJ113" i="9"/>
  <c r="AJ114" i="9"/>
  <c r="AK108" i="9"/>
  <c r="AK109" i="9"/>
  <c r="AK110" i="9"/>
  <c r="AK111" i="9"/>
  <c r="AK112" i="9"/>
  <c r="AK113" i="9"/>
  <c r="AK114" i="9"/>
  <c r="AL108" i="9"/>
  <c r="AM108" i="9" s="1"/>
  <c r="AL109" i="9"/>
  <c r="AM109" i="9" s="1"/>
  <c r="AL110" i="9"/>
  <c r="AM110" i="9" s="1"/>
  <c r="AL111" i="9"/>
  <c r="AM111" i="9" s="1"/>
  <c r="AL112" i="9"/>
  <c r="AM112" i="9" s="1"/>
  <c r="AL113" i="9"/>
  <c r="AM113" i="9" s="1"/>
  <c r="AL114" i="9"/>
  <c r="AM114" i="9" s="1"/>
  <c r="AN108" i="9"/>
  <c r="AN109" i="9"/>
  <c r="AN110" i="9"/>
  <c r="AN111" i="9"/>
  <c r="AN112" i="9"/>
  <c r="AN113" i="9"/>
  <c r="AN114" i="9"/>
  <c r="AE104" i="9" l="1"/>
  <c r="AE105" i="9"/>
  <c r="AE106" i="9"/>
  <c r="AE107" i="9"/>
  <c r="AF104" i="9"/>
  <c r="AF105" i="9"/>
  <c r="AF106" i="9"/>
  <c r="AF107" i="9"/>
  <c r="AG104" i="9"/>
  <c r="AG105" i="9"/>
  <c r="AG106" i="9"/>
  <c r="AG107" i="9"/>
  <c r="AH104" i="9"/>
  <c r="AH105" i="9"/>
  <c r="AH106" i="9"/>
  <c r="AH107" i="9"/>
  <c r="AI104" i="9"/>
  <c r="AI105" i="9"/>
  <c r="AI106" i="9"/>
  <c r="AI107" i="9"/>
  <c r="AJ104" i="9"/>
  <c r="AJ105" i="9"/>
  <c r="AJ106" i="9"/>
  <c r="AJ107" i="9"/>
  <c r="AK104" i="9"/>
  <c r="AK105" i="9"/>
  <c r="AK106" i="9"/>
  <c r="AK107" i="9"/>
  <c r="AL104" i="9"/>
  <c r="AM104" i="9" s="1"/>
  <c r="AL105" i="9"/>
  <c r="AM105" i="9" s="1"/>
  <c r="AL106" i="9"/>
  <c r="AM106" i="9" s="1"/>
  <c r="AL107" i="9"/>
  <c r="AM107" i="9" s="1"/>
  <c r="AN104" i="9"/>
  <c r="AN105" i="9"/>
  <c r="AN106" i="9"/>
  <c r="AN107" i="9"/>
  <c r="AE101" i="9" l="1"/>
  <c r="AE102" i="9"/>
  <c r="AE103" i="9"/>
  <c r="AF101" i="9"/>
  <c r="AF102" i="9"/>
  <c r="AF103" i="9"/>
  <c r="AG101" i="9"/>
  <c r="AG102" i="9"/>
  <c r="AG103" i="9"/>
  <c r="AH101" i="9"/>
  <c r="AH102" i="9"/>
  <c r="AH103" i="9"/>
  <c r="AI101" i="9"/>
  <c r="AI102" i="9"/>
  <c r="AI103" i="9"/>
  <c r="AJ101" i="9"/>
  <c r="AJ102" i="9"/>
  <c r="AJ103" i="9"/>
  <c r="AK101" i="9"/>
  <c r="AK102" i="9"/>
  <c r="AK103" i="9"/>
  <c r="AL101" i="9"/>
  <c r="AM101" i="9" s="1"/>
  <c r="AL102" i="9"/>
  <c r="AM102" i="9" s="1"/>
  <c r="AL103" i="9"/>
  <c r="AM103" i="9" s="1"/>
  <c r="AN101" i="9"/>
  <c r="AN102" i="9"/>
  <c r="AN103" i="9"/>
  <c r="AE88" i="9" l="1"/>
  <c r="AE89" i="9"/>
  <c r="AE90" i="9"/>
  <c r="AE91" i="9"/>
  <c r="AE92" i="9"/>
  <c r="AE93" i="9"/>
  <c r="AE94" i="9"/>
  <c r="AE95" i="9"/>
  <c r="AE96" i="9"/>
  <c r="AE97" i="9"/>
  <c r="AE98" i="9"/>
  <c r="AE99" i="9"/>
  <c r="AE100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G88" i="9"/>
  <c r="AG89" i="9"/>
  <c r="AG90" i="9"/>
  <c r="AG91" i="9"/>
  <c r="AG92" i="9"/>
  <c r="AG93" i="9"/>
  <c r="AG94" i="9"/>
  <c r="AG95" i="9"/>
  <c r="AG96" i="9"/>
  <c r="AG97" i="9"/>
  <c r="AG98" i="9"/>
  <c r="AG99" i="9"/>
  <c r="AG100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L88" i="9"/>
  <c r="AM88" i="9" s="1"/>
  <c r="AL89" i="9"/>
  <c r="AM89" i="9" s="1"/>
  <c r="AL90" i="9"/>
  <c r="AM90" i="9" s="1"/>
  <c r="AL91" i="9"/>
  <c r="AM91" i="9" s="1"/>
  <c r="AL92" i="9"/>
  <c r="AM92" i="9" s="1"/>
  <c r="AL93" i="9"/>
  <c r="AM93" i="9" s="1"/>
  <c r="AL94" i="9"/>
  <c r="AM94" i="9" s="1"/>
  <c r="AL95" i="9"/>
  <c r="AM95" i="9" s="1"/>
  <c r="AL96" i="9"/>
  <c r="AM96" i="9" s="1"/>
  <c r="AL97" i="9"/>
  <c r="AM97" i="9" s="1"/>
  <c r="AL98" i="9"/>
  <c r="AM98" i="9" s="1"/>
  <c r="AL99" i="9"/>
  <c r="AM99" i="9" s="1"/>
  <c r="AL100" i="9"/>
  <c r="AM100" i="9" s="1"/>
  <c r="AN88" i="9"/>
  <c r="AN89" i="9"/>
  <c r="AN90" i="9"/>
  <c r="AN91" i="9"/>
  <c r="AN92" i="9"/>
  <c r="AN93" i="9"/>
  <c r="AN94" i="9"/>
  <c r="AN95" i="9"/>
  <c r="AN96" i="9"/>
  <c r="AN97" i="9"/>
  <c r="AN98" i="9"/>
  <c r="AN99" i="9"/>
  <c r="AN100" i="9"/>
  <c r="G7" i="35" l="1"/>
  <c r="H7" i="35" s="1"/>
  <c r="AE86" i="9"/>
  <c r="AE87" i="9"/>
  <c r="AF86" i="9"/>
  <c r="AF87" i="9"/>
  <c r="AG86" i="9"/>
  <c r="AG87" i="9"/>
  <c r="AH86" i="9"/>
  <c r="AH87" i="9"/>
  <c r="AI86" i="9"/>
  <c r="AI87" i="9"/>
  <c r="AJ86" i="9"/>
  <c r="AJ87" i="9"/>
  <c r="AK86" i="9"/>
  <c r="AK87" i="9"/>
  <c r="AL86" i="9"/>
  <c r="AM86" i="9" s="1"/>
  <c r="AL87" i="9"/>
  <c r="AM87" i="9" s="1"/>
  <c r="AN86" i="9"/>
  <c r="AN87" i="9"/>
  <c r="AE76" i="9" l="1"/>
  <c r="AE77" i="9"/>
  <c r="AE78" i="9"/>
  <c r="AE79" i="9"/>
  <c r="AE80" i="9"/>
  <c r="AE81" i="9"/>
  <c r="AE82" i="9"/>
  <c r="AE83" i="9"/>
  <c r="AE84" i="9"/>
  <c r="AE85" i="9"/>
  <c r="AF76" i="9"/>
  <c r="AF77" i="9"/>
  <c r="AF78" i="9"/>
  <c r="AF79" i="9"/>
  <c r="AF80" i="9"/>
  <c r="AF81" i="9"/>
  <c r="AF82" i="9"/>
  <c r="AF83" i="9"/>
  <c r="AF84" i="9"/>
  <c r="AF85" i="9"/>
  <c r="AG76" i="9"/>
  <c r="AG77" i="9"/>
  <c r="AG78" i="9"/>
  <c r="AG79" i="9"/>
  <c r="AG80" i="9"/>
  <c r="AG81" i="9"/>
  <c r="AG82" i="9"/>
  <c r="AG83" i="9"/>
  <c r="AG84" i="9"/>
  <c r="AG85" i="9"/>
  <c r="AH76" i="9"/>
  <c r="AH77" i="9"/>
  <c r="AH78" i="9"/>
  <c r="AH79" i="9"/>
  <c r="AH80" i="9"/>
  <c r="AH81" i="9"/>
  <c r="AH82" i="9"/>
  <c r="AH83" i="9"/>
  <c r="AH84" i="9"/>
  <c r="AH85" i="9"/>
  <c r="AI76" i="9"/>
  <c r="AI77" i="9"/>
  <c r="AI78" i="9"/>
  <c r="AI79" i="9"/>
  <c r="AI80" i="9"/>
  <c r="AI81" i="9"/>
  <c r="AI82" i="9"/>
  <c r="AI83" i="9"/>
  <c r="AI84" i="9"/>
  <c r="AI85" i="9"/>
  <c r="AJ76" i="9"/>
  <c r="AJ77" i="9"/>
  <c r="AJ78" i="9"/>
  <c r="AJ79" i="9"/>
  <c r="AJ80" i="9"/>
  <c r="AJ81" i="9"/>
  <c r="AJ82" i="9"/>
  <c r="AJ83" i="9"/>
  <c r="AJ84" i="9"/>
  <c r="AJ85" i="9"/>
  <c r="AK76" i="9"/>
  <c r="AK77" i="9"/>
  <c r="AK78" i="9"/>
  <c r="AK79" i="9"/>
  <c r="AK80" i="9"/>
  <c r="AK81" i="9"/>
  <c r="AK82" i="9"/>
  <c r="AK83" i="9"/>
  <c r="AK84" i="9"/>
  <c r="AK85" i="9"/>
  <c r="AL76" i="9"/>
  <c r="AM76" i="9" s="1"/>
  <c r="AL77" i="9"/>
  <c r="AM77" i="9" s="1"/>
  <c r="AL78" i="9"/>
  <c r="AM78" i="9" s="1"/>
  <c r="AL79" i="9"/>
  <c r="AM79" i="9" s="1"/>
  <c r="AL80" i="9"/>
  <c r="AM80" i="9" s="1"/>
  <c r="AL81" i="9"/>
  <c r="AM81" i="9" s="1"/>
  <c r="AL82" i="9"/>
  <c r="AM82" i="9" s="1"/>
  <c r="AL83" i="9"/>
  <c r="AM83" i="9" s="1"/>
  <c r="AL84" i="9"/>
  <c r="AM84" i="9" s="1"/>
  <c r="AL85" i="9"/>
  <c r="AM85" i="9" s="1"/>
  <c r="AN76" i="9"/>
  <c r="AN77" i="9"/>
  <c r="AN78" i="9"/>
  <c r="AN79" i="9"/>
  <c r="AN80" i="9"/>
  <c r="AN81" i="9"/>
  <c r="AN82" i="9"/>
  <c r="AN83" i="9"/>
  <c r="AN84" i="9"/>
  <c r="AN85" i="9"/>
  <c r="AE72" i="9"/>
  <c r="AE73" i="9"/>
  <c r="AE74" i="9"/>
  <c r="AE75" i="9"/>
  <c r="AF72" i="9"/>
  <c r="AF73" i="9"/>
  <c r="AF74" i="9"/>
  <c r="AF75" i="9"/>
  <c r="AG72" i="9"/>
  <c r="AG73" i="9"/>
  <c r="AG74" i="9"/>
  <c r="AG75" i="9"/>
  <c r="AH72" i="9"/>
  <c r="AH73" i="9"/>
  <c r="AH74" i="9"/>
  <c r="AH75" i="9"/>
  <c r="AI72" i="9"/>
  <c r="AI73" i="9"/>
  <c r="AI74" i="9"/>
  <c r="AI75" i="9"/>
  <c r="AJ72" i="9"/>
  <c r="AJ73" i="9"/>
  <c r="AJ74" i="9"/>
  <c r="AJ75" i="9"/>
  <c r="AK72" i="9"/>
  <c r="AK73" i="9"/>
  <c r="AK74" i="9"/>
  <c r="AK75" i="9"/>
  <c r="AL72" i="9"/>
  <c r="AM72" i="9" s="1"/>
  <c r="AL73" i="9"/>
  <c r="AM73" i="9" s="1"/>
  <c r="AL74" i="9"/>
  <c r="AM74" i="9" s="1"/>
  <c r="AL75" i="9"/>
  <c r="AM75" i="9" s="1"/>
  <c r="AN72" i="9"/>
  <c r="AN73" i="9"/>
  <c r="AN74" i="9"/>
  <c r="AN75" i="9"/>
  <c r="AE70" i="9"/>
  <c r="AE71" i="9"/>
  <c r="AF70" i="9"/>
  <c r="AF71" i="9"/>
  <c r="AG70" i="9"/>
  <c r="AG71" i="9"/>
  <c r="AH70" i="9"/>
  <c r="AH71" i="9"/>
  <c r="AI70" i="9"/>
  <c r="AI71" i="9"/>
  <c r="AJ70" i="9"/>
  <c r="AJ71" i="9"/>
  <c r="AK70" i="9"/>
  <c r="AK71" i="9"/>
  <c r="AL70" i="9"/>
  <c r="AM70" i="9" s="1"/>
  <c r="AL71" i="9"/>
  <c r="AM71" i="9" s="1"/>
  <c r="AN70" i="9"/>
  <c r="AN71" i="9"/>
  <c r="F14" i="34"/>
  <c r="AE69" i="9" l="1"/>
  <c r="AF69" i="9"/>
  <c r="AG69" i="9"/>
  <c r="AH69" i="9"/>
  <c r="AI69" i="9"/>
  <c r="AJ69" i="9"/>
  <c r="AK69" i="9"/>
  <c r="AL69" i="9"/>
  <c r="AM69" i="9" s="1"/>
  <c r="AN69" i="9"/>
  <c r="AE64" i="9"/>
  <c r="AE65" i="9"/>
  <c r="AE66" i="9"/>
  <c r="AE67" i="9"/>
  <c r="AE68" i="9"/>
  <c r="AF64" i="9"/>
  <c r="AF65" i="9"/>
  <c r="AF66" i="9"/>
  <c r="AF67" i="9"/>
  <c r="AF68" i="9"/>
  <c r="AG64" i="9"/>
  <c r="AG65" i="9"/>
  <c r="AG66" i="9"/>
  <c r="AG67" i="9"/>
  <c r="AG68" i="9"/>
  <c r="AH64" i="9"/>
  <c r="AH65" i="9"/>
  <c r="AH66" i="9"/>
  <c r="AH67" i="9"/>
  <c r="AH68" i="9"/>
  <c r="AI64" i="9"/>
  <c r="AI65" i="9"/>
  <c r="AI66" i="9"/>
  <c r="AI67" i="9"/>
  <c r="AI68" i="9"/>
  <c r="AJ64" i="9"/>
  <c r="AJ65" i="9"/>
  <c r="AJ66" i="9"/>
  <c r="AJ67" i="9"/>
  <c r="AJ68" i="9"/>
  <c r="AK64" i="9"/>
  <c r="AK65" i="9"/>
  <c r="AK66" i="9"/>
  <c r="AK67" i="9"/>
  <c r="AK68" i="9"/>
  <c r="AL64" i="9"/>
  <c r="AM64" i="9" s="1"/>
  <c r="AL65" i="9"/>
  <c r="AM65" i="9" s="1"/>
  <c r="AL66" i="9"/>
  <c r="AM66" i="9" s="1"/>
  <c r="AL67" i="9"/>
  <c r="AM67" i="9" s="1"/>
  <c r="AL68" i="9"/>
  <c r="AM68" i="9" s="1"/>
  <c r="AN64" i="9"/>
  <c r="AN65" i="9"/>
  <c r="AN66" i="9"/>
  <c r="AN67" i="9"/>
  <c r="AN68" i="9"/>
  <c r="AE58" i="9"/>
  <c r="AE59" i="9"/>
  <c r="AE60" i="9"/>
  <c r="AE61" i="9"/>
  <c r="AE62" i="9"/>
  <c r="AE63" i="9"/>
  <c r="AF58" i="9"/>
  <c r="AF59" i="9"/>
  <c r="AF60" i="9"/>
  <c r="AF61" i="9"/>
  <c r="AF62" i="9"/>
  <c r="AF63" i="9"/>
  <c r="AG58" i="9"/>
  <c r="AG59" i="9"/>
  <c r="AG60" i="9"/>
  <c r="AG61" i="9"/>
  <c r="AG62" i="9"/>
  <c r="AG63" i="9"/>
  <c r="AH58" i="9"/>
  <c r="AH59" i="9"/>
  <c r="AH60" i="9"/>
  <c r="AH61" i="9"/>
  <c r="AH62" i="9"/>
  <c r="AH63" i="9"/>
  <c r="AI58" i="9"/>
  <c r="AI59" i="9"/>
  <c r="AI60" i="9"/>
  <c r="AI61" i="9"/>
  <c r="AI62" i="9"/>
  <c r="AI63" i="9"/>
  <c r="AJ58" i="9"/>
  <c r="AJ59" i="9"/>
  <c r="AJ60" i="9"/>
  <c r="AJ61" i="9"/>
  <c r="AJ62" i="9"/>
  <c r="AJ63" i="9"/>
  <c r="AK58" i="9"/>
  <c r="AK59" i="9"/>
  <c r="AK60" i="9"/>
  <c r="AK61" i="9"/>
  <c r="AK62" i="9"/>
  <c r="AK63" i="9"/>
  <c r="AL58" i="9"/>
  <c r="AM58" i="9" s="1"/>
  <c r="AL59" i="9"/>
  <c r="AM59" i="9" s="1"/>
  <c r="AL60" i="9"/>
  <c r="AM60" i="9" s="1"/>
  <c r="AL61" i="9"/>
  <c r="AM61" i="9" s="1"/>
  <c r="AL62" i="9"/>
  <c r="AM62" i="9" s="1"/>
  <c r="AL63" i="9"/>
  <c r="AM63" i="9" s="1"/>
  <c r="AN58" i="9"/>
  <c r="AN59" i="9"/>
  <c r="AN60" i="9"/>
  <c r="AN61" i="9"/>
  <c r="AN62" i="9"/>
  <c r="AN63" i="9"/>
  <c r="G6" i="35" l="1"/>
  <c r="G5" i="35" s="1"/>
  <c r="AE55" i="9"/>
  <c r="AE56" i="9"/>
  <c r="AE57" i="9"/>
  <c r="AF55" i="9"/>
  <c r="AF56" i="9"/>
  <c r="AF57" i="9"/>
  <c r="AG55" i="9"/>
  <c r="AG56" i="9"/>
  <c r="AG57" i="9"/>
  <c r="AH55" i="9"/>
  <c r="AH56" i="9"/>
  <c r="AH57" i="9"/>
  <c r="AI55" i="9"/>
  <c r="AI56" i="9"/>
  <c r="AI57" i="9"/>
  <c r="AJ55" i="9"/>
  <c r="AJ56" i="9"/>
  <c r="AJ57" i="9"/>
  <c r="AK55" i="9"/>
  <c r="AK56" i="9"/>
  <c r="AK57" i="9"/>
  <c r="AL55" i="9"/>
  <c r="AM55" i="9" s="1"/>
  <c r="AL56" i="9"/>
  <c r="AM56" i="9" s="1"/>
  <c r="AL57" i="9"/>
  <c r="AM57" i="9" s="1"/>
  <c r="AN55" i="9"/>
  <c r="AN56" i="9"/>
  <c r="AN57" i="9"/>
  <c r="H6" i="35" l="1"/>
  <c r="H5" i="35"/>
  <c r="W5" i="28"/>
  <c r="AE53" i="9"/>
  <c r="AE54" i="9"/>
  <c r="AF53" i="9"/>
  <c r="AF54" i="9"/>
  <c r="AG53" i="9"/>
  <c r="AG54" i="9"/>
  <c r="AH53" i="9"/>
  <c r="AH54" i="9"/>
  <c r="AI53" i="9"/>
  <c r="AI54" i="9"/>
  <c r="AJ53" i="9"/>
  <c r="AJ54" i="9"/>
  <c r="AK53" i="9"/>
  <c r="AK54" i="9"/>
  <c r="AL53" i="9"/>
  <c r="AM53" i="9" s="1"/>
  <c r="AL54" i="9"/>
  <c r="AM54" i="9" s="1"/>
  <c r="AN53" i="9"/>
  <c r="AN54" i="9"/>
  <c r="T6" i="33"/>
  <c r="T11" i="33"/>
  <c r="T18" i="33"/>
  <c r="T19" i="33"/>
  <c r="T26" i="33"/>
  <c r="T27" i="33"/>
  <c r="T31" i="33"/>
  <c r="T34" i="33"/>
  <c r="T35" i="33"/>
  <c r="T38" i="33"/>
  <c r="T42" i="33"/>
  <c r="T43" i="33"/>
  <c r="T50" i="33"/>
  <c r="T51" i="33"/>
  <c r="T54" i="33"/>
  <c r="T57" i="33"/>
  <c r="T58" i="33"/>
  <c r="T59" i="33"/>
  <c r="T62" i="33"/>
  <c r="T63" i="33"/>
  <c r="T66" i="33"/>
  <c r="T67" i="33"/>
  <c r="T70" i="33"/>
  <c r="X2" i="33"/>
  <c r="Y2" i="33"/>
  <c r="AM2" i="33"/>
  <c r="AN2" i="33"/>
  <c r="AO2" i="33"/>
  <c r="BC2" i="33"/>
  <c r="BD2" i="33"/>
  <c r="BE2" i="33"/>
  <c r="C75" i="31"/>
  <c r="H2" i="33"/>
  <c r="T48" i="33" l="1"/>
  <c r="T12" i="33"/>
  <c r="T32" i="33"/>
  <c r="T45" i="33"/>
  <c r="T56" i="33"/>
  <c r="T8" i="33"/>
  <c r="T37" i="33"/>
  <c r="T5" i="33"/>
  <c r="T69" i="33"/>
  <c r="T29" i="33"/>
  <c r="T61" i="33"/>
  <c r="T24" i="33"/>
  <c r="T21" i="33"/>
  <c r="T53" i="33"/>
  <c r="T13" i="33"/>
  <c r="T30" i="33"/>
  <c r="T72" i="33"/>
  <c r="T46" i="33"/>
  <c r="T16" i="33"/>
  <c r="T65" i="33"/>
  <c r="T40" i="33"/>
  <c r="T15" i="33"/>
  <c r="T64" i="33"/>
  <c r="T14" i="33"/>
  <c r="T9" i="33"/>
  <c r="T41" i="33"/>
  <c r="T17" i="33"/>
  <c r="T33" i="33"/>
  <c r="T49" i="33"/>
  <c r="T22" i="33"/>
  <c r="T47" i="33"/>
  <c r="T44" i="33"/>
  <c r="T25" i="33"/>
  <c r="T71" i="33"/>
  <c r="T39" i="33"/>
  <c r="T7" i="33"/>
  <c r="T60" i="33"/>
  <c r="T28" i="33"/>
  <c r="T68" i="33"/>
  <c r="T36" i="33"/>
  <c r="T55" i="33"/>
  <c r="T23" i="33"/>
  <c r="T52" i="33"/>
  <c r="T20" i="33"/>
  <c r="O2" i="33"/>
  <c r="T10" i="33"/>
  <c r="AE48" i="9"/>
  <c r="AE49" i="9"/>
  <c r="AE50" i="9"/>
  <c r="AE51" i="9"/>
  <c r="AE52" i="9"/>
  <c r="AF48" i="9"/>
  <c r="AF49" i="9"/>
  <c r="AF50" i="9"/>
  <c r="AF51" i="9"/>
  <c r="AF52" i="9"/>
  <c r="AG48" i="9"/>
  <c r="AG49" i="9"/>
  <c r="AG50" i="9"/>
  <c r="AG51" i="9"/>
  <c r="AG52" i="9"/>
  <c r="AH48" i="9"/>
  <c r="AH49" i="9"/>
  <c r="AH50" i="9"/>
  <c r="AH51" i="9"/>
  <c r="AH52" i="9"/>
  <c r="AI48" i="9"/>
  <c r="AI49" i="9"/>
  <c r="AI50" i="9"/>
  <c r="AI51" i="9"/>
  <c r="AI52" i="9"/>
  <c r="AJ48" i="9"/>
  <c r="AJ49" i="9"/>
  <c r="AJ50" i="9"/>
  <c r="AJ51" i="9"/>
  <c r="AJ52" i="9"/>
  <c r="AK48" i="9"/>
  <c r="AK49" i="9"/>
  <c r="AK50" i="9"/>
  <c r="AK51" i="9"/>
  <c r="AK52" i="9"/>
  <c r="AL48" i="9"/>
  <c r="AM48" i="9" s="1"/>
  <c r="AL49" i="9"/>
  <c r="AM49" i="9" s="1"/>
  <c r="AL50" i="9"/>
  <c r="AM50" i="9" s="1"/>
  <c r="AL51" i="9"/>
  <c r="AM51" i="9" s="1"/>
  <c r="AL52" i="9"/>
  <c r="AM52" i="9" s="1"/>
  <c r="AN48" i="9"/>
  <c r="AN49" i="9"/>
  <c r="AN50" i="9"/>
  <c r="AN51" i="9"/>
  <c r="AN52" i="9"/>
  <c r="G9" i="35" l="1"/>
  <c r="H9" i="35" s="1"/>
  <c r="T2" i="33"/>
  <c r="BO1" i="33"/>
  <c r="AY1" i="33" l="1"/>
  <c r="S1" i="33"/>
  <c r="AI1" i="33"/>
  <c r="C1" i="33"/>
  <c r="L24" i="31"/>
  <c r="L31" i="31"/>
  <c r="L27" i="31"/>
  <c r="L57" i="31"/>
  <c r="L61" i="31"/>
  <c r="L13" i="31"/>
  <c r="L8" i="31"/>
  <c r="L3" i="31"/>
  <c r="L43" i="31"/>
  <c r="L17" i="31"/>
  <c r="L15" i="31"/>
  <c r="L32" i="31"/>
  <c r="L69" i="31"/>
  <c r="L49" i="31"/>
  <c r="L9" i="31"/>
  <c r="L37" i="31"/>
  <c r="L63" i="31"/>
  <c r="L39" i="31"/>
  <c r="L51" i="31"/>
  <c r="L68" i="31"/>
  <c r="L22" i="31"/>
  <c r="L46" i="31"/>
  <c r="L25" i="31"/>
  <c r="L20" i="31"/>
  <c r="L36" i="31"/>
  <c r="L40" i="31"/>
  <c r="L10" i="31"/>
  <c r="L6" i="31"/>
  <c r="L42" i="31"/>
  <c r="L18" i="31"/>
  <c r="L21" i="31"/>
  <c r="L62" i="31"/>
  <c r="L5" i="31"/>
  <c r="L23" i="31"/>
  <c r="L19" i="31"/>
  <c r="L54" i="31"/>
  <c r="L33" i="31"/>
  <c r="L67" i="31"/>
  <c r="L14" i="31"/>
  <c r="L55" i="31"/>
  <c r="L26" i="31"/>
  <c r="L16" i="31"/>
  <c r="L35" i="31"/>
  <c r="L66" i="31"/>
  <c r="L44" i="31"/>
  <c r="L47" i="31"/>
  <c r="L52" i="31"/>
  <c r="L34" i="31"/>
  <c r="L28" i="31"/>
  <c r="L30" i="31"/>
  <c r="L12" i="31"/>
  <c r="L70" i="31"/>
  <c r="L11" i="31"/>
  <c r="L48" i="31"/>
  <c r="L53" i="31"/>
  <c r="L58" i="31"/>
  <c r="L41" i="31"/>
  <c r="L65" i="31"/>
  <c r="L4" i="31"/>
  <c r="L7" i="31"/>
  <c r="L59" i="31"/>
  <c r="L71" i="31"/>
  <c r="L50" i="31"/>
  <c r="L60" i="31"/>
  <c r="L29" i="31"/>
  <c r="L45" i="31"/>
  <c r="L56" i="31"/>
  <c r="L64" i="31"/>
  <c r="L38" i="31"/>
  <c r="K37" i="31"/>
  <c r="K14" i="31"/>
  <c r="K50" i="31"/>
  <c r="K55" i="31"/>
  <c r="K60" i="31"/>
  <c r="K63" i="31"/>
  <c r="K26" i="31"/>
  <c r="K29" i="31"/>
  <c r="K39" i="31"/>
  <c r="K25" i="31"/>
  <c r="K36" i="31"/>
  <c r="K6" i="31"/>
  <c r="K17" i="31"/>
  <c r="K62" i="31"/>
  <c r="K69" i="31"/>
  <c r="K33" i="31"/>
  <c r="K71" i="31"/>
  <c r="K16" i="31"/>
  <c r="K45" i="31"/>
  <c r="K51" i="31"/>
  <c r="K56" i="31"/>
  <c r="K35" i="31"/>
  <c r="K64" i="31"/>
  <c r="K66" i="31"/>
  <c r="K68" i="31"/>
  <c r="K38" i="31"/>
  <c r="K22" i="31"/>
  <c r="K20" i="31"/>
  <c r="K10" i="31"/>
  <c r="K18" i="31"/>
  <c r="K15" i="31"/>
  <c r="K5" i="31"/>
  <c r="K59" i="31"/>
  <c r="K67" i="31"/>
  <c r="K24" i="31"/>
  <c r="K31" i="31"/>
  <c r="K27" i="31"/>
  <c r="K57" i="31"/>
  <c r="K61" i="31"/>
  <c r="K13" i="31"/>
  <c r="K8" i="31"/>
  <c r="K3" i="31"/>
  <c r="K43" i="31"/>
  <c r="K46" i="31"/>
  <c r="K40" i="31"/>
  <c r="K42" i="31"/>
  <c r="K21" i="31"/>
  <c r="K32" i="31"/>
  <c r="K49" i="31"/>
  <c r="K44" i="31"/>
  <c r="K47" i="31"/>
  <c r="K52" i="31"/>
  <c r="K34" i="31"/>
  <c r="K28" i="31"/>
  <c r="K30" i="31"/>
  <c r="K12" i="31"/>
  <c r="K70" i="31"/>
  <c r="K11" i="31"/>
  <c r="K48" i="31"/>
  <c r="K53" i="31"/>
  <c r="K58" i="31"/>
  <c r="K41" i="31"/>
  <c r="K65" i="31"/>
  <c r="K4" i="31"/>
  <c r="K23" i="31"/>
  <c r="K7" i="31"/>
  <c r="K19" i="31"/>
  <c r="K54" i="31"/>
  <c r="K9" i="31"/>
  <c r="J7" i="31"/>
  <c r="J19" i="31"/>
  <c r="J49" i="31"/>
  <c r="J54" i="31"/>
  <c r="J59" i="31"/>
  <c r="J33" i="31"/>
  <c r="J9" i="31"/>
  <c r="J67" i="31"/>
  <c r="J71" i="31"/>
  <c r="J14" i="31"/>
  <c r="J50" i="31"/>
  <c r="J55" i="31"/>
  <c r="J60" i="31"/>
  <c r="J63" i="31"/>
  <c r="J26" i="31"/>
  <c r="J29" i="31"/>
  <c r="J51" i="31"/>
  <c r="J68" i="31"/>
  <c r="J37" i="31"/>
  <c r="J16" i="31"/>
  <c r="J66" i="31"/>
  <c r="J24" i="31"/>
  <c r="J31" i="31"/>
  <c r="J27" i="31"/>
  <c r="J57" i="31"/>
  <c r="J61" i="31"/>
  <c r="J13" i="31"/>
  <c r="J8" i="31"/>
  <c r="J3" i="31"/>
  <c r="J43" i="31"/>
  <c r="J53" i="31"/>
  <c r="J41" i="31"/>
  <c r="J35" i="31"/>
  <c r="J22" i="31"/>
  <c r="J46" i="31"/>
  <c r="J25" i="31"/>
  <c r="J20" i="31"/>
  <c r="J36" i="31"/>
  <c r="J40" i="31"/>
  <c r="J10" i="31"/>
  <c r="J6" i="31"/>
  <c r="J42" i="31"/>
  <c r="J58" i="31"/>
  <c r="J23" i="31"/>
  <c r="J56" i="31"/>
  <c r="J18" i="31"/>
  <c r="J17" i="31"/>
  <c r="J21" i="31"/>
  <c r="J15" i="31"/>
  <c r="J62" i="31"/>
  <c r="J32" i="31"/>
  <c r="J5" i="31"/>
  <c r="J69" i="31"/>
  <c r="J48" i="31"/>
  <c r="J4" i="31"/>
  <c r="J45" i="31"/>
  <c r="J38" i="31"/>
  <c r="J44" i="31"/>
  <c r="J47" i="31"/>
  <c r="J52" i="31"/>
  <c r="J34" i="31"/>
  <c r="J28" i="31"/>
  <c r="J30" i="31"/>
  <c r="J12" i="31"/>
  <c r="J70" i="31"/>
  <c r="J11" i="31"/>
  <c r="J65" i="31"/>
  <c r="J39" i="31"/>
  <c r="J64" i="31"/>
  <c r="E5" i="33"/>
  <c r="F5" i="33" s="1"/>
  <c r="E6" i="33"/>
  <c r="F6" i="33" s="1"/>
  <c r="E7" i="33"/>
  <c r="F7" i="33" s="1"/>
  <c r="E8" i="33"/>
  <c r="F8" i="33" s="1"/>
  <c r="E9" i="33"/>
  <c r="F9" i="33" s="1"/>
  <c r="E10" i="33"/>
  <c r="F10" i="33" s="1"/>
  <c r="E11" i="33"/>
  <c r="F11" i="33" s="1"/>
  <c r="E12" i="33"/>
  <c r="F12" i="33" s="1"/>
  <c r="E13" i="33"/>
  <c r="F13" i="33" s="1"/>
  <c r="E14" i="33"/>
  <c r="F14" i="33" s="1"/>
  <c r="E15" i="33"/>
  <c r="F15" i="33" s="1"/>
  <c r="E16" i="33"/>
  <c r="F16" i="33" s="1"/>
  <c r="E17" i="33"/>
  <c r="F17" i="33" s="1"/>
  <c r="E18" i="33"/>
  <c r="F18" i="33" s="1"/>
  <c r="E19" i="33"/>
  <c r="F19" i="33" s="1"/>
  <c r="E20" i="33"/>
  <c r="F20" i="33" s="1"/>
  <c r="E21" i="33"/>
  <c r="F21" i="33" s="1"/>
  <c r="E22" i="33"/>
  <c r="F22" i="33" s="1"/>
  <c r="E23" i="33"/>
  <c r="F23" i="33" s="1"/>
  <c r="E24" i="33"/>
  <c r="F24" i="33" s="1"/>
  <c r="E25" i="33"/>
  <c r="F25" i="33" s="1"/>
  <c r="E26" i="33"/>
  <c r="F26" i="33" s="1"/>
  <c r="E27" i="33"/>
  <c r="F27" i="33" s="1"/>
  <c r="E28" i="33"/>
  <c r="F28" i="33" s="1"/>
  <c r="E29" i="33"/>
  <c r="F29" i="33" s="1"/>
  <c r="E30" i="33"/>
  <c r="F30" i="33" s="1"/>
  <c r="E31" i="33"/>
  <c r="F31" i="33" s="1"/>
  <c r="E32" i="33"/>
  <c r="F32" i="33" s="1"/>
  <c r="E33" i="33"/>
  <c r="F33" i="33" s="1"/>
  <c r="E34" i="33"/>
  <c r="F34" i="33" s="1"/>
  <c r="E35" i="33"/>
  <c r="F35" i="33" s="1"/>
  <c r="E36" i="33"/>
  <c r="F36" i="33" s="1"/>
  <c r="E37" i="33"/>
  <c r="F37" i="33" s="1"/>
  <c r="E38" i="33"/>
  <c r="F38" i="33" s="1"/>
  <c r="E39" i="33"/>
  <c r="F39" i="33" s="1"/>
  <c r="E40" i="33"/>
  <c r="F40" i="33" s="1"/>
  <c r="E41" i="33"/>
  <c r="F41" i="33" s="1"/>
  <c r="E42" i="33"/>
  <c r="F42" i="33" s="1"/>
  <c r="E43" i="33"/>
  <c r="F43" i="33" s="1"/>
  <c r="E44" i="33"/>
  <c r="F44" i="33" s="1"/>
  <c r="E45" i="33"/>
  <c r="F45" i="33" s="1"/>
  <c r="E46" i="33"/>
  <c r="F46" i="33" s="1"/>
  <c r="E47" i="33"/>
  <c r="F47" i="33" s="1"/>
  <c r="E48" i="33"/>
  <c r="F48" i="33" s="1"/>
  <c r="E49" i="33"/>
  <c r="F49" i="33" s="1"/>
  <c r="E50" i="33"/>
  <c r="F50" i="33" s="1"/>
  <c r="E51" i="33"/>
  <c r="F51" i="33" s="1"/>
  <c r="E52" i="33"/>
  <c r="F52" i="33" s="1"/>
  <c r="E53" i="33"/>
  <c r="F53" i="33" s="1"/>
  <c r="E54" i="33"/>
  <c r="F54" i="33" s="1"/>
  <c r="E55" i="33"/>
  <c r="F55" i="33" s="1"/>
  <c r="E56" i="33"/>
  <c r="F56" i="33" s="1"/>
  <c r="E57" i="33"/>
  <c r="F57" i="33" s="1"/>
  <c r="E58" i="33"/>
  <c r="F58" i="33" s="1"/>
  <c r="E59" i="33"/>
  <c r="F59" i="33" s="1"/>
  <c r="E60" i="33"/>
  <c r="F60" i="33" s="1"/>
  <c r="E61" i="33"/>
  <c r="F61" i="33" s="1"/>
  <c r="E62" i="33"/>
  <c r="F62" i="33" s="1"/>
  <c r="E63" i="33"/>
  <c r="F63" i="33" s="1"/>
  <c r="E64" i="33"/>
  <c r="F64" i="33" s="1"/>
  <c r="E65" i="33"/>
  <c r="F65" i="33" s="1"/>
  <c r="E66" i="33"/>
  <c r="F66" i="33" s="1"/>
  <c r="E67" i="33"/>
  <c r="F67" i="33" s="1"/>
  <c r="E68" i="33"/>
  <c r="F68" i="33" s="1"/>
  <c r="E69" i="33"/>
  <c r="F69" i="33" s="1"/>
  <c r="E70" i="33"/>
  <c r="F70" i="33" s="1"/>
  <c r="E71" i="33"/>
  <c r="F71" i="33" s="1"/>
  <c r="E72" i="33"/>
  <c r="F72" i="33" s="1"/>
  <c r="E4" i="33"/>
  <c r="F4" i="33" s="1"/>
  <c r="BI6" i="33" l="1"/>
  <c r="BI14" i="33"/>
  <c r="BI22" i="33"/>
  <c r="BI30" i="33"/>
  <c r="BI38" i="33"/>
  <c r="BI46" i="33"/>
  <c r="BI54" i="33"/>
  <c r="BI62" i="33"/>
  <c r="BI70" i="33"/>
  <c r="BI9" i="33"/>
  <c r="BI49" i="33"/>
  <c r="BI7" i="33"/>
  <c r="BI15" i="33"/>
  <c r="BI23" i="33"/>
  <c r="BI31" i="33"/>
  <c r="BI39" i="33"/>
  <c r="BI47" i="33"/>
  <c r="BI55" i="33"/>
  <c r="BI63" i="33"/>
  <c r="BI71" i="33"/>
  <c r="BI65" i="33"/>
  <c r="BI8" i="33"/>
  <c r="BI16" i="33"/>
  <c r="BI24" i="33"/>
  <c r="BI32" i="33"/>
  <c r="BI40" i="33"/>
  <c r="BI48" i="33"/>
  <c r="BI56" i="33"/>
  <c r="BI64" i="33"/>
  <c r="BI72" i="33"/>
  <c r="BI25" i="33"/>
  <c r="BI33" i="33"/>
  <c r="BI10" i="33"/>
  <c r="BI18" i="33"/>
  <c r="BI26" i="33"/>
  <c r="BI34" i="33"/>
  <c r="BI42" i="33"/>
  <c r="BI50" i="33"/>
  <c r="BI58" i="33"/>
  <c r="BI66" i="33"/>
  <c r="BI11" i="33"/>
  <c r="BI19" i="33"/>
  <c r="BI27" i="33"/>
  <c r="BI35" i="33"/>
  <c r="BI43" i="33"/>
  <c r="BI51" i="33"/>
  <c r="BI59" i="33"/>
  <c r="BI67" i="33"/>
  <c r="BI4" i="33"/>
  <c r="BI12" i="33"/>
  <c r="BI20" i="33"/>
  <c r="BI28" i="33"/>
  <c r="BI36" i="33"/>
  <c r="BI44" i="33"/>
  <c r="BI52" i="33"/>
  <c r="BI60" i="33"/>
  <c r="BI68" i="33"/>
  <c r="BI17" i="33"/>
  <c r="BI41" i="33"/>
  <c r="BI57" i="33"/>
  <c r="BI5" i="33"/>
  <c r="BI13" i="33"/>
  <c r="BI21" i="33"/>
  <c r="BI29" i="33"/>
  <c r="BI37" i="33"/>
  <c r="BI45" i="33"/>
  <c r="BI53" i="33"/>
  <c r="BI61" i="33"/>
  <c r="BI69" i="33"/>
  <c r="AS5" i="33"/>
  <c r="AS13" i="33"/>
  <c r="AS21" i="33"/>
  <c r="AS29" i="33"/>
  <c r="AS37" i="33"/>
  <c r="AS45" i="33"/>
  <c r="AS53" i="33"/>
  <c r="AS61" i="33"/>
  <c r="AS69" i="33"/>
  <c r="AS6" i="33"/>
  <c r="AS14" i="33"/>
  <c r="AS22" i="33"/>
  <c r="AS30" i="33"/>
  <c r="AS38" i="33"/>
  <c r="AS46" i="33"/>
  <c r="AS54" i="33"/>
  <c r="AS62" i="33"/>
  <c r="AS70" i="33"/>
  <c r="AS36" i="33"/>
  <c r="AS7" i="33"/>
  <c r="AS15" i="33"/>
  <c r="AS23" i="33"/>
  <c r="AS31" i="33"/>
  <c r="AS39" i="33"/>
  <c r="AS47" i="33"/>
  <c r="AS55" i="33"/>
  <c r="AS63" i="33"/>
  <c r="AS71" i="33"/>
  <c r="AS9" i="33"/>
  <c r="AS25" i="33"/>
  <c r="AS41" i="33"/>
  <c r="AS49" i="33"/>
  <c r="AS65" i="33"/>
  <c r="AS12" i="33"/>
  <c r="AS20" i="33"/>
  <c r="AS44" i="33"/>
  <c r="AS60" i="33"/>
  <c r="AS8" i="33"/>
  <c r="AS16" i="33"/>
  <c r="AS24" i="33"/>
  <c r="AS32" i="33"/>
  <c r="AS40" i="33"/>
  <c r="AS48" i="33"/>
  <c r="AS56" i="33"/>
  <c r="AS64" i="33"/>
  <c r="AS72" i="33"/>
  <c r="AS17" i="33"/>
  <c r="AS33" i="33"/>
  <c r="AS57" i="33"/>
  <c r="AS10" i="33"/>
  <c r="AS18" i="33"/>
  <c r="AS26" i="33"/>
  <c r="AS34" i="33"/>
  <c r="AS42" i="33"/>
  <c r="AS50" i="33"/>
  <c r="AS58" i="33"/>
  <c r="AS66" i="33"/>
  <c r="AS11" i="33"/>
  <c r="AS19" i="33"/>
  <c r="AS27" i="33"/>
  <c r="AS35" i="33"/>
  <c r="AS43" i="33"/>
  <c r="AS51" i="33"/>
  <c r="AS59" i="33"/>
  <c r="AS67" i="33"/>
  <c r="AS4" i="33"/>
  <c r="AS28" i="33"/>
  <c r="AS52" i="33"/>
  <c r="AS68" i="33"/>
  <c r="R67" i="33"/>
  <c r="AG67" i="33" s="1"/>
  <c r="R70" i="33"/>
  <c r="AG70" i="33" s="1"/>
  <c r="R68" i="33"/>
  <c r="AG68" i="33" s="1"/>
  <c r="R69" i="33"/>
  <c r="AG69" i="33" s="1"/>
  <c r="R71" i="33"/>
  <c r="AG71" i="33" s="1"/>
  <c r="R72" i="33"/>
  <c r="AG72" i="33" s="1"/>
  <c r="R65" i="33"/>
  <c r="AG65" i="33" s="1"/>
  <c r="R66" i="33"/>
  <c r="AG66" i="33" s="1"/>
  <c r="R22" i="33"/>
  <c r="R46" i="33"/>
  <c r="AG46" i="33" s="1"/>
  <c r="R62" i="33"/>
  <c r="AG62" i="33" s="1"/>
  <c r="R23" i="33"/>
  <c r="AG23" i="33" s="1"/>
  <c r="R31" i="33"/>
  <c r="AG31" i="33" s="1"/>
  <c r="R39" i="33"/>
  <c r="AG39" i="33" s="1"/>
  <c r="R47" i="33"/>
  <c r="R55" i="33"/>
  <c r="R33" i="33"/>
  <c r="AG33" i="33" s="1"/>
  <c r="R49" i="33"/>
  <c r="AG49" i="33" s="1"/>
  <c r="R10" i="33"/>
  <c r="R18" i="33"/>
  <c r="R26" i="33"/>
  <c r="AG26" i="33" s="1"/>
  <c r="AH26" i="33" s="1"/>
  <c r="R34" i="33"/>
  <c r="AG34" i="33" s="1"/>
  <c r="R42" i="33"/>
  <c r="AG42" i="33" s="1"/>
  <c r="R50" i="33"/>
  <c r="AG50" i="33" s="1"/>
  <c r="R58" i="33"/>
  <c r="AG58" i="33" s="1"/>
  <c r="R30" i="33"/>
  <c r="AG30" i="33" s="1"/>
  <c r="AH30" i="33" s="1"/>
  <c r="R16" i="33"/>
  <c r="R32" i="33"/>
  <c r="AG32" i="33" s="1"/>
  <c r="R56" i="33"/>
  <c r="AG56" i="33" s="1"/>
  <c r="R9" i="33"/>
  <c r="AG9" i="33" s="1"/>
  <c r="R25" i="33"/>
  <c r="AG25" i="33" s="1"/>
  <c r="AH25" i="33" s="1"/>
  <c r="R41" i="33"/>
  <c r="AG41" i="33" s="1"/>
  <c r="R57" i="33"/>
  <c r="R11" i="33"/>
  <c r="R27" i="33"/>
  <c r="R35" i="33"/>
  <c r="AG35" i="33" s="1"/>
  <c r="R43" i="33"/>
  <c r="AG43" i="33" s="1"/>
  <c r="R51" i="33"/>
  <c r="AG51" i="33" s="1"/>
  <c r="R59" i="33"/>
  <c r="AG59" i="33" s="1"/>
  <c r="R20" i="33"/>
  <c r="AG20" i="33" s="1"/>
  <c r="R28" i="33"/>
  <c r="AG28" i="33" s="1"/>
  <c r="R36" i="33"/>
  <c r="AG36" i="33" s="1"/>
  <c r="R44" i="33"/>
  <c r="R52" i="33"/>
  <c r="R60" i="33"/>
  <c r="R21" i="33"/>
  <c r="AG21" i="33" s="1"/>
  <c r="R29" i="33"/>
  <c r="AG29" i="33" s="1"/>
  <c r="R37" i="33"/>
  <c r="AG37" i="33" s="1"/>
  <c r="R45" i="33"/>
  <c r="AG45" i="33" s="1"/>
  <c r="R53" i="33"/>
  <c r="AG53" i="33" s="1"/>
  <c r="R38" i="33"/>
  <c r="R54" i="33"/>
  <c r="AG54" i="33" s="1"/>
  <c r="AC5" i="33"/>
  <c r="AC13" i="33"/>
  <c r="AC21" i="33"/>
  <c r="AC29" i="33"/>
  <c r="AC37" i="33"/>
  <c r="AC45" i="33"/>
  <c r="AC53" i="33"/>
  <c r="AC61" i="33"/>
  <c r="AC69" i="33"/>
  <c r="AC6" i="33"/>
  <c r="AC14" i="33"/>
  <c r="AC22" i="33"/>
  <c r="AC30" i="33"/>
  <c r="AC38" i="33"/>
  <c r="AC46" i="33"/>
  <c r="AC54" i="33"/>
  <c r="AC62" i="33"/>
  <c r="AC70" i="33"/>
  <c r="AC7" i="33"/>
  <c r="AC15" i="33"/>
  <c r="AC23" i="33"/>
  <c r="AC31" i="33"/>
  <c r="AC39" i="33"/>
  <c r="AC47" i="33"/>
  <c r="AC55" i="33"/>
  <c r="AC63" i="33"/>
  <c r="AC71" i="33"/>
  <c r="AC20" i="33"/>
  <c r="AC8" i="33"/>
  <c r="AC16" i="33"/>
  <c r="AC24" i="33"/>
  <c r="AC32" i="33"/>
  <c r="AC40" i="33"/>
  <c r="AC48" i="33"/>
  <c r="AC56" i="33"/>
  <c r="AC64" i="33"/>
  <c r="AC72" i="33"/>
  <c r="AC28" i="33"/>
  <c r="AC9" i="33"/>
  <c r="AC17" i="33"/>
  <c r="AC25" i="33"/>
  <c r="AC33" i="33"/>
  <c r="AC41" i="33"/>
  <c r="AC49" i="33"/>
  <c r="AC57" i="33"/>
  <c r="AC65" i="33"/>
  <c r="AC10" i="33"/>
  <c r="AC18" i="33"/>
  <c r="AC26" i="33"/>
  <c r="AC34" i="33"/>
  <c r="AC42" i="33"/>
  <c r="AC50" i="33"/>
  <c r="AC58" i="33"/>
  <c r="AC66" i="33"/>
  <c r="AC12" i="33"/>
  <c r="AC52" i="33"/>
  <c r="AC11" i="33"/>
  <c r="AC19" i="33"/>
  <c r="AC27" i="33"/>
  <c r="AC35" i="33"/>
  <c r="AC43" i="33"/>
  <c r="AC51" i="33"/>
  <c r="AC59" i="33"/>
  <c r="AC67" i="33"/>
  <c r="AC4" i="33"/>
  <c r="AC36" i="33"/>
  <c r="AC44" i="33"/>
  <c r="AC60" i="33"/>
  <c r="AC68" i="33"/>
  <c r="M22" i="33"/>
  <c r="M30" i="33"/>
  <c r="M38" i="33"/>
  <c r="M46" i="33"/>
  <c r="M54" i="33"/>
  <c r="M62" i="33"/>
  <c r="M70" i="33"/>
  <c r="M10" i="33"/>
  <c r="M66" i="33"/>
  <c r="M23" i="33"/>
  <c r="M31" i="33"/>
  <c r="M39" i="33"/>
  <c r="M47" i="33"/>
  <c r="M55" i="33"/>
  <c r="M71" i="33"/>
  <c r="M16" i="33"/>
  <c r="M32" i="33"/>
  <c r="M56" i="33"/>
  <c r="M72" i="33"/>
  <c r="M9" i="33"/>
  <c r="M25" i="33"/>
  <c r="M33" i="33"/>
  <c r="M41" i="33"/>
  <c r="M49" i="33"/>
  <c r="M57" i="33"/>
  <c r="M65" i="33"/>
  <c r="M18" i="33"/>
  <c r="M26" i="33"/>
  <c r="M34" i="33"/>
  <c r="M42" i="33"/>
  <c r="M50" i="33"/>
  <c r="M58" i="33"/>
  <c r="M11" i="33"/>
  <c r="M27" i="33"/>
  <c r="M35" i="33"/>
  <c r="M43" i="33"/>
  <c r="M51" i="33"/>
  <c r="M59" i="33"/>
  <c r="M67" i="33"/>
  <c r="M20" i="33"/>
  <c r="M28" i="33"/>
  <c r="M36" i="33"/>
  <c r="M44" i="33"/>
  <c r="M52" i="33"/>
  <c r="M60" i="33"/>
  <c r="M68" i="33"/>
  <c r="M21" i="33"/>
  <c r="M29" i="33"/>
  <c r="M37" i="33"/>
  <c r="M45" i="33"/>
  <c r="M53" i="33"/>
  <c r="M69" i="33"/>
  <c r="F2" i="33"/>
  <c r="K4" i="33"/>
  <c r="K5" i="33"/>
  <c r="P5" i="33" s="1"/>
  <c r="K6" i="33"/>
  <c r="P6" i="33" s="1"/>
  <c r="K7" i="33"/>
  <c r="P7" i="33" s="1"/>
  <c r="K8" i="33"/>
  <c r="P8" i="33" s="1"/>
  <c r="K9" i="33"/>
  <c r="P9" i="33" s="1"/>
  <c r="K10" i="33"/>
  <c r="P10" i="33" s="1"/>
  <c r="K11" i="33"/>
  <c r="P11" i="33" s="1"/>
  <c r="K12" i="33"/>
  <c r="P12" i="33" s="1"/>
  <c r="K13" i="33"/>
  <c r="P13" i="33" s="1"/>
  <c r="K14" i="33"/>
  <c r="P14" i="33" s="1"/>
  <c r="K15" i="33"/>
  <c r="P15" i="33" s="1"/>
  <c r="K16" i="33"/>
  <c r="P16" i="33" s="1"/>
  <c r="K17" i="33"/>
  <c r="P17" i="33" s="1"/>
  <c r="K18" i="33"/>
  <c r="P18" i="33" s="1"/>
  <c r="K19" i="33"/>
  <c r="P19" i="33" s="1"/>
  <c r="K20" i="33"/>
  <c r="P20" i="33" s="1"/>
  <c r="K21" i="33"/>
  <c r="P21" i="33" s="1"/>
  <c r="K22" i="33"/>
  <c r="P22" i="33" s="1"/>
  <c r="K23" i="33"/>
  <c r="P23" i="33" s="1"/>
  <c r="K24" i="33"/>
  <c r="P24" i="33" s="1"/>
  <c r="K25" i="33"/>
  <c r="P25" i="33" s="1"/>
  <c r="K26" i="33"/>
  <c r="P26" i="33" s="1"/>
  <c r="K27" i="33"/>
  <c r="P27" i="33" s="1"/>
  <c r="K28" i="33"/>
  <c r="P28" i="33" s="1"/>
  <c r="K29" i="33"/>
  <c r="P29" i="33" s="1"/>
  <c r="K30" i="33"/>
  <c r="P30" i="33" s="1"/>
  <c r="K31" i="33"/>
  <c r="P31" i="33" s="1"/>
  <c r="K32" i="33"/>
  <c r="P32" i="33" s="1"/>
  <c r="K33" i="33"/>
  <c r="P33" i="33" s="1"/>
  <c r="K34" i="33"/>
  <c r="P34" i="33" s="1"/>
  <c r="K35" i="33"/>
  <c r="P35" i="33" s="1"/>
  <c r="K36" i="33"/>
  <c r="P36" i="33" s="1"/>
  <c r="K37" i="33"/>
  <c r="P37" i="33" s="1"/>
  <c r="K38" i="33"/>
  <c r="P38" i="33" s="1"/>
  <c r="K39" i="33"/>
  <c r="P39" i="33" s="1"/>
  <c r="K40" i="33"/>
  <c r="P40" i="33" s="1"/>
  <c r="K41" i="33"/>
  <c r="P41" i="33" s="1"/>
  <c r="K42" i="33"/>
  <c r="P42" i="33" s="1"/>
  <c r="K43" i="33"/>
  <c r="P43" i="33" s="1"/>
  <c r="K44" i="33"/>
  <c r="P44" i="33" s="1"/>
  <c r="K45" i="33"/>
  <c r="P45" i="33" s="1"/>
  <c r="K46" i="33"/>
  <c r="P46" i="33" s="1"/>
  <c r="K47" i="33"/>
  <c r="P47" i="33" s="1"/>
  <c r="K48" i="33"/>
  <c r="P48" i="33" s="1"/>
  <c r="K49" i="33"/>
  <c r="P49" i="33" s="1"/>
  <c r="K50" i="33"/>
  <c r="P50" i="33" s="1"/>
  <c r="K51" i="33"/>
  <c r="P51" i="33" s="1"/>
  <c r="K52" i="33"/>
  <c r="P52" i="33" s="1"/>
  <c r="K53" i="33"/>
  <c r="P53" i="33" s="1"/>
  <c r="K54" i="33"/>
  <c r="P54" i="33" s="1"/>
  <c r="K55" i="33"/>
  <c r="P55" i="33" s="1"/>
  <c r="K56" i="33"/>
  <c r="P56" i="33" s="1"/>
  <c r="K57" i="33"/>
  <c r="P57" i="33" s="1"/>
  <c r="K58" i="33"/>
  <c r="P58" i="33" s="1"/>
  <c r="K59" i="33"/>
  <c r="P59" i="33" s="1"/>
  <c r="K60" i="33"/>
  <c r="P60" i="33" s="1"/>
  <c r="K61" i="33"/>
  <c r="P61" i="33" s="1"/>
  <c r="K62" i="33"/>
  <c r="P62" i="33" s="1"/>
  <c r="K63" i="33"/>
  <c r="P63" i="33" s="1"/>
  <c r="K64" i="33"/>
  <c r="P64" i="33" s="1"/>
  <c r="K65" i="33"/>
  <c r="P65" i="33" s="1"/>
  <c r="K66" i="33"/>
  <c r="P66" i="33" s="1"/>
  <c r="K67" i="33"/>
  <c r="P67" i="33" s="1"/>
  <c r="K68" i="33"/>
  <c r="P68" i="33" s="1"/>
  <c r="K69" i="33"/>
  <c r="P69" i="33" s="1"/>
  <c r="K70" i="33"/>
  <c r="P70" i="33" s="1"/>
  <c r="K71" i="33"/>
  <c r="P71" i="33" s="1"/>
  <c r="K72" i="33"/>
  <c r="P72" i="33" s="1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41" i="33"/>
  <c r="J42" i="33"/>
  <c r="J43" i="33"/>
  <c r="J44" i="33"/>
  <c r="J45" i="33"/>
  <c r="J46" i="33"/>
  <c r="J47" i="33"/>
  <c r="J48" i="33"/>
  <c r="J49" i="33"/>
  <c r="J50" i="33"/>
  <c r="J51" i="33"/>
  <c r="J52" i="33"/>
  <c r="J53" i="33"/>
  <c r="J54" i="33"/>
  <c r="J55" i="33"/>
  <c r="J56" i="33"/>
  <c r="J57" i="33"/>
  <c r="J58" i="33"/>
  <c r="J59" i="33"/>
  <c r="J60" i="33"/>
  <c r="J61" i="33"/>
  <c r="J62" i="33"/>
  <c r="J63" i="33"/>
  <c r="J64" i="33"/>
  <c r="J65" i="33"/>
  <c r="J66" i="33"/>
  <c r="J67" i="33"/>
  <c r="J68" i="33"/>
  <c r="J69" i="33"/>
  <c r="J70" i="33"/>
  <c r="J71" i="33"/>
  <c r="J72" i="33"/>
  <c r="BI2" i="33" l="1"/>
  <c r="AG55" i="33"/>
  <c r="AH55" i="33" s="1"/>
  <c r="AG47" i="33"/>
  <c r="AH47" i="33" s="1"/>
  <c r="AG60" i="33"/>
  <c r="AH60" i="33" s="1"/>
  <c r="AG52" i="33"/>
  <c r="AH52" i="33" s="1"/>
  <c r="AG18" i="33"/>
  <c r="AH18" i="33" s="1"/>
  <c r="AG38" i="33"/>
  <c r="AH38" i="33" s="1"/>
  <c r="AG44" i="33"/>
  <c r="AH44" i="33" s="1"/>
  <c r="AG27" i="33"/>
  <c r="AH27" i="33" s="1"/>
  <c r="AG16" i="33"/>
  <c r="AH16" i="33" s="1"/>
  <c r="AG10" i="33"/>
  <c r="AH10" i="33" s="1"/>
  <c r="AG11" i="33"/>
  <c r="AH11" i="33" s="1"/>
  <c r="AG57" i="33"/>
  <c r="AH57" i="33" s="1"/>
  <c r="AG22" i="33"/>
  <c r="AH22" i="33" s="1"/>
  <c r="AH68" i="33"/>
  <c r="AH53" i="33"/>
  <c r="AH36" i="33"/>
  <c r="AH49" i="33"/>
  <c r="AH46" i="33"/>
  <c r="AH70" i="33"/>
  <c r="AH67" i="33"/>
  <c r="AH37" i="33"/>
  <c r="AH20" i="33"/>
  <c r="AH41" i="33"/>
  <c r="AH50" i="33"/>
  <c r="AH66" i="33"/>
  <c r="AH28" i="33"/>
  <c r="AH29" i="33"/>
  <c r="AH59" i="33"/>
  <c r="AH42" i="33"/>
  <c r="AH65" i="33"/>
  <c r="AH62" i="33"/>
  <c r="AH58" i="33"/>
  <c r="AH21" i="33"/>
  <c r="AH51" i="33"/>
  <c r="AH9" i="33"/>
  <c r="AH34" i="33"/>
  <c r="AH39" i="33"/>
  <c r="AH72" i="33"/>
  <c r="AH45" i="33"/>
  <c r="AH33" i="33"/>
  <c r="AH43" i="33"/>
  <c r="AH56" i="33"/>
  <c r="AH31" i="33"/>
  <c r="AH71" i="33"/>
  <c r="AH54" i="33"/>
  <c r="AH35" i="33"/>
  <c r="AH32" i="33"/>
  <c r="AH23" i="33"/>
  <c r="AH69" i="33"/>
  <c r="N68" i="33"/>
  <c r="S68" i="33" s="1"/>
  <c r="N59" i="33"/>
  <c r="S59" i="33" s="1"/>
  <c r="N42" i="33"/>
  <c r="S42" i="33" s="1"/>
  <c r="N33" i="33"/>
  <c r="S33" i="33" s="1"/>
  <c r="N62" i="33"/>
  <c r="S62" i="33" s="1"/>
  <c r="K2" i="33"/>
  <c r="P4" i="33"/>
  <c r="J2" i="33"/>
  <c r="AS2" i="33"/>
  <c r="N53" i="33"/>
  <c r="S53" i="33" s="1"/>
  <c r="N45" i="33"/>
  <c r="S45" i="33" s="1"/>
  <c r="N37" i="33"/>
  <c r="S37" i="33" s="1"/>
  <c r="N60" i="33"/>
  <c r="S60" i="33" s="1"/>
  <c r="N51" i="33"/>
  <c r="S51" i="33" s="1"/>
  <c r="N34" i="33"/>
  <c r="S34" i="33" s="1"/>
  <c r="N25" i="33"/>
  <c r="S25" i="33" s="1"/>
  <c r="N54" i="33"/>
  <c r="S54" i="33" s="1"/>
  <c r="N28" i="33"/>
  <c r="S28" i="33" s="1"/>
  <c r="N69" i="33"/>
  <c r="S69" i="33" s="1"/>
  <c r="N52" i="33"/>
  <c r="S52" i="33" s="1"/>
  <c r="N43" i="33"/>
  <c r="S43" i="33" s="1"/>
  <c r="N26" i="33"/>
  <c r="S26" i="33" s="1"/>
  <c r="N9" i="33"/>
  <c r="S9" i="33" s="1"/>
  <c r="N39" i="33"/>
  <c r="S39" i="33" s="1"/>
  <c r="N46" i="33"/>
  <c r="S46" i="33" s="1"/>
  <c r="N47" i="33"/>
  <c r="S47" i="33" s="1"/>
  <c r="N44" i="33"/>
  <c r="S44" i="33" s="1"/>
  <c r="N35" i="33"/>
  <c r="S35" i="33" s="1"/>
  <c r="N18" i="33"/>
  <c r="S18" i="33" s="1"/>
  <c r="N72" i="33"/>
  <c r="S72" i="33" s="1"/>
  <c r="N31" i="33"/>
  <c r="S31" i="33" s="1"/>
  <c r="N38" i="33"/>
  <c r="S38" i="33" s="1"/>
  <c r="N55" i="33"/>
  <c r="S55" i="33" s="1"/>
  <c r="N36" i="33"/>
  <c r="S36" i="33" s="1"/>
  <c r="N27" i="33"/>
  <c r="S27" i="33" s="1"/>
  <c r="N65" i="33"/>
  <c r="S65" i="33" s="1"/>
  <c r="N56" i="33"/>
  <c r="S56" i="33" s="1"/>
  <c r="N23" i="33"/>
  <c r="S23" i="33" s="1"/>
  <c r="N30" i="33"/>
  <c r="S30" i="33" s="1"/>
  <c r="N11" i="33"/>
  <c r="S11" i="33" s="1"/>
  <c r="N57" i="33"/>
  <c r="S57" i="33" s="1"/>
  <c r="N32" i="33"/>
  <c r="S32" i="33" s="1"/>
  <c r="N66" i="33"/>
  <c r="S66" i="33" s="1"/>
  <c r="N22" i="33"/>
  <c r="S22" i="33" s="1"/>
  <c r="N29" i="33"/>
  <c r="S29" i="33" s="1"/>
  <c r="N20" i="33"/>
  <c r="S20" i="33" s="1"/>
  <c r="N58" i="33"/>
  <c r="S58" i="33" s="1"/>
  <c r="N49" i="33"/>
  <c r="S49" i="33" s="1"/>
  <c r="N16" i="33"/>
  <c r="S16" i="33" s="1"/>
  <c r="N10" i="33"/>
  <c r="S10" i="33" s="1"/>
  <c r="N21" i="33"/>
  <c r="S21" i="33" s="1"/>
  <c r="N67" i="33"/>
  <c r="S67" i="33" s="1"/>
  <c r="N50" i="33"/>
  <c r="S50" i="33" s="1"/>
  <c r="N41" i="33"/>
  <c r="S41" i="33" s="1"/>
  <c r="N71" i="33"/>
  <c r="S71" i="33" s="1"/>
  <c r="N70" i="33"/>
  <c r="S70" i="33" s="1"/>
  <c r="AW26" i="33"/>
  <c r="AW25" i="33"/>
  <c r="AW30" i="33"/>
  <c r="AC2" i="33"/>
  <c r="G2" i="33"/>
  <c r="C2" i="33"/>
  <c r="D2" i="33"/>
  <c r="AX30" i="33" l="1"/>
  <c r="BM30" i="33" s="1"/>
  <c r="BN30" i="33" s="1"/>
  <c r="AX25" i="33"/>
  <c r="BM25" i="33" s="1"/>
  <c r="BN25" i="33" s="1"/>
  <c r="AX26" i="33"/>
  <c r="BM26" i="33" s="1"/>
  <c r="BN26" i="33" s="1"/>
  <c r="AW23" i="33"/>
  <c r="AW33" i="33"/>
  <c r="AW58" i="33"/>
  <c r="AW50" i="33"/>
  <c r="AW36" i="33"/>
  <c r="AW27" i="33"/>
  <c r="AW32" i="33"/>
  <c r="AW45" i="33"/>
  <c r="AW62" i="33"/>
  <c r="AW41" i="33"/>
  <c r="AW53" i="33"/>
  <c r="AW44" i="33"/>
  <c r="AW35" i="33"/>
  <c r="AW72" i="33"/>
  <c r="AW65" i="33"/>
  <c r="AW20" i="33"/>
  <c r="AW68" i="33"/>
  <c r="AW38" i="33"/>
  <c r="AW54" i="33"/>
  <c r="AW39" i="33"/>
  <c r="AW42" i="33"/>
  <c r="AW37" i="33"/>
  <c r="AW22" i="33"/>
  <c r="AW18" i="33"/>
  <c r="AW71" i="33"/>
  <c r="AW34" i="33"/>
  <c r="AW59" i="33"/>
  <c r="AW67" i="33"/>
  <c r="AW57" i="33"/>
  <c r="AW52" i="33"/>
  <c r="AW31" i="33"/>
  <c r="AW9" i="33"/>
  <c r="AW29" i="33"/>
  <c r="AW70" i="33"/>
  <c r="AW11" i="33"/>
  <c r="AW60" i="33"/>
  <c r="AW56" i="33"/>
  <c r="AW51" i="33"/>
  <c r="AW28" i="33"/>
  <c r="AW46" i="33"/>
  <c r="AW10" i="33"/>
  <c r="AW47" i="33"/>
  <c r="AW69" i="33"/>
  <c r="AW43" i="33"/>
  <c r="AW21" i="33"/>
  <c r="AW66" i="33"/>
  <c r="AW49" i="33"/>
  <c r="AW16" i="33"/>
  <c r="AW55" i="33"/>
  <c r="AA54" i="33"/>
  <c r="AE54" i="33"/>
  <c r="AJ54" i="33" s="1"/>
  <c r="AA31" i="33"/>
  <c r="AE31" i="33"/>
  <c r="AJ31" i="33" s="1"/>
  <c r="AE30" i="33"/>
  <c r="AJ30" i="33" s="1"/>
  <c r="AA30" i="33"/>
  <c r="AA55" i="33"/>
  <c r="AE55" i="33"/>
  <c r="AJ55" i="33" s="1"/>
  <c r="AE38" i="9"/>
  <c r="AE39" i="9"/>
  <c r="AE40" i="9"/>
  <c r="AE41" i="9"/>
  <c r="AE42" i="9"/>
  <c r="AE43" i="9"/>
  <c r="AE44" i="9"/>
  <c r="AE45" i="9"/>
  <c r="AE46" i="9"/>
  <c r="AE47" i="9"/>
  <c r="AF38" i="9"/>
  <c r="AF39" i="9"/>
  <c r="AF40" i="9"/>
  <c r="AF41" i="9"/>
  <c r="AF42" i="9"/>
  <c r="AF43" i="9"/>
  <c r="AF44" i="9"/>
  <c r="AF45" i="9"/>
  <c r="AF46" i="9"/>
  <c r="AF47" i="9"/>
  <c r="AG38" i="9"/>
  <c r="AG39" i="9"/>
  <c r="AG40" i="9"/>
  <c r="AG41" i="9"/>
  <c r="AG42" i="9"/>
  <c r="AG43" i="9"/>
  <c r="AG44" i="9"/>
  <c r="AG45" i="9"/>
  <c r="AG46" i="9"/>
  <c r="AG47" i="9"/>
  <c r="AH38" i="9"/>
  <c r="AH39" i="9"/>
  <c r="AH40" i="9"/>
  <c r="AH41" i="9"/>
  <c r="AH42" i="9"/>
  <c r="AH43" i="9"/>
  <c r="AH44" i="9"/>
  <c r="AH45" i="9"/>
  <c r="AH46" i="9"/>
  <c r="AH47" i="9"/>
  <c r="AI38" i="9"/>
  <c r="AI39" i="9"/>
  <c r="AI40" i="9"/>
  <c r="AI41" i="9"/>
  <c r="AI42" i="9"/>
  <c r="AI43" i="9"/>
  <c r="AI44" i="9"/>
  <c r="AI45" i="9"/>
  <c r="AI46" i="9"/>
  <c r="AI47" i="9"/>
  <c r="AJ38" i="9"/>
  <c r="AJ39" i="9"/>
  <c r="AJ40" i="9"/>
  <c r="AJ41" i="9"/>
  <c r="AJ42" i="9"/>
  <c r="AJ43" i="9"/>
  <c r="AJ44" i="9"/>
  <c r="AJ45" i="9"/>
  <c r="AJ46" i="9"/>
  <c r="AJ47" i="9"/>
  <c r="AK38" i="9"/>
  <c r="AK39" i="9"/>
  <c r="AK40" i="9"/>
  <c r="AK41" i="9"/>
  <c r="AK42" i="9"/>
  <c r="AK43" i="9"/>
  <c r="AK44" i="9"/>
  <c r="AK45" i="9"/>
  <c r="AK46" i="9"/>
  <c r="AK47" i="9"/>
  <c r="AL38" i="9"/>
  <c r="AM38" i="9" s="1"/>
  <c r="AL39" i="9"/>
  <c r="AM39" i="9" s="1"/>
  <c r="AL40" i="9"/>
  <c r="AM40" i="9" s="1"/>
  <c r="AL41" i="9"/>
  <c r="AM41" i="9" s="1"/>
  <c r="AL42" i="9"/>
  <c r="AM42" i="9" s="1"/>
  <c r="AL43" i="9"/>
  <c r="AM43" i="9" s="1"/>
  <c r="AL44" i="9"/>
  <c r="AM44" i="9" s="1"/>
  <c r="AL45" i="9"/>
  <c r="AM45" i="9" s="1"/>
  <c r="AL46" i="9"/>
  <c r="AM46" i="9" s="1"/>
  <c r="AL47" i="9"/>
  <c r="AM47" i="9" s="1"/>
  <c r="AN38" i="9"/>
  <c r="AN39" i="9"/>
  <c r="AN40" i="9"/>
  <c r="AN41" i="9"/>
  <c r="AN42" i="9"/>
  <c r="AN43" i="9"/>
  <c r="AN44" i="9"/>
  <c r="AN45" i="9"/>
  <c r="AN46" i="9"/>
  <c r="AN47" i="9"/>
  <c r="AE37" i="9"/>
  <c r="AF37" i="9"/>
  <c r="AG37" i="9"/>
  <c r="AH37" i="9"/>
  <c r="AI37" i="9"/>
  <c r="G10" i="35" s="1"/>
  <c r="AJ37" i="9"/>
  <c r="AK37" i="9"/>
  <c r="AL37" i="9"/>
  <c r="AM37" i="9" s="1"/>
  <c r="AN37" i="9"/>
  <c r="AE36" i="9"/>
  <c r="AF36" i="9"/>
  <c r="AG36" i="9"/>
  <c r="AH36" i="9"/>
  <c r="AI36" i="9"/>
  <c r="AJ36" i="9"/>
  <c r="AK36" i="9"/>
  <c r="AL36" i="9"/>
  <c r="AM36" i="9" s="1"/>
  <c r="AN36" i="9"/>
  <c r="AE30" i="9"/>
  <c r="AE31" i="9"/>
  <c r="AE32" i="9"/>
  <c r="AE33" i="9"/>
  <c r="AE34" i="9"/>
  <c r="AE35" i="9"/>
  <c r="AF30" i="9"/>
  <c r="AF31" i="9"/>
  <c r="AF32" i="9"/>
  <c r="AF33" i="9"/>
  <c r="AF34" i="9"/>
  <c r="AF35" i="9"/>
  <c r="AG30" i="9"/>
  <c r="AG31" i="9"/>
  <c r="AG32" i="9"/>
  <c r="AG33" i="9"/>
  <c r="AG34" i="9"/>
  <c r="AG35" i="9"/>
  <c r="AH30" i="9"/>
  <c r="AH31" i="9"/>
  <c r="AH32" i="9"/>
  <c r="AH33" i="9"/>
  <c r="AH34" i="9"/>
  <c r="AH35" i="9"/>
  <c r="AI30" i="9"/>
  <c r="AI31" i="9"/>
  <c r="AI32" i="9"/>
  <c r="AI33" i="9"/>
  <c r="AI34" i="9"/>
  <c r="AI35" i="9"/>
  <c r="AJ30" i="9"/>
  <c r="AJ31" i="9"/>
  <c r="AJ32" i="9"/>
  <c r="AJ33" i="9"/>
  <c r="AJ34" i="9"/>
  <c r="AJ35" i="9"/>
  <c r="AK30" i="9"/>
  <c r="AK31" i="9"/>
  <c r="AK32" i="9"/>
  <c r="AK33" i="9"/>
  <c r="AK34" i="9"/>
  <c r="AK35" i="9"/>
  <c r="AL30" i="9"/>
  <c r="AM30" i="9" s="1"/>
  <c r="AL31" i="9"/>
  <c r="AM31" i="9" s="1"/>
  <c r="AL32" i="9"/>
  <c r="AM32" i="9" s="1"/>
  <c r="AL33" i="9"/>
  <c r="AM33" i="9" s="1"/>
  <c r="AL34" i="9"/>
  <c r="AM34" i="9" s="1"/>
  <c r="AL35" i="9"/>
  <c r="AM35" i="9" s="1"/>
  <c r="AN30" i="9"/>
  <c r="AN31" i="9"/>
  <c r="AN32" i="9"/>
  <c r="AN33" i="9"/>
  <c r="AN34" i="9"/>
  <c r="AN35" i="9"/>
  <c r="X52" i="31" l="1"/>
  <c r="X21" i="31"/>
  <c r="X56" i="31"/>
  <c r="AX47" i="33"/>
  <c r="BM47" i="33" s="1"/>
  <c r="BN47" i="33" s="1"/>
  <c r="AX70" i="33"/>
  <c r="BM70" i="33" s="1"/>
  <c r="BN70" i="33" s="1"/>
  <c r="AX34" i="33"/>
  <c r="BM34" i="33" s="1"/>
  <c r="BN34" i="33" s="1"/>
  <c r="AX38" i="33"/>
  <c r="BM38" i="33" s="1"/>
  <c r="BN38" i="33" s="1"/>
  <c r="AX41" i="33"/>
  <c r="BM41" i="33" s="1"/>
  <c r="BN41" i="33" s="1"/>
  <c r="AX33" i="33"/>
  <c r="BM33" i="33" s="1"/>
  <c r="AX55" i="33"/>
  <c r="BM55" i="33" s="1"/>
  <c r="BN55" i="33" s="1"/>
  <c r="AX10" i="33"/>
  <c r="BM10" i="33" s="1"/>
  <c r="BN10" i="33" s="1"/>
  <c r="AX29" i="33"/>
  <c r="BM29" i="33" s="1"/>
  <c r="BN29" i="33" s="1"/>
  <c r="AX71" i="33"/>
  <c r="BM71" i="33" s="1"/>
  <c r="BN71" i="33" s="1"/>
  <c r="AX68" i="33"/>
  <c r="BM68" i="33" s="1"/>
  <c r="BN68" i="33" s="1"/>
  <c r="AX62" i="33"/>
  <c r="BM62" i="33" s="1"/>
  <c r="BN62" i="33" s="1"/>
  <c r="AX23" i="33"/>
  <c r="BM23" i="33" s="1"/>
  <c r="AX22" i="33"/>
  <c r="BM22" i="33" s="1"/>
  <c r="BN22" i="33" s="1"/>
  <c r="AX66" i="33"/>
  <c r="BM66" i="33" s="1"/>
  <c r="BN66" i="33" s="1"/>
  <c r="AX51" i="33"/>
  <c r="BM51" i="33" s="1"/>
  <c r="BN51" i="33" s="1"/>
  <c r="AX52" i="33"/>
  <c r="BM52" i="33" s="1"/>
  <c r="BN52" i="33" s="1"/>
  <c r="AX37" i="33"/>
  <c r="BM37" i="33" s="1"/>
  <c r="BN37" i="33" s="1"/>
  <c r="AX72" i="33"/>
  <c r="BM72" i="33" s="1"/>
  <c r="BN72" i="33" s="1"/>
  <c r="AX27" i="33"/>
  <c r="BM27" i="33" s="1"/>
  <c r="BN27" i="33" s="1"/>
  <c r="AX16" i="33"/>
  <c r="BM16" i="33" s="1"/>
  <c r="BN16" i="33" s="1"/>
  <c r="AX9" i="33"/>
  <c r="BM9" i="33" s="1"/>
  <c r="BN9" i="33" s="1"/>
  <c r="AX20" i="33"/>
  <c r="BM20" i="33" s="1"/>
  <c r="BN20" i="33" s="1"/>
  <c r="AX28" i="33"/>
  <c r="BM28" i="33" s="1"/>
  <c r="BN28" i="33" s="1"/>
  <c r="AX32" i="33"/>
  <c r="BM32" i="33" s="1"/>
  <c r="BN32" i="33" s="1"/>
  <c r="AX67" i="33"/>
  <c r="BM67" i="33" s="1"/>
  <c r="BN67" i="33" s="1"/>
  <c r="AX46" i="33"/>
  <c r="BM46" i="33" s="1"/>
  <c r="BN46" i="33" s="1"/>
  <c r="AX18" i="33"/>
  <c r="BM18" i="33" s="1"/>
  <c r="BN18" i="33" s="1"/>
  <c r="AX45" i="33"/>
  <c r="BM45" i="33" s="1"/>
  <c r="BN45" i="33" s="1"/>
  <c r="AX49" i="33"/>
  <c r="BM49" i="33" s="1"/>
  <c r="BN49" i="33" s="1"/>
  <c r="AX31" i="33"/>
  <c r="BM31" i="33" s="1"/>
  <c r="BN31" i="33" s="1"/>
  <c r="AX65" i="33"/>
  <c r="BM65" i="33" s="1"/>
  <c r="BN65" i="33" s="1"/>
  <c r="AX21" i="33"/>
  <c r="BM21" i="33" s="1"/>
  <c r="BN21" i="33" s="1"/>
  <c r="AX56" i="33"/>
  <c r="BM56" i="33" s="1"/>
  <c r="BN56" i="33" s="1"/>
  <c r="AX57" i="33"/>
  <c r="BM57" i="33" s="1"/>
  <c r="BN57" i="33" s="1"/>
  <c r="AX42" i="33"/>
  <c r="BM42" i="33" s="1"/>
  <c r="BN42" i="33" s="1"/>
  <c r="AX35" i="33"/>
  <c r="BM35" i="33" s="1"/>
  <c r="BN35" i="33" s="1"/>
  <c r="AX36" i="33"/>
  <c r="BM36" i="33" s="1"/>
  <c r="BN36" i="33" s="1"/>
  <c r="AX43" i="33"/>
  <c r="BM43" i="33" s="1"/>
  <c r="BN43" i="33" s="1"/>
  <c r="AX60" i="33"/>
  <c r="BM60" i="33" s="1"/>
  <c r="BN60" i="33" s="1"/>
  <c r="AX39" i="33"/>
  <c r="BM39" i="33" s="1"/>
  <c r="BN39" i="33" s="1"/>
  <c r="AX44" i="33"/>
  <c r="BM44" i="33" s="1"/>
  <c r="BN44" i="33" s="1"/>
  <c r="AX50" i="33"/>
  <c r="BM50" i="33" s="1"/>
  <c r="AX69" i="33"/>
  <c r="BM69" i="33" s="1"/>
  <c r="BN69" i="33" s="1"/>
  <c r="AX11" i="33"/>
  <c r="BM11" i="33" s="1"/>
  <c r="BN11" i="33" s="1"/>
  <c r="AX59" i="33"/>
  <c r="BM59" i="33" s="1"/>
  <c r="BN59" i="33" s="1"/>
  <c r="AX54" i="33"/>
  <c r="BM54" i="33" s="1"/>
  <c r="BN54" i="33" s="1"/>
  <c r="AX53" i="33"/>
  <c r="BM53" i="33" s="1"/>
  <c r="BN53" i="33" s="1"/>
  <c r="AX58" i="33"/>
  <c r="BM58" i="33" s="1"/>
  <c r="BN58" i="33" s="1"/>
  <c r="AQ30" i="33"/>
  <c r="AU30" i="33" s="1"/>
  <c r="AZ30" i="33" s="1"/>
  <c r="BG30" i="33" s="1"/>
  <c r="BK30" i="33" s="1"/>
  <c r="AQ31" i="33"/>
  <c r="AU31" i="33" s="1"/>
  <c r="AZ31" i="33" s="1"/>
  <c r="BG31" i="33" s="1"/>
  <c r="BK31" i="33" s="1"/>
  <c r="AQ54" i="33"/>
  <c r="AU54" i="33" s="1"/>
  <c r="AZ54" i="33" s="1"/>
  <c r="BG54" i="33" s="1"/>
  <c r="BK54" i="33" s="1"/>
  <c r="AQ55" i="33"/>
  <c r="AU55" i="33" s="1"/>
  <c r="AZ55" i="33" s="1"/>
  <c r="BG55" i="33" s="1"/>
  <c r="BK55" i="33" s="1"/>
  <c r="U55" i="33"/>
  <c r="V55" i="33" s="1"/>
  <c r="M64" i="33"/>
  <c r="N64" i="33" s="1"/>
  <c r="S64" i="33" s="1"/>
  <c r="R64" i="33"/>
  <c r="AG64" i="33" s="1"/>
  <c r="Z31" i="33"/>
  <c r="AD31" i="33" s="1"/>
  <c r="AI31" i="33" s="1"/>
  <c r="U31" i="33"/>
  <c r="V31" i="33" s="1"/>
  <c r="M19" i="33"/>
  <c r="N19" i="33" s="1"/>
  <c r="S19" i="33" s="1"/>
  <c r="R19" i="33"/>
  <c r="AG19" i="33" s="1"/>
  <c r="Z30" i="33"/>
  <c r="AD30" i="33" s="1"/>
  <c r="AF30" i="33" s="1"/>
  <c r="U30" i="33"/>
  <c r="V30" i="33" s="1"/>
  <c r="Z54" i="33"/>
  <c r="AD54" i="33" s="1"/>
  <c r="Z55" i="33"/>
  <c r="AD55" i="33" s="1"/>
  <c r="U54" i="33"/>
  <c r="V54" i="33" s="1"/>
  <c r="H10" i="35"/>
  <c r="AA19" i="33"/>
  <c r="AE19" i="33"/>
  <c r="AJ19" i="33" s="1"/>
  <c r="AE44" i="33"/>
  <c r="AJ44" i="33" s="1"/>
  <c r="AA44" i="33"/>
  <c r="AE43" i="33"/>
  <c r="AJ43" i="33" s="1"/>
  <c r="AA43" i="33"/>
  <c r="AA36" i="33"/>
  <c r="AE36" i="33"/>
  <c r="AJ36" i="33" s="1"/>
  <c r="AA27" i="33"/>
  <c r="AE27" i="33"/>
  <c r="AJ27" i="33" s="1"/>
  <c r="AE37" i="33"/>
  <c r="AJ37" i="33" s="1"/>
  <c r="AA37" i="33"/>
  <c r="AE46" i="33"/>
  <c r="AJ46" i="33" s="1"/>
  <c r="AA46" i="33"/>
  <c r="AE58" i="33"/>
  <c r="AJ58" i="33" s="1"/>
  <c r="AA58" i="33"/>
  <c r="AA35" i="33"/>
  <c r="AE35" i="33"/>
  <c r="AJ35" i="33" s="1"/>
  <c r="AE57" i="33"/>
  <c r="AJ57" i="33" s="1"/>
  <c r="AA57" i="33"/>
  <c r="AA41" i="33"/>
  <c r="AE41" i="33"/>
  <c r="AJ41" i="33" s="1"/>
  <c r="AA70" i="33"/>
  <c r="AE70" i="33"/>
  <c r="AJ70" i="33" s="1"/>
  <c r="AE60" i="33"/>
  <c r="AJ60" i="33" s="1"/>
  <c r="AA60" i="33"/>
  <c r="AE32" i="33"/>
  <c r="AJ32" i="33" s="1"/>
  <c r="AA32" i="33"/>
  <c r="AE49" i="33"/>
  <c r="AJ49" i="33" s="1"/>
  <c r="AA49" i="33"/>
  <c r="AA50" i="33"/>
  <c r="AE50" i="33"/>
  <c r="AJ50" i="33" s="1"/>
  <c r="AE11" i="33"/>
  <c r="AJ11" i="33" s="1"/>
  <c r="AA11" i="33"/>
  <c r="AA26" i="33"/>
  <c r="AE26" i="33"/>
  <c r="AJ26" i="33" s="1"/>
  <c r="AA59" i="33"/>
  <c r="AE59" i="33"/>
  <c r="AJ59" i="33" s="1"/>
  <c r="AA9" i="33"/>
  <c r="AE9" i="33"/>
  <c r="AJ9" i="33" s="1"/>
  <c r="AE72" i="33"/>
  <c r="AJ72" i="33" s="1"/>
  <c r="AA72" i="33"/>
  <c r="AA62" i="33"/>
  <c r="AE62" i="33"/>
  <c r="AJ62" i="33" s="1"/>
  <c r="AA29" i="33"/>
  <c r="AE29" i="33"/>
  <c r="AJ29" i="33" s="1"/>
  <c r="AE52" i="33"/>
  <c r="AJ52" i="33" s="1"/>
  <c r="AA52" i="33"/>
  <c r="AA65" i="33"/>
  <c r="AE65" i="33"/>
  <c r="AJ65" i="33" s="1"/>
  <c r="AE53" i="33"/>
  <c r="AJ53" i="33" s="1"/>
  <c r="AA53" i="33"/>
  <c r="AE38" i="33"/>
  <c r="AJ38" i="33" s="1"/>
  <c r="AA38" i="33"/>
  <c r="AA22" i="33"/>
  <c r="AE22" i="33"/>
  <c r="AJ22" i="33" s="1"/>
  <c r="AE16" i="33"/>
  <c r="AJ16" i="33" s="1"/>
  <c r="AA16" i="33"/>
  <c r="AE56" i="33"/>
  <c r="AJ56" i="33" s="1"/>
  <c r="AA56" i="33"/>
  <c r="AA69" i="33"/>
  <c r="AE69" i="33"/>
  <c r="AJ69" i="33" s="1"/>
  <c r="AE20" i="33"/>
  <c r="AJ20" i="33" s="1"/>
  <c r="AA20" i="33"/>
  <c r="AE66" i="33"/>
  <c r="AJ66" i="33" s="1"/>
  <c r="AA66" i="33"/>
  <c r="AA34" i="33"/>
  <c r="AE34" i="33"/>
  <c r="AJ34" i="33" s="1"/>
  <c r="AA42" i="33"/>
  <c r="AE42" i="33"/>
  <c r="AJ42" i="33" s="1"/>
  <c r="AE18" i="33"/>
  <c r="AJ18" i="33" s="1"/>
  <c r="AA18" i="33"/>
  <c r="AA71" i="33"/>
  <c r="AE71" i="33"/>
  <c r="AJ71" i="33" s="1"/>
  <c r="AA25" i="33"/>
  <c r="AE25" i="33"/>
  <c r="AJ25" i="33" s="1"/>
  <c r="AE10" i="33"/>
  <c r="AJ10" i="33" s="1"/>
  <c r="AA10" i="33"/>
  <c r="AA21" i="33"/>
  <c r="AE21" i="33"/>
  <c r="AJ21" i="33" s="1"/>
  <c r="AA28" i="33"/>
  <c r="AE28" i="33"/>
  <c r="AJ28" i="33" s="1"/>
  <c r="AE67" i="33"/>
  <c r="AJ67" i="33" s="1"/>
  <c r="AA67" i="33"/>
  <c r="U16" i="33"/>
  <c r="V16" i="33" s="1"/>
  <c r="Z57" i="33"/>
  <c r="AD57" i="33" s="1"/>
  <c r="U67" i="33"/>
  <c r="V67" i="33" s="1"/>
  <c r="U62" i="33"/>
  <c r="V62" i="33" s="1"/>
  <c r="Z67" i="33"/>
  <c r="AD67" i="33" s="1"/>
  <c r="Z9" i="33"/>
  <c r="AD9" i="33" s="1"/>
  <c r="Z62" i="33"/>
  <c r="AD62" i="33" s="1"/>
  <c r="U52" i="33"/>
  <c r="V52" i="33" s="1"/>
  <c r="Z28" i="33"/>
  <c r="AD28" i="33" s="1"/>
  <c r="U9" i="33"/>
  <c r="V9" i="33" s="1"/>
  <c r="U28" i="33"/>
  <c r="V28" i="33" s="1"/>
  <c r="Z52" i="33"/>
  <c r="AD52" i="33" s="1"/>
  <c r="Z72" i="33"/>
  <c r="AD72" i="33" s="1"/>
  <c r="U21" i="33"/>
  <c r="V21" i="33" s="1"/>
  <c r="Z18" i="33"/>
  <c r="AD18" i="33" s="1"/>
  <c r="U18" i="33"/>
  <c r="V18" i="33" s="1"/>
  <c r="Z34" i="33"/>
  <c r="AD34" i="33" s="1"/>
  <c r="U34" i="33"/>
  <c r="V34" i="33" s="1"/>
  <c r="U32" i="33"/>
  <c r="V32" i="33" s="1"/>
  <c r="U72" i="33"/>
  <c r="V72" i="33" s="1"/>
  <c r="U58" i="33"/>
  <c r="V58" i="33" s="1"/>
  <c r="Z21" i="33"/>
  <c r="AD21" i="33" s="1"/>
  <c r="Z58" i="33"/>
  <c r="AD58" i="33" s="1"/>
  <c r="Z29" i="33"/>
  <c r="AD29" i="33" s="1"/>
  <c r="U29" i="33"/>
  <c r="V29" i="33" s="1"/>
  <c r="U10" i="33"/>
  <c r="V10" i="33" s="1"/>
  <c r="U11" i="33"/>
  <c r="V11" i="33" s="1"/>
  <c r="Z11" i="33"/>
  <c r="AD11" i="33" s="1"/>
  <c r="Z60" i="33"/>
  <c r="AD60" i="33" s="1"/>
  <c r="U60" i="33"/>
  <c r="V60" i="33" s="1"/>
  <c r="U36" i="33"/>
  <c r="V36" i="33" s="1"/>
  <c r="Z25" i="33"/>
  <c r="AD25" i="33" s="1"/>
  <c r="Z59" i="33"/>
  <c r="AD59" i="33" s="1"/>
  <c r="U59" i="33"/>
  <c r="V59" i="33" s="1"/>
  <c r="Z32" i="33"/>
  <c r="AD32" i="33" s="1"/>
  <c r="Z49" i="33"/>
  <c r="AD49" i="33" s="1"/>
  <c r="U49" i="33"/>
  <c r="V49" i="33" s="1"/>
  <c r="U56" i="33"/>
  <c r="V56" i="33" s="1"/>
  <c r="Z69" i="33"/>
  <c r="AD69" i="33" s="1"/>
  <c r="Z70" i="33"/>
  <c r="AD70" i="33" s="1"/>
  <c r="Z35" i="33"/>
  <c r="AD35" i="33" s="1"/>
  <c r="Z22" i="33"/>
  <c r="AD22" i="33" s="1"/>
  <c r="Z10" i="33"/>
  <c r="AD10" i="33" s="1"/>
  <c r="Z66" i="33"/>
  <c r="AD66" i="33" s="1"/>
  <c r="U66" i="33"/>
  <c r="V66" i="33" s="1"/>
  <c r="U69" i="33"/>
  <c r="V69" i="33" s="1"/>
  <c r="U70" i="33"/>
  <c r="V70" i="33" s="1"/>
  <c r="Z43" i="33"/>
  <c r="AD43" i="33" s="1"/>
  <c r="Z56" i="33"/>
  <c r="AD56" i="33" s="1"/>
  <c r="Z42" i="33"/>
  <c r="AD42" i="33" s="1"/>
  <c r="Z71" i="33"/>
  <c r="AD71" i="33" s="1"/>
  <c r="Z53" i="33"/>
  <c r="AD53" i="33" s="1"/>
  <c r="U37" i="33"/>
  <c r="V37" i="33" s="1"/>
  <c r="Z50" i="33"/>
  <c r="AD50" i="33" s="1"/>
  <c r="U38" i="33"/>
  <c r="V38" i="33" s="1"/>
  <c r="U50" i="33"/>
  <c r="V50" i="33" s="1"/>
  <c r="Z20" i="33"/>
  <c r="AD20" i="33" s="1"/>
  <c r="U71" i="33"/>
  <c r="V71" i="33" s="1"/>
  <c r="U35" i="33"/>
  <c r="V35" i="33" s="1"/>
  <c r="U20" i="33"/>
  <c r="V20" i="33" s="1"/>
  <c r="U42" i="33"/>
  <c r="V42" i="33" s="1"/>
  <c r="Z38" i="33"/>
  <c r="AD38" i="33" s="1"/>
  <c r="U25" i="33"/>
  <c r="V25" i="33" s="1"/>
  <c r="U22" i="33"/>
  <c r="V22" i="33" s="1"/>
  <c r="Z46" i="33"/>
  <c r="AD46" i="33" s="1"/>
  <c r="Z41" i="33"/>
  <c r="AD41" i="33" s="1"/>
  <c r="Z27" i="33"/>
  <c r="AD27" i="33" s="1"/>
  <c r="U46" i="33"/>
  <c r="V46" i="33" s="1"/>
  <c r="U41" i="33"/>
  <c r="V41" i="33" s="1"/>
  <c r="U43" i="33"/>
  <c r="V43" i="33" s="1"/>
  <c r="Z36" i="33"/>
  <c r="AD36" i="33" s="1"/>
  <c r="U27" i="33"/>
  <c r="V27" i="33" s="1"/>
  <c r="U53" i="33"/>
  <c r="V53" i="33" s="1"/>
  <c r="U33" i="33"/>
  <c r="V33" i="33" s="1"/>
  <c r="U23" i="33"/>
  <c r="V23" i="33" s="1"/>
  <c r="U51" i="33"/>
  <c r="V51" i="33" s="1"/>
  <c r="U68" i="33"/>
  <c r="V68" i="33" s="1"/>
  <c r="Z26" i="33"/>
  <c r="AD26" i="33" s="1"/>
  <c r="U26" i="33"/>
  <c r="V26" i="33" s="1"/>
  <c r="Z16" i="33"/>
  <c r="AD16" i="33" s="1"/>
  <c r="Z44" i="33"/>
  <c r="AD44" i="33" s="1"/>
  <c r="U47" i="33"/>
  <c r="V47" i="33" s="1"/>
  <c r="U65" i="33"/>
  <c r="V65" i="33" s="1"/>
  <c r="U44" i="33"/>
  <c r="V44" i="33" s="1"/>
  <c r="U45" i="33"/>
  <c r="V45" i="33" s="1"/>
  <c r="U39" i="33"/>
  <c r="V39" i="33" s="1"/>
  <c r="Z65" i="33"/>
  <c r="AD65" i="33" s="1"/>
  <c r="Z37" i="33"/>
  <c r="AD37" i="33" s="1"/>
  <c r="U57" i="33"/>
  <c r="V57" i="33" s="1"/>
  <c r="Z23" i="33"/>
  <c r="AD23" i="33" s="1"/>
  <c r="Z51" i="33"/>
  <c r="AD51" i="33" s="1"/>
  <c r="Z33" i="33"/>
  <c r="AD33" i="33" s="1"/>
  <c r="Z39" i="33"/>
  <c r="AD39" i="33" s="1"/>
  <c r="Z45" i="33"/>
  <c r="AD45" i="33" s="1"/>
  <c r="Z47" i="33"/>
  <c r="AD47" i="33" s="1"/>
  <c r="AE29" i="9"/>
  <c r="AF29" i="9"/>
  <c r="AG29" i="9"/>
  <c r="AH29" i="9"/>
  <c r="AI29" i="9"/>
  <c r="AJ29" i="9"/>
  <c r="AK29" i="9"/>
  <c r="AL29" i="9"/>
  <c r="AM29" i="9" s="1"/>
  <c r="AN29" i="9"/>
  <c r="AE26" i="9"/>
  <c r="AE27" i="9"/>
  <c r="AE28" i="9"/>
  <c r="AF26" i="9"/>
  <c r="AF27" i="9"/>
  <c r="AF28" i="9"/>
  <c r="AG26" i="9"/>
  <c r="AG27" i="9"/>
  <c r="AG28" i="9"/>
  <c r="AH26" i="9"/>
  <c r="AH27" i="9"/>
  <c r="AH28" i="9"/>
  <c r="AI26" i="9"/>
  <c r="AI27" i="9"/>
  <c r="AI28" i="9"/>
  <c r="AJ26" i="9"/>
  <c r="AJ27" i="9"/>
  <c r="AJ28" i="9"/>
  <c r="AK26" i="9"/>
  <c r="AK27" i="9"/>
  <c r="AK28" i="9"/>
  <c r="AL26" i="9"/>
  <c r="AM26" i="9" s="1"/>
  <c r="AL27" i="9"/>
  <c r="AM27" i="9" s="1"/>
  <c r="AL28" i="9"/>
  <c r="AM28" i="9" s="1"/>
  <c r="AN26" i="9"/>
  <c r="AN27" i="9"/>
  <c r="AN28" i="9"/>
  <c r="X44" i="31" l="1"/>
  <c r="X65" i="31"/>
  <c r="X20" i="31"/>
  <c r="X51" i="31"/>
  <c r="X18" i="31"/>
  <c r="X38" i="31"/>
  <c r="X13" i="31"/>
  <c r="X43" i="31"/>
  <c r="G56" i="31"/>
  <c r="X60" i="31"/>
  <c r="G8" i="31"/>
  <c r="G66" i="31"/>
  <c r="G57" i="31"/>
  <c r="X9" i="31"/>
  <c r="X55" i="31"/>
  <c r="X64" i="31"/>
  <c r="X49" i="31"/>
  <c r="X59" i="31"/>
  <c r="X32" i="31"/>
  <c r="X50" i="31"/>
  <c r="X54" i="31"/>
  <c r="X70" i="31"/>
  <c r="X8" i="31"/>
  <c r="X57" i="31"/>
  <c r="X41" i="31"/>
  <c r="X4" i="31"/>
  <c r="X67" i="31"/>
  <c r="X69" i="31"/>
  <c r="X5" i="31"/>
  <c r="X66" i="31"/>
  <c r="X26" i="31"/>
  <c r="X34" i="31"/>
  <c r="X42" i="31"/>
  <c r="X71" i="31"/>
  <c r="X35" i="31"/>
  <c r="X68" i="31"/>
  <c r="X58" i="31"/>
  <c r="X63" i="31"/>
  <c r="X11" i="31"/>
  <c r="X46" i="31"/>
  <c r="X53" i="31"/>
  <c r="X62" i="31"/>
  <c r="X47" i="31"/>
  <c r="X61" i="31"/>
  <c r="BN50" i="33"/>
  <c r="X30" i="31"/>
  <c r="X10" i="31"/>
  <c r="X39" i="31"/>
  <c r="X23" i="31"/>
  <c r="X28" i="31"/>
  <c r="BN33" i="33"/>
  <c r="X15" i="31"/>
  <c r="X33" i="31"/>
  <c r="BN23" i="33"/>
  <c r="X27" i="31"/>
  <c r="X12" i="31"/>
  <c r="AH19" i="33"/>
  <c r="AH64" i="33"/>
  <c r="AQ56" i="33"/>
  <c r="AU56" i="33" s="1"/>
  <c r="AZ56" i="33" s="1"/>
  <c r="BG56" i="33" s="1"/>
  <c r="BK56" i="33" s="1"/>
  <c r="AQ71" i="33"/>
  <c r="AU71" i="33" s="1"/>
  <c r="AZ71" i="33" s="1"/>
  <c r="BG71" i="33" s="1"/>
  <c r="BK71" i="33" s="1"/>
  <c r="AQ62" i="33"/>
  <c r="AU62" i="33" s="1"/>
  <c r="AZ62" i="33" s="1"/>
  <c r="BG62" i="33" s="1"/>
  <c r="BK62" i="33" s="1"/>
  <c r="AQ49" i="33"/>
  <c r="AU49" i="33" s="1"/>
  <c r="AZ49" i="33" s="1"/>
  <c r="BG49" i="33" s="1"/>
  <c r="BK49" i="33" s="1"/>
  <c r="AQ21" i="33"/>
  <c r="AU21" i="33" s="1"/>
  <c r="AZ21" i="33" s="1"/>
  <c r="BG21" i="33" s="1"/>
  <c r="BK21" i="33" s="1"/>
  <c r="AQ66" i="33"/>
  <c r="AU66" i="33" s="1"/>
  <c r="AZ66" i="33" s="1"/>
  <c r="BG66" i="33" s="1"/>
  <c r="BK66" i="33" s="1"/>
  <c r="AQ16" i="33"/>
  <c r="AU16" i="33" s="1"/>
  <c r="AZ16" i="33" s="1"/>
  <c r="BG16" i="33" s="1"/>
  <c r="BK16" i="33" s="1"/>
  <c r="AQ65" i="33"/>
  <c r="AU65" i="33" s="1"/>
  <c r="AZ65" i="33" s="1"/>
  <c r="BG65" i="33" s="1"/>
  <c r="BK65" i="33" s="1"/>
  <c r="AQ58" i="33"/>
  <c r="AU58" i="33" s="1"/>
  <c r="AZ58" i="33" s="1"/>
  <c r="BG58" i="33" s="1"/>
  <c r="BK58" i="33" s="1"/>
  <c r="AQ28" i="33"/>
  <c r="AU28" i="33" s="1"/>
  <c r="AZ28" i="33" s="1"/>
  <c r="BG28" i="33" s="1"/>
  <c r="BK28" i="33" s="1"/>
  <c r="AQ53" i="33"/>
  <c r="AU53" i="33" s="1"/>
  <c r="AZ53" i="33" s="1"/>
  <c r="BG53" i="33" s="1"/>
  <c r="BK53" i="33" s="1"/>
  <c r="AQ26" i="33"/>
  <c r="AU26" i="33" s="1"/>
  <c r="AZ26" i="33" s="1"/>
  <c r="BG26" i="33" s="1"/>
  <c r="BK26" i="33" s="1"/>
  <c r="AQ41" i="33"/>
  <c r="AU41" i="33" s="1"/>
  <c r="AZ41" i="33" s="1"/>
  <c r="BG41" i="33" s="1"/>
  <c r="BK41" i="33" s="1"/>
  <c r="AQ36" i="33"/>
  <c r="AU36" i="33" s="1"/>
  <c r="AZ36" i="33" s="1"/>
  <c r="BG36" i="33" s="1"/>
  <c r="BK36" i="33" s="1"/>
  <c r="AQ22" i="33"/>
  <c r="AU22" i="33" s="1"/>
  <c r="AZ22" i="33" s="1"/>
  <c r="BG22" i="33" s="1"/>
  <c r="BK22" i="33" s="1"/>
  <c r="AQ32" i="33"/>
  <c r="AU32" i="33" s="1"/>
  <c r="AZ32" i="33" s="1"/>
  <c r="BG32" i="33" s="1"/>
  <c r="BK32" i="33" s="1"/>
  <c r="AQ20" i="33"/>
  <c r="AU20" i="33" s="1"/>
  <c r="AZ20" i="33" s="1"/>
  <c r="BG20" i="33" s="1"/>
  <c r="BK20" i="33" s="1"/>
  <c r="AQ72" i="33"/>
  <c r="AU72" i="33" s="1"/>
  <c r="AZ72" i="33" s="1"/>
  <c r="BG72" i="33" s="1"/>
  <c r="BK72" i="33" s="1"/>
  <c r="AQ11" i="33"/>
  <c r="AU11" i="33" s="1"/>
  <c r="AZ11" i="33" s="1"/>
  <c r="BG11" i="33" s="1"/>
  <c r="BK11" i="33" s="1"/>
  <c r="AQ46" i="33"/>
  <c r="AU46" i="33" s="1"/>
  <c r="AZ46" i="33" s="1"/>
  <c r="BG46" i="33" s="1"/>
  <c r="BK46" i="33" s="1"/>
  <c r="AQ10" i="33"/>
  <c r="AU10" i="33" s="1"/>
  <c r="AZ10" i="33" s="1"/>
  <c r="BG10" i="33" s="1"/>
  <c r="BK10" i="33" s="1"/>
  <c r="AQ69" i="33"/>
  <c r="AU69" i="33" s="1"/>
  <c r="AZ69" i="33" s="1"/>
  <c r="BG69" i="33" s="1"/>
  <c r="BK69" i="33" s="1"/>
  <c r="AQ50" i="33"/>
  <c r="AU50" i="33" s="1"/>
  <c r="AZ50" i="33" s="1"/>
  <c r="BG50" i="33" s="1"/>
  <c r="BK50" i="33" s="1"/>
  <c r="AQ57" i="33"/>
  <c r="AU57" i="33" s="1"/>
  <c r="AZ57" i="33" s="1"/>
  <c r="BG57" i="33" s="1"/>
  <c r="BK57" i="33" s="1"/>
  <c r="AQ18" i="33"/>
  <c r="AU18" i="33" s="1"/>
  <c r="AZ18" i="33" s="1"/>
  <c r="BG18" i="33" s="1"/>
  <c r="BK18" i="33" s="1"/>
  <c r="AQ43" i="33"/>
  <c r="AU43" i="33" s="1"/>
  <c r="AZ43" i="33" s="1"/>
  <c r="BG43" i="33" s="1"/>
  <c r="BK43" i="33" s="1"/>
  <c r="AQ42" i="33"/>
  <c r="AU42" i="33" s="1"/>
  <c r="AZ42" i="33" s="1"/>
  <c r="BG42" i="33" s="1"/>
  <c r="BK42" i="33" s="1"/>
  <c r="AQ9" i="33"/>
  <c r="AU9" i="33" s="1"/>
  <c r="AZ9" i="33" s="1"/>
  <c r="BG9" i="33" s="1"/>
  <c r="BK9" i="33" s="1"/>
  <c r="AQ38" i="33"/>
  <c r="AU38" i="33" s="1"/>
  <c r="AZ38" i="33" s="1"/>
  <c r="BG38" i="33" s="1"/>
  <c r="BK38" i="33" s="1"/>
  <c r="AQ52" i="33"/>
  <c r="AU52" i="33" s="1"/>
  <c r="AZ52" i="33" s="1"/>
  <c r="BG52" i="33" s="1"/>
  <c r="BK52" i="33" s="1"/>
  <c r="AQ60" i="33"/>
  <c r="AU60" i="33" s="1"/>
  <c r="AZ60" i="33" s="1"/>
  <c r="BG60" i="33" s="1"/>
  <c r="BK60" i="33" s="1"/>
  <c r="AQ35" i="33"/>
  <c r="AU35" i="33" s="1"/>
  <c r="AZ35" i="33" s="1"/>
  <c r="BG35" i="33" s="1"/>
  <c r="BK35" i="33" s="1"/>
  <c r="AQ37" i="33"/>
  <c r="AU37" i="33" s="1"/>
  <c r="AZ37" i="33" s="1"/>
  <c r="BG37" i="33" s="1"/>
  <c r="BK37" i="33" s="1"/>
  <c r="AQ44" i="33"/>
  <c r="AU44" i="33" s="1"/>
  <c r="AZ44" i="33" s="1"/>
  <c r="BG44" i="33" s="1"/>
  <c r="BK44" i="33" s="1"/>
  <c r="AQ67" i="33"/>
  <c r="AU67" i="33" s="1"/>
  <c r="AZ67" i="33" s="1"/>
  <c r="BG67" i="33" s="1"/>
  <c r="BK67" i="33" s="1"/>
  <c r="AQ25" i="33"/>
  <c r="AU25" i="33" s="1"/>
  <c r="AZ25" i="33" s="1"/>
  <c r="BG25" i="33" s="1"/>
  <c r="BK25" i="33" s="1"/>
  <c r="AQ34" i="33"/>
  <c r="AU34" i="33" s="1"/>
  <c r="AZ34" i="33" s="1"/>
  <c r="BG34" i="33" s="1"/>
  <c r="BK34" i="33" s="1"/>
  <c r="AQ29" i="33"/>
  <c r="AU29" i="33" s="1"/>
  <c r="AZ29" i="33" s="1"/>
  <c r="BG29" i="33" s="1"/>
  <c r="BK29" i="33" s="1"/>
  <c r="AQ59" i="33"/>
  <c r="AU59" i="33" s="1"/>
  <c r="AZ59" i="33" s="1"/>
  <c r="BG59" i="33" s="1"/>
  <c r="BK59" i="33" s="1"/>
  <c r="AQ70" i="33"/>
  <c r="AU70" i="33" s="1"/>
  <c r="AZ70" i="33" s="1"/>
  <c r="BG70" i="33" s="1"/>
  <c r="BK70" i="33" s="1"/>
  <c r="AQ27" i="33"/>
  <c r="AU27" i="33" s="1"/>
  <c r="AZ27" i="33" s="1"/>
  <c r="BG27" i="33" s="1"/>
  <c r="BK27" i="33" s="1"/>
  <c r="AQ19" i="33"/>
  <c r="AU19" i="33" s="1"/>
  <c r="AZ19" i="33" s="1"/>
  <c r="BG19" i="33" s="1"/>
  <c r="BK19" i="33" s="1"/>
  <c r="AF31" i="33"/>
  <c r="AK31" i="33"/>
  <c r="AL31" i="33" s="1"/>
  <c r="AP31" i="33"/>
  <c r="AT31" i="33" s="1"/>
  <c r="AB31" i="33"/>
  <c r="AI67" i="33"/>
  <c r="AI23" i="33"/>
  <c r="AI37" i="33"/>
  <c r="AI16" i="33"/>
  <c r="AI43" i="33"/>
  <c r="AI70" i="33"/>
  <c r="AI25" i="33"/>
  <c r="AI29" i="33"/>
  <c r="AI45" i="33"/>
  <c r="AI33" i="33"/>
  <c r="AI66" i="33"/>
  <c r="AI47" i="33"/>
  <c r="AI65" i="33"/>
  <c r="AI36" i="33"/>
  <c r="AI69" i="33"/>
  <c r="AI58" i="33"/>
  <c r="AI18" i="33"/>
  <c r="AI62" i="33"/>
  <c r="AI50" i="33"/>
  <c r="AI21" i="33"/>
  <c r="AI39" i="33"/>
  <c r="AI72" i="33"/>
  <c r="AI49" i="33"/>
  <c r="AI52" i="33"/>
  <c r="AI11" i="33"/>
  <c r="AI51" i="33"/>
  <c r="AI27" i="33"/>
  <c r="AI71" i="33"/>
  <c r="AI10" i="33"/>
  <c r="AI32" i="33"/>
  <c r="AI57" i="33"/>
  <c r="AI30" i="33"/>
  <c r="AI9" i="33"/>
  <c r="AI60" i="33"/>
  <c r="AI41" i="33"/>
  <c r="AI42" i="33"/>
  <c r="AI22" i="33"/>
  <c r="AI26" i="33"/>
  <c r="AI38" i="33"/>
  <c r="AI53" i="33"/>
  <c r="AI44" i="33"/>
  <c r="AI46" i="33"/>
  <c r="AI20" i="33"/>
  <c r="AI56" i="33"/>
  <c r="AI59" i="33"/>
  <c r="AI34" i="33"/>
  <c r="AI28" i="33"/>
  <c r="AF35" i="33"/>
  <c r="AI35" i="33"/>
  <c r="AF55" i="33"/>
  <c r="AI55" i="33"/>
  <c r="AF54" i="33"/>
  <c r="AI54" i="33"/>
  <c r="AB30" i="33"/>
  <c r="AB54" i="33"/>
  <c r="AB55" i="33"/>
  <c r="AF62" i="33"/>
  <c r="AF41" i="33"/>
  <c r="AF22" i="33"/>
  <c r="AF56" i="33"/>
  <c r="AF26" i="33"/>
  <c r="AF28" i="33"/>
  <c r="AB49" i="33"/>
  <c r="AF49" i="33"/>
  <c r="AB34" i="33"/>
  <c r="AB27" i="33"/>
  <c r="AB53" i="33"/>
  <c r="AF53" i="33"/>
  <c r="AB44" i="33"/>
  <c r="AB37" i="33"/>
  <c r="AB16" i="33"/>
  <c r="AB70" i="33"/>
  <c r="AF70" i="33"/>
  <c r="AB25" i="33"/>
  <c r="AF25" i="33"/>
  <c r="AB66" i="33"/>
  <c r="AB59" i="33"/>
  <c r="AF59" i="33"/>
  <c r="AB69" i="33"/>
  <c r="AB20" i="33"/>
  <c r="AB43" i="33"/>
  <c r="AF38" i="33"/>
  <c r="AF9" i="33"/>
  <c r="AF71" i="33"/>
  <c r="AF50" i="33"/>
  <c r="AF34" i="33"/>
  <c r="AB52" i="33"/>
  <c r="AF46" i="33"/>
  <c r="AF57" i="33"/>
  <c r="AB28" i="33"/>
  <c r="AF67" i="33"/>
  <c r="AF37" i="33"/>
  <c r="AF44" i="33"/>
  <c r="AF43" i="33"/>
  <c r="AB56" i="33"/>
  <c r="AB35" i="33"/>
  <c r="AB72" i="33"/>
  <c r="AB11" i="33"/>
  <c r="AF32" i="33"/>
  <c r="AB32" i="33"/>
  <c r="AB62" i="33"/>
  <c r="AF20" i="33"/>
  <c r="AF27" i="33"/>
  <c r="AF21" i="33"/>
  <c r="AB26" i="33"/>
  <c r="AB41" i="33"/>
  <c r="AB22" i="33"/>
  <c r="AF18" i="33"/>
  <c r="AB38" i="33"/>
  <c r="AB46" i="33"/>
  <c r="AB67" i="33"/>
  <c r="AF42" i="33"/>
  <c r="AF11" i="33"/>
  <c r="AF69" i="33"/>
  <c r="AB42" i="33"/>
  <c r="AF72" i="33"/>
  <c r="AB65" i="33"/>
  <c r="AB36" i="33"/>
  <c r="AB9" i="33"/>
  <c r="AE47" i="33"/>
  <c r="AA47" i="33"/>
  <c r="AB47" i="33" s="1"/>
  <c r="AB50" i="33"/>
  <c r="AB29" i="33"/>
  <c r="AF29" i="33"/>
  <c r="AB57" i="33"/>
  <c r="AF58" i="33"/>
  <c r="AF36" i="33"/>
  <c r="AE39" i="33"/>
  <c r="AA39" i="33"/>
  <c r="AB39" i="33" s="1"/>
  <c r="AE68" i="33"/>
  <c r="AJ68" i="33" s="1"/>
  <c r="AA68" i="33"/>
  <c r="AB18" i="33"/>
  <c r="AF16" i="33"/>
  <c r="AB58" i="33"/>
  <c r="AA23" i="33"/>
  <c r="AB23" i="33" s="1"/>
  <c r="AE23" i="33"/>
  <c r="AA45" i="33"/>
  <c r="AB45" i="33" s="1"/>
  <c r="AE45" i="33"/>
  <c r="AF52" i="33"/>
  <c r="Z68" i="33"/>
  <c r="AD68" i="33" s="1"/>
  <c r="AB21" i="33"/>
  <c r="AF10" i="33"/>
  <c r="AF65" i="33"/>
  <c r="AF60" i="33"/>
  <c r="AF66" i="33"/>
  <c r="AB71" i="33"/>
  <c r="AB10" i="33"/>
  <c r="AB60" i="33"/>
  <c r="AA33" i="33"/>
  <c r="AB33" i="33" s="1"/>
  <c r="AE33" i="33"/>
  <c r="AE51" i="33"/>
  <c r="AA51" i="33"/>
  <c r="AB51" i="33" s="1"/>
  <c r="R30" i="28"/>
  <c r="U64" i="33"/>
  <c r="V64" i="33" s="1"/>
  <c r="Z64" i="33"/>
  <c r="AD64" i="33" s="1"/>
  <c r="AE23" i="9"/>
  <c r="AE24" i="9"/>
  <c r="AE25" i="9"/>
  <c r="AF23" i="9"/>
  <c r="AF24" i="9"/>
  <c r="AF25" i="9"/>
  <c r="AG23" i="9"/>
  <c r="AG24" i="9"/>
  <c r="AG25" i="9"/>
  <c r="AH23" i="9"/>
  <c r="AH24" i="9"/>
  <c r="AH25" i="9"/>
  <c r="AI23" i="9"/>
  <c r="AI24" i="9"/>
  <c r="AI25" i="9"/>
  <c r="AJ23" i="9"/>
  <c r="AJ24" i="9"/>
  <c r="AJ25" i="9"/>
  <c r="AK23" i="9"/>
  <c r="AK24" i="9"/>
  <c r="AK25" i="9"/>
  <c r="AL23" i="9"/>
  <c r="AM23" i="9" s="1"/>
  <c r="AL24" i="9"/>
  <c r="AM24" i="9" s="1"/>
  <c r="AL25" i="9"/>
  <c r="AM25" i="9" s="1"/>
  <c r="AN23" i="9"/>
  <c r="AN24" i="9"/>
  <c r="AN25" i="9"/>
  <c r="G59" i="31" l="1"/>
  <c r="G53" i="31"/>
  <c r="G38" i="31"/>
  <c r="G33" i="31"/>
  <c r="G55" i="31"/>
  <c r="G12" i="31"/>
  <c r="G50" i="31"/>
  <c r="G60" i="31"/>
  <c r="G47" i="31"/>
  <c r="G49" i="31"/>
  <c r="G48" i="31"/>
  <c r="G58" i="31"/>
  <c r="G41" i="31"/>
  <c r="G54" i="31"/>
  <c r="G64" i="31"/>
  <c r="G35" i="31"/>
  <c r="G5" i="31"/>
  <c r="G42" i="31"/>
  <c r="G62" i="31"/>
  <c r="G34" i="31"/>
  <c r="G18" i="31"/>
  <c r="G43" i="31"/>
  <c r="G21" i="31"/>
  <c r="G39" i="31"/>
  <c r="G70" i="31"/>
  <c r="G10" i="31"/>
  <c r="G9" i="31"/>
  <c r="G44" i="31"/>
  <c r="G20" i="31"/>
  <c r="G52" i="31"/>
  <c r="G69" i="31"/>
  <c r="G32" i="31"/>
  <c r="G4" i="31"/>
  <c r="G23" i="31"/>
  <c r="G67" i="31"/>
  <c r="G28" i="31"/>
  <c r="G30" i="31"/>
  <c r="G11" i="31"/>
  <c r="G51" i="31"/>
  <c r="G26" i="31"/>
  <c r="G46" i="31"/>
  <c r="G68" i="31"/>
  <c r="AW64" i="33"/>
  <c r="AW19" i="33"/>
  <c r="AK22" i="33"/>
  <c r="AL22" i="33" s="1"/>
  <c r="AK10" i="33"/>
  <c r="AL10" i="33" s="1"/>
  <c r="AP39" i="33"/>
  <c r="AT39" i="33" s="1"/>
  <c r="AY39" i="33" s="1"/>
  <c r="BF39" i="33" s="1"/>
  <c r="AP43" i="33"/>
  <c r="AR43" i="33" s="1"/>
  <c r="AP56" i="33"/>
  <c r="AT56" i="33" s="1"/>
  <c r="AV56" i="33" s="1"/>
  <c r="AP42" i="33"/>
  <c r="AT42" i="33" s="1"/>
  <c r="AV42" i="33" s="1"/>
  <c r="AK71" i="33"/>
  <c r="AL71" i="33" s="1"/>
  <c r="AK21" i="33"/>
  <c r="AL21" i="33" s="1"/>
  <c r="AP47" i="33"/>
  <c r="AT47" i="33" s="1"/>
  <c r="AY47" i="33" s="1"/>
  <c r="BF47" i="33" s="1"/>
  <c r="AP16" i="33"/>
  <c r="AR16" i="33" s="1"/>
  <c r="AP65" i="33"/>
  <c r="AR65" i="33" s="1"/>
  <c r="AQ68" i="33"/>
  <c r="AU68" i="33" s="1"/>
  <c r="AZ68" i="33" s="1"/>
  <c r="BG68" i="33" s="1"/>
  <c r="BK68" i="33" s="1"/>
  <c r="AK20" i="33"/>
  <c r="AL20" i="33" s="1"/>
  <c r="AK41" i="33"/>
  <c r="AL41" i="33" s="1"/>
  <c r="AK27" i="33"/>
  <c r="AL27" i="33" s="1"/>
  <c r="AK50" i="33"/>
  <c r="AL50" i="33" s="1"/>
  <c r="AK66" i="33"/>
  <c r="AL66" i="33" s="1"/>
  <c r="AK37" i="33"/>
  <c r="AL37" i="33" s="1"/>
  <c r="AK46" i="33"/>
  <c r="AL46" i="33" s="1"/>
  <c r="AK60" i="33"/>
  <c r="AL60" i="33" s="1"/>
  <c r="AP51" i="33"/>
  <c r="AT51" i="33" s="1"/>
  <c r="AY51" i="33" s="1"/>
  <c r="BF51" i="33" s="1"/>
  <c r="AK62" i="33"/>
  <c r="AL62" i="33" s="1"/>
  <c r="AP23" i="33"/>
  <c r="AT23" i="33" s="1"/>
  <c r="AY23" i="33" s="1"/>
  <c r="BF23" i="33" s="1"/>
  <c r="AK44" i="33"/>
  <c r="AL44" i="33" s="1"/>
  <c r="AK9" i="33"/>
  <c r="AL9" i="33" s="1"/>
  <c r="AK11" i="33"/>
  <c r="AL11" i="33" s="1"/>
  <c r="AK18" i="33"/>
  <c r="AL18" i="33" s="1"/>
  <c r="AK67" i="33"/>
  <c r="AL67" i="33" s="1"/>
  <c r="AK53" i="33"/>
  <c r="AL53" i="33" s="1"/>
  <c r="AK52" i="33"/>
  <c r="AL52" i="33" s="1"/>
  <c r="AK58" i="33"/>
  <c r="AL58" i="33" s="1"/>
  <c r="AK29" i="33"/>
  <c r="AL29" i="33" s="1"/>
  <c r="AP28" i="33"/>
  <c r="AT28" i="33" s="1"/>
  <c r="AV28" i="33" s="1"/>
  <c r="AK38" i="33"/>
  <c r="AL38" i="33" s="1"/>
  <c r="AK57" i="33"/>
  <c r="AL57" i="33" s="1"/>
  <c r="AK49" i="33"/>
  <c r="AL49" i="33" s="1"/>
  <c r="AK69" i="33"/>
  <c r="AL69" i="33" s="1"/>
  <c r="AK25" i="33"/>
  <c r="AL25" i="33" s="1"/>
  <c r="AK34" i="33"/>
  <c r="AL34" i="33" s="1"/>
  <c r="AK26" i="33"/>
  <c r="AL26" i="33" s="1"/>
  <c r="AK32" i="33"/>
  <c r="AL32" i="33" s="1"/>
  <c r="AK72" i="33"/>
  <c r="AL72" i="33" s="1"/>
  <c r="AK36" i="33"/>
  <c r="AL36" i="33" s="1"/>
  <c r="AK70" i="33"/>
  <c r="AL70" i="33" s="1"/>
  <c r="U19" i="33"/>
  <c r="V19" i="33" s="1"/>
  <c r="AP37" i="33"/>
  <c r="AT37" i="33" s="1"/>
  <c r="AY37" i="33" s="1"/>
  <c r="BF37" i="33" s="1"/>
  <c r="AP21" i="33"/>
  <c r="AR21" i="33" s="1"/>
  <c r="AR31" i="33"/>
  <c r="AP27" i="33"/>
  <c r="AR27" i="33" s="1"/>
  <c r="AP66" i="33"/>
  <c r="AR66" i="33" s="1"/>
  <c r="AP18" i="33"/>
  <c r="AR18" i="33" s="1"/>
  <c r="AP67" i="33"/>
  <c r="AT67" i="33" s="1"/>
  <c r="AY67" i="33" s="1"/>
  <c r="BF67" i="33" s="1"/>
  <c r="AF33" i="33"/>
  <c r="AJ33" i="33"/>
  <c r="AK65" i="33"/>
  <c r="AL65" i="33" s="1"/>
  <c r="AF45" i="33"/>
  <c r="AJ45" i="33"/>
  <c r="AP10" i="33"/>
  <c r="AT10" i="33" s="1"/>
  <c r="AV10" i="33" s="1"/>
  <c r="AP70" i="33"/>
  <c r="AR70" i="33" s="1"/>
  <c r="G14" i="35"/>
  <c r="H14" i="35" s="1"/>
  <c r="AF23" i="33"/>
  <c r="AJ23" i="33"/>
  <c r="AF51" i="33"/>
  <c r="AJ51" i="33"/>
  <c r="AF39" i="33"/>
  <c r="AJ39" i="33"/>
  <c r="AF47" i="33"/>
  <c r="AJ47" i="33"/>
  <c r="AP29" i="33"/>
  <c r="AT29" i="33" s="1"/>
  <c r="AY29" i="33" s="1"/>
  <c r="BF29" i="33" s="1"/>
  <c r="AP45" i="33"/>
  <c r="AK16" i="33"/>
  <c r="AL16" i="33" s="1"/>
  <c r="AP26" i="33"/>
  <c r="AP38" i="33"/>
  <c r="AR38" i="33" s="1"/>
  <c r="AP25" i="33"/>
  <c r="AR25" i="33" s="1"/>
  <c r="AV31" i="33"/>
  <c r="AY31" i="33"/>
  <c r="BF31" i="33" s="1"/>
  <c r="AP72" i="33"/>
  <c r="AT72" i="33" s="1"/>
  <c r="AP20" i="33"/>
  <c r="AR20" i="33" s="1"/>
  <c r="AK56" i="33"/>
  <c r="AL56" i="33" s="1"/>
  <c r="AP49" i="33"/>
  <c r="AR49" i="33" s="1"/>
  <c r="AP58" i="33"/>
  <c r="AT58" i="33" s="1"/>
  <c r="AP52" i="33"/>
  <c r="AR52" i="33" s="1"/>
  <c r="AK28" i="33"/>
  <c r="AL28" i="33" s="1"/>
  <c r="AP60" i="33"/>
  <c r="AP69" i="33"/>
  <c r="AT69" i="33" s="1"/>
  <c r="AP57" i="33"/>
  <c r="AP41" i="33"/>
  <c r="AR41" i="33" s="1"/>
  <c r="AK42" i="33"/>
  <c r="AL42" i="33" s="1"/>
  <c r="AI68" i="33"/>
  <c r="AP9" i="33"/>
  <c r="AR9" i="33" s="1"/>
  <c r="AP22" i="33"/>
  <c r="AK43" i="33"/>
  <c r="AL43" i="33" s="1"/>
  <c r="AK30" i="33"/>
  <c r="AL30" i="33" s="1"/>
  <c r="AP30" i="33"/>
  <c r="AP62" i="33"/>
  <c r="AR62" i="33" s="1"/>
  <c r="AP36" i="33"/>
  <c r="AR36" i="33" s="1"/>
  <c r="AP44" i="33"/>
  <c r="AR44" i="33" s="1"/>
  <c r="AP32" i="33"/>
  <c r="AR32" i="33" s="1"/>
  <c r="AP46" i="33"/>
  <c r="AR46" i="33" s="1"/>
  <c r="AP34" i="33"/>
  <c r="AT34" i="33" s="1"/>
  <c r="AP33" i="33"/>
  <c r="AI64" i="33"/>
  <c r="AP11" i="33"/>
  <c r="AR11" i="33" s="1"/>
  <c r="AP50" i="33"/>
  <c r="AP71" i="33"/>
  <c r="AR71" i="33" s="1"/>
  <c r="AP53" i="33"/>
  <c r="AK59" i="33"/>
  <c r="AL59" i="33" s="1"/>
  <c r="AP59" i="33"/>
  <c r="AK55" i="33"/>
  <c r="AL55" i="33" s="1"/>
  <c r="AP55" i="33"/>
  <c r="Z19" i="33"/>
  <c r="AD19" i="33" s="1"/>
  <c r="AF19" i="33" s="1"/>
  <c r="AK54" i="33"/>
  <c r="AL54" i="33" s="1"/>
  <c r="AP54" i="33"/>
  <c r="AK35" i="33"/>
  <c r="AL35" i="33" s="1"/>
  <c r="AP35" i="33"/>
  <c r="AF68" i="33"/>
  <c r="AB68" i="33"/>
  <c r="AE64" i="33"/>
  <c r="AA64" i="33"/>
  <c r="AB64" i="33" s="1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G71" i="31" l="1"/>
  <c r="BH31" i="33"/>
  <c r="BJ31" i="33"/>
  <c r="BL31" i="33" s="1"/>
  <c r="BJ39" i="33"/>
  <c r="BJ51" i="33"/>
  <c r="BJ67" i="33"/>
  <c r="BL67" i="33" s="1"/>
  <c r="BH67" i="33"/>
  <c r="BJ47" i="33"/>
  <c r="BH37" i="33"/>
  <c r="BJ37" i="33"/>
  <c r="BL37" i="33" s="1"/>
  <c r="BJ23" i="33"/>
  <c r="BH29" i="33"/>
  <c r="BJ29" i="33"/>
  <c r="BL29" i="33" s="1"/>
  <c r="AX19" i="33"/>
  <c r="BM19" i="33" s="1"/>
  <c r="AX64" i="33"/>
  <c r="BM64" i="33" s="1"/>
  <c r="BN64" i="33" s="1"/>
  <c r="F27" i="31"/>
  <c r="F60" i="31"/>
  <c r="BA37" i="33"/>
  <c r="BB37" i="33" s="1"/>
  <c r="F55" i="31"/>
  <c r="BA29" i="33"/>
  <c r="BB29" i="33" s="1"/>
  <c r="F57" i="31"/>
  <c r="BA31" i="33"/>
  <c r="BB31" i="33" s="1"/>
  <c r="F23" i="31"/>
  <c r="BA67" i="33"/>
  <c r="BB67" i="33" s="1"/>
  <c r="F61" i="31"/>
  <c r="F65" i="31"/>
  <c r="F13" i="31"/>
  <c r="AR56" i="33"/>
  <c r="AY42" i="33"/>
  <c r="BF42" i="33" s="1"/>
  <c r="AY56" i="33"/>
  <c r="BF56" i="33" s="1"/>
  <c r="AT65" i="33"/>
  <c r="AY65" i="33" s="1"/>
  <c r="BF65" i="33" s="1"/>
  <c r="AT43" i="33"/>
  <c r="AY43" i="33" s="1"/>
  <c r="BF43" i="33" s="1"/>
  <c r="AT16" i="33"/>
  <c r="AV16" i="33" s="1"/>
  <c r="AR42" i="33"/>
  <c r="AR28" i="33"/>
  <c r="AY28" i="33"/>
  <c r="BF28" i="33" s="1"/>
  <c r="AK68" i="33"/>
  <c r="AL68" i="33" s="1"/>
  <c r="AQ23" i="33"/>
  <c r="AU23" i="33" s="1"/>
  <c r="AZ23" i="33" s="1"/>
  <c r="G27" i="31" s="1"/>
  <c r="AQ33" i="33"/>
  <c r="AU33" i="33" s="1"/>
  <c r="AZ33" i="33" s="1"/>
  <c r="BG33" i="33" s="1"/>
  <c r="BK33" i="33" s="1"/>
  <c r="AQ39" i="33"/>
  <c r="AU39" i="33" s="1"/>
  <c r="AQ45" i="33"/>
  <c r="AU45" i="33" s="1"/>
  <c r="AZ45" i="33" s="1"/>
  <c r="BG45" i="33" s="1"/>
  <c r="BK45" i="33" s="1"/>
  <c r="AQ47" i="33"/>
  <c r="AR47" i="33" s="1"/>
  <c r="AQ51" i="33"/>
  <c r="AU51" i="33" s="1"/>
  <c r="AZ51" i="33" s="1"/>
  <c r="BG51" i="33" s="1"/>
  <c r="BK51" i="33" s="1"/>
  <c r="AK23" i="33"/>
  <c r="AL23" i="33" s="1"/>
  <c r="AV37" i="33"/>
  <c r="AR37" i="33"/>
  <c r="AT21" i="33"/>
  <c r="AY21" i="33" s="1"/>
  <c r="BF21" i="33" s="1"/>
  <c r="AK51" i="33"/>
  <c r="AL51" i="33" s="1"/>
  <c r="AK33" i="33"/>
  <c r="AL33" i="33" s="1"/>
  <c r="AK39" i="33"/>
  <c r="AL39" i="33" s="1"/>
  <c r="AK45" i="33"/>
  <c r="AL45" i="33" s="1"/>
  <c r="AK47" i="33"/>
  <c r="AL47" i="33" s="1"/>
  <c r="AT27" i="33"/>
  <c r="AV27" i="33" s="1"/>
  <c r="AP68" i="33"/>
  <c r="AR68" i="33" s="1"/>
  <c r="AT18" i="33"/>
  <c r="AY18" i="33" s="1"/>
  <c r="BF18" i="33" s="1"/>
  <c r="AT20" i="33"/>
  <c r="AV20" i="33" s="1"/>
  <c r="AT32" i="33"/>
  <c r="AV32" i="33" s="1"/>
  <c r="AR10" i="33"/>
  <c r="AV29" i="33"/>
  <c r="AY10" i="33"/>
  <c r="BF10" i="33" s="1"/>
  <c r="AV67" i="33"/>
  <c r="AT70" i="33"/>
  <c r="AY70" i="33" s="1"/>
  <c r="BF70" i="33" s="1"/>
  <c r="AT66" i="33"/>
  <c r="AV66" i="33" s="1"/>
  <c r="AR72" i="33"/>
  <c r="AR67" i="33"/>
  <c r="AT45" i="33"/>
  <c r="AT9" i="33"/>
  <c r="AY9" i="33" s="1"/>
  <c r="BF9" i="33" s="1"/>
  <c r="AT25" i="33"/>
  <c r="AV25" i="33" s="1"/>
  <c r="AR29" i="33"/>
  <c r="AF64" i="33"/>
  <c r="AJ64" i="33"/>
  <c r="AT62" i="33"/>
  <c r="AV62" i="33" s="1"/>
  <c r="AR58" i="33"/>
  <c r="AT26" i="33"/>
  <c r="AR26" i="33"/>
  <c r="AT52" i="33"/>
  <c r="AV52" i="33" s="1"/>
  <c r="AT38" i="33"/>
  <c r="AT49" i="33"/>
  <c r="AV34" i="33"/>
  <c r="AY34" i="33"/>
  <c r="BF34" i="33" s="1"/>
  <c r="AR69" i="33"/>
  <c r="AV58" i="33"/>
  <c r="AY58" i="33"/>
  <c r="BF58" i="33" s="1"/>
  <c r="AV69" i="33"/>
  <c r="AY69" i="33"/>
  <c r="BF69" i="33" s="1"/>
  <c r="AR34" i="33"/>
  <c r="AT41" i="33"/>
  <c r="AV72" i="33"/>
  <c r="AY72" i="33"/>
  <c r="BF72" i="33" s="1"/>
  <c r="AT71" i="33"/>
  <c r="AT57" i="33"/>
  <c r="AR57" i="33"/>
  <c r="AT11" i="33"/>
  <c r="AT46" i="33"/>
  <c r="AR60" i="33"/>
  <c r="AT60" i="33"/>
  <c r="AR22" i="33"/>
  <c r="AT22" i="33"/>
  <c r="AT36" i="33"/>
  <c r="AR30" i="33"/>
  <c r="AT30" i="33"/>
  <c r="AB19" i="33"/>
  <c r="AR59" i="33"/>
  <c r="AT59" i="33"/>
  <c r="AP64" i="33"/>
  <c r="AT44" i="33"/>
  <c r="AR53" i="33"/>
  <c r="AT53" i="33"/>
  <c r="AT33" i="33"/>
  <c r="AI19" i="33"/>
  <c r="AT50" i="33"/>
  <c r="AR50" i="33"/>
  <c r="AT35" i="33"/>
  <c r="AR35" i="33"/>
  <c r="AR54" i="33"/>
  <c r="AT54" i="33"/>
  <c r="AR55" i="33"/>
  <c r="AT55" i="33"/>
  <c r="AE22" i="9"/>
  <c r="AF22" i="9"/>
  <c r="AG22" i="9"/>
  <c r="AH22" i="9"/>
  <c r="AI22" i="9"/>
  <c r="AJ22" i="9"/>
  <c r="AK22" i="9"/>
  <c r="AL22" i="9"/>
  <c r="AM22" i="9" s="1"/>
  <c r="AN22" i="9"/>
  <c r="AE21" i="9"/>
  <c r="AF21" i="9"/>
  <c r="AG21" i="9"/>
  <c r="AH21" i="9"/>
  <c r="AI21" i="9"/>
  <c r="AJ21" i="9"/>
  <c r="AK21" i="9"/>
  <c r="AL21" i="9"/>
  <c r="AM21" i="9" s="1"/>
  <c r="AN21" i="9"/>
  <c r="AE17" i="9"/>
  <c r="AE18" i="9"/>
  <c r="AE19" i="9"/>
  <c r="AE20" i="9"/>
  <c r="AF17" i="9"/>
  <c r="AF18" i="9"/>
  <c r="AF19" i="9"/>
  <c r="AF20" i="9"/>
  <c r="AG17" i="9"/>
  <c r="AG18" i="9"/>
  <c r="AG19" i="9"/>
  <c r="AG20" i="9"/>
  <c r="AH17" i="9"/>
  <c r="AH18" i="9"/>
  <c r="AH19" i="9"/>
  <c r="AH20" i="9"/>
  <c r="AI17" i="9"/>
  <c r="AI18" i="9"/>
  <c r="AI19" i="9"/>
  <c r="AI20" i="9"/>
  <c r="AJ17" i="9"/>
  <c r="AJ18" i="9"/>
  <c r="AJ19" i="9"/>
  <c r="AJ20" i="9"/>
  <c r="AK17" i="9"/>
  <c r="AK18" i="9"/>
  <c r="AK19" i="9"/>
  <c r="AK20" i="9"/>
  <c r="AL17" i="9"/>
  <c r="AM17" i="9" s="1"/>
  <c r="AL18" i="9"/>
  <c r="AM18" i="9" s="1"/>
  <c r="AL19" i="9"/>
  <c r="AM19" i="9" s="1"/>
  <c r="AL20" i="9"/>
  <c r="AM20" i="9" s="1"/>
  <c r="AN17" i="9"/>
  <c r="AN18" i="9"/>
  <c r="AN19" i="9"/>
  <c r="AN20" i="9"/>
  <c r="AE16" i="9"/>
  <c r="AF16" i="9"/>
  <c r="AG16" i="9"/>
  <c r="AH16" i="9"/>
  <c r="AI16" i="9"/>
  <c r="AJ16" i="9"/>
  <c r="AK16" i="9"/>
  <c r="AL16" i="9"/>
  <c r="AM16" i="9" s="1"/>
  <c r="AN16" i="9"/>
  <c r="AE15" i="9"/>
  <c r="AF15" i="9"/>
  <c r="AG15" i="9"/>
  <c r="AH15" i="9"/>
  <c r="AI15" i="9"/>
  <c r="AJ15" i="9"/>
  <c r="AK15" i="9"/>
  <c r="AL15" i="9"/>
  <c r="AM15" i="9" s="1"/>
  <c r="AN15" i="9"/>
  <c r="G65" i="31" l="1"/>
  <c r="G15" i="31"/>
  <c r="G63" i="31"/>
  <c r="BN19" i="33"/>
  <c r="X48" i="31"/>
  <c r="X6" i="31"/>
  <c r="BH70" i="33"/>
  <c r="BJ70" i="33"/>
  <c r="BL70" i="33" s="1"/>
  <c r="BJ28" i="33"/>
  <c r="BL28" i="33" s="1"/>
  <c r="BH28" i="33"/>
  <c r="BH69" i="33"/>
  <c r="BJ69" i="33"/>
  <c r="BL69" i="33" s="1"/>
  <c r="BJ10" i="33"/>
  <c r="BL10" i="33" s="1"/>
  <c r="BH10" i="33"/>
  <c r="BA51" i="33"/>
  <c r="BB51" i="33" s="1"/>
  <c r="BJ18" i="33"/>
  <c r="BL18" i="33" s="1"/>
  <c r="BH18" i="33"/>
  <c r="BH21" i="33"/>
  <c r="BJ21" i="33"/>
  <c r="BL21" i="33" s="1"/>
  <c r="BJ42" i="33"/>
  <c r="BL42" i="33" s="1"/>
  <c r="BH42" i="33"/>
  <c r="BJ58" i="33"/>
  <c r="BL58" i="33" s="1"/>
  <c r="BH58" i="33"/>
  <c r="BH9" i="33"/>
  <c r="BJ9" i="33"/>
  <c r="BL9" i="33" s="1"/>
  <c r="BH51" i="33"/>
  <c r="BJ43" i="33"/>
  <c r="BL43" i="33" s="1"/>
  <c r="BH43" i="33"/>
  <c r="BL51" i="33"/>
  <c r="BH72" i="33"/>
  <c r="BJ72" i="33"/>
  <c r="BL72" i="33" s="1"/>
  <c r="BH65" i="33"/>
  <c r="BJ65" i="33"/>
  <c r="BL65" i="33" s="1"/>
  <c r="BJ34" i="33"/>
  <c r="BL34" i="33" s="1"/>
  <c r="BH34" i="33"/>
  <c r="BA23" i="33"/>
  <c r="BB23" i="33" s="1"/>
  <c r="BG23" i="33"/>
  <c r="BJ56" i="33"/>
  <c r="BL56" i="33" s="1"/>
  <c r="BH56" i="33"/>
  <c r="F38" i="31"/>
  <c r="BA70" i="33"/>
  <c r="BB70" i="33" s="1"/>
  <c r="F54" i="31"/>
  <c r="BA28" i="33"/>
  <c r="BB28" i="33" s="1"/>
  <c r="F39" i="31"/>
  <c r="BA69" i="33"/>
  <c r="BB69" i="33" s="1"/>
  <c r="F44" i="31"/>
  <c r="BA10" i="33"/>
  <c r="BB10" i="33" s="1"/>
  <c r="F42" i="31"/>
  <c r="BA72" i="33"/>
  <c r="BB72" i="33" s="1"/>
  <c r="F69" i="31"/>
  <c r="BA65" i="33"/>
  <c r="BB65" i="33" s="1"/>
  <c r="F12" i="31"/>
  <c r="BA58" i="33"/>
  <c r="BB58" i="33" s="1"/>
  <c r="F34" i="31"/>
  <c r="BA34" i="33"/>
  <c r="BB34" i="33" s="1"/>
  <c r="F10" i="31"/>
  <c r="BA56" i="33"/>
  <c r="BB56" i="33" s="1"/>
  <c r="F41" i="31"/>
  <c r="BA43" i="33"/>
  <c r="BB43" i="33" s="1"/>
  <c r="F47" i="31"/>
  <c r="BA18" i="33"/>
  <c r="BB18" i="33" s="1"/>
  <c r="F50" i="31"/>
  <c r="BA21" i="33"/>
  <c r="BB21" i="33" s="1"/>
  <c r="F28" i="31"/>
  <c r="BA42" i="33"/>
  <c r="BB42" i="33" s="1"/>
  <c r="F18" i="31"/>
  <c r="BA9" i="33"/>
  <c r="BB9" i="33" s="1"/>
  <c r="AV45" i="33"/>
  <c r="AR39" i="33"/>
  <c r="AR45" i="33"/>
  <c r="AV65" i="33"/>
  <c r="AV43" i="33"/>
  <c r="AU47" i="33"/>
  <c r="AV47" i="33" s="1"/>
  <c r="AY16" i="33"/>
  <c r="BF16" i="33" s="1"/>
  <c r="AR23" i="33"/>
  <c r="AV23" i="33"/>
  <c r="AR51" i="33"/>
  <c r="AR33" i="33"/>
  <c r="AV51" i="33"/>
  <c r="AQ64" i="33"/>
  <c r="AU64" i="33" s="1"/>
  <c r="AZ64" i="33" s="1"/>
  <c r="BG64" i="33" s="1"/>
  <c r="BK64" i="33" s="1"/>
  <c r="AV21" i="33"/>
  <c r="AV18" i="33"/>
  <c r="AK64" i="33"/>
  <c r="AL64" i="33" s="1"/>
  <c r="AY20" i="33"/>
  <c r="BF20" i="33" s="1"/>
  <c r="AT68" i="33"/>
  <c r="AY68" i="33" s="1"/>
  <c r="BF68" i="33" s="1"/>
  <c r="AY32" i="33"/>
  <c r="BF32" i="33" s="1"/>
  <c r="AV70" i="33"/>
  <c r="AY27" i="33"/>
  <c r="BF27" i="33" s="1"/>
  <c r="AY62" i="33"/>
  <c r="BF62" i="33" s="1"/>
  <c r="AY66" i="33"/>
  <c r="BF66" i="33" s="1"/>
  <c r="AY45" i="33"/>
  <c r="BF45" i="33" s="1"/>
  <c r="AV9" i="33"/>
  <c r="AY25" i="33"/>
  <c r="BF25" i="33" s="1"/>
  <c r="M61" i="33"/>
  <c r="N61" i="33" s="1"/>
  <c r="S61" i="33" s="1"/>
  <c r="R61" i="33"/>
  <c r="AG61" i="33" s="1"/>
  <c r="M17" i="33"/>
  <c r="N17" i="33" s="1"/>
  <c r="S17" i="33" s="1"/>
  <c r="R17" i="33"/>
  <c r="AG17" i="33" s="1"/>
  <c r="AY52" i="33"/>
  <c r="BF52" i="33" s="1"/>
  <c r="AZ39" i="33"/>
  <c r="G61" i="31" s="1"/>
  <c r="AV39" i="33"/>
  <c r="AV26" i="33"/>
  <c r="AY26" i="33"/>
  <c r="BF26" i="33" s="1"/>
  <c r="AV53" i="33"/>
  <c r="AY53" i="33"/>
  <c r="BF53" i="33" s="1"/>
  <c r="AV35" i="33"/>
  <c r="AY35" i="33"/>
  <c r="BF35" i="33" s="1"/>
  <c r="AV44" i="33"/>
  <c r="AY44" i="33"/>
  <c r="BF44" i="33" s="1"/>
  <c r="AV22" i="33"/>
  <c r="AY22" i="33"/>
  <c r="BF22" i="33" s="1"/>
  <c r="AV71" i="33"/>
  <c r="AY71" i="33"/>
  <c r="BF71" i="33" s="1"/>
  <c r="AV49" i="33"/>
  <c r="AY49" i="33"/>
  <c r="BF49" i="33" s="1"/>
  <c r="AV55" i="33"/>
  <c r="AY55" i="33"/>
  <c r="BF55" i="33" s="1"/>
  <c r="AV57" i="33"/>
  <c r="AY57" i="33"/>
  <c r="BF57" i="33" s="1"/>
  <c r="AV50" i="33"/>
  <c r="AY50" i="33"/>
  <c r="BF50" i="33" s="1"/>
  <c r="AV60" i="33"/>
  <c r="AY60" i="33"/>
  <c r="BF60" i="33" s="1"/>
  <c r="AV54" i="33"/>
  <c r="AY54" i="33"/>
  <c r="BF54" i="33" s="1"/>
  <c r="AV41" i="33"/>
  <c r="AY41" i="33"/>
  <c r="BF41" i="33" s="1"/>
  <c r="AV36" i="33"/>
  <c r="AY36" i="33"/>
  <c r="BF36" i="33" s="1"/>
  <c r="AV59" i="33"/>
  <c r="AY59" i="33"/>
  <c r="BF59" i="33" s="1"/>
  <c r="AV33" i="33"/>
  <c r="AY33" i="33"/>
  <c r="BF33" i="33" s="1"/>
  <c r="AV46" i="33"/>
  <c r="AY46" i="33"/>
  <c r="BF46" i="33" s="1"/>
  <c r="AV30" i="33"/>
  <c r="AY30" i="33"/>
  <c r="BF30" i="33" s="1"/>
  <c r="AV11" i="33"/>
  <c r="AY11" i="33"/>
  <c r="BF11" i="33" s="1"/>
  <c r="AV38" i="33"/>
  <c r="AY38" i="33"/>
  <c r="BF38" i="33" s="1"/>
  <c r="AK19" i="33"/>
  <c r="AL19" i="33" s="1"/>
  <c r="AP19" i="33"/>
  <c r="AT64" i="33"/>
  <c r="G13" i="35"/>
  <c r="D3" i="34"/>
  <c r="AR64" i="33" l="1"/>
  <c r="G6" i="31"/>
  <c r="BH62" i="33"/>
  <c r="BJ62" i="33"/>
  <c r="BL62" i="33" s="1"/>
  <c r="BH16" i="33"/>
  <c r="BJ16" i="33"/>
  <c r="BL16" i="33" s="1"/>
  <c r="BH30" i="33"/>
  <c r="BJ30" i="33"/>
  <c r="BL30" i="33" s="1"/>
  <c r="BH32" i="33"/>
  <c r="BJ32" i="33"/>
  <c r="BL32" i="33" s="1"/>
  <c r="BJ59" i="33"/>
  <c r="BL59" i="33" s="1"/>
  <c r="BH59" i="33"/>
  <c r="BJ50" i="33"/>
  <c r="BL50" i="33" s="1"/>
  <c r="BH50" i="33"/>
  <c r="BH46" i="33"/>
  <c r="BJ46" i="33"/>
  <c r="BL46" i="33" s="1"/>
  <c r="BH41" i="33"/>
  <c r="BJ41" i="33"/>
  <c r="BL41" i="33" s="1"/>
  <c r="BH57" i="33"/>
  <c r="BJ57" i="33"/>
  <c r="BL57" i="33" s="1"/>
  <c r="BH22" i="33"/>
  <c r="BJ22" i="33"/>
  <c r="BL22" i="33" s="1"/>
  <c r="BJ26" i="33"/>
  <c r="BL26" i="33" s="1"/>
  <c r="BH26" i="33"/>
  <c r="BH25" i="33"/>
  <c r="BJ25" i="33"/>
  <c r="BL25" i="33" s="1"/>
  <c r="BJ68" i="33"/>
  <c r="BL68" i="33" s="1"/>
  <c r="BH68" i="33"/>
  <c r="BH38" i="33"/>
  <c r="BJ38" i="33"/>
  <c r="BL38" i="33" s="1"/>
  <c r="BH33" i="33"/>
  <c r="BJ33" i="33"/>
  <c r="BL33" i="33" s="1"/>
  <c r="BH54" i="33"/>
  <c r="BJ54" i="33"/>
  <c r="BL54" i="33" s="1"/>
  <c r="BH55" i="33"/>
  <c r="BJ55" i="33"/>
  <c r="BL55" i="33" s="1"/>
  <c r="BJ44" i="33"/>
  <c r="BL44" i="33" s="1"/>
  <c r="BH44" i="33"/>
  <c r="BJ20" i="33"/>
  <c r="BL20" i="33" s="1"/>
  <c r="BH20" i="33"/>
  <c r="BJ11" i="33"/>
  <c r="BL11" i="33" s="1"/>
  <c r="BH11" i="33"/>
  <c r="BJ60" i="33"/>
  <c r="BL60" i="33" s="1"/>
  <c r="BH60" i="33"/>
  <c r="BH49" i="33"/>
  <c r="BJ49" i="33"/>
  <c r="BL49" i="33" s="1"/>
  <c r="BJ35" i="33"/>
  <c r="BL35" i="33" s="1"/>
  <c r="BH35" i="33"/>
  <c r="BJ52" i="33"/>
  <c r="BL52" i="33" s="1"/>
  <c r="BH52" i="33"/>
  <c r="BJ66" i="33"/>
  <c r="BL66" i="33" s="1"/>
  <c r="BH66" i="33"/>
  <c r="BJ36" i="33"/>
  <c r="BL36" i="33" s="1"/>
  <c r="BH36" i="33"/>
  <c r="BH71" i="33"/>
  <c r="BJ71" i="33"/>
  <c r="BL71" i="33" s="1"/>
  <c r="BH53" i="33"/>
  <c r="BJ53" i="33"/>
  <c r="BL53" i="33" s="1"/>
  <c r="BJ27" i="33"/>
  <c r="BL27" i="33" s="1"/>
  <c r="BH27" i="33"/>
  <c r="BA39" i="33"/>
  <c r="BB39" i="33" s="1"/>
  <c r="BG39" i="33"/>
  <c r="BH45" i="33"/>
  <c r="BJ45" i="33"/>
  <c r="BL45" i="33" s="1"/>
  <c r="BK23" i="33"/>
  <c r="BL23" i="33" s="1"/>
  <c r="BH23" i="33"/>
  <c r="F62" i="31"/>
  <c r="BA41" i="33"/>
  <c r="BB41" i="33" s="1"/>
  <c r="F52" i="31"/>
  <c r="BA26" i="33"/>
  <c r="BB26" i="33" s="1"/>
  <c r="F20" i="31"/>
  <c r="BA32" i="33"/>
  <c r="BB32" i="33" s="1"/>
  <c r="F21" i="31"/>
  <c r="BA25" i="33"/>
  <c r="BB25" i="33" s="1"/>
  <c r="F71" i="31"/>
  <c r="BA68" i="33"/>
  <c r="BB68" i="33" s="1"/>
  <c r="F35" i="31"/>
  <c r="BA38" i="33"/>
  <c r="BB38" i="33" s="1"/>
  <c r="F15" i="31"/>
  <c r="BA33" i="33"/>
  <c r="BB33" i="33" s="1"/>
  <c r="F66" i="31"/>
  <c r="BA54" i="33"/>
  <c r="BB54" i="33" s="1"/>
  <c r="F8" i="31"/>
  <c r="BA55" i="33"/>
  <c r="BB55" i="33" s="1"/>
  <c r="F33" i="31"/>
  <c r="BA44" i="33"/>
  <c r="BB44" i="33" s="1"/>
  <c r="F49" i="31"/>
  <c r="BA20" i="33"/>
  <c r="BB20" i="33" s="1"/>
  <c r="F51" i="31"/>
  <c r="BA22" i="33"/>
  <c r="BB22" i="33" s="1"/>
  <c r="F5" i="31"/>
  <c r="BA57" i="33"/>
  <c r="BB57" i="33" s="1"/>
  <c r="F63" i="31"/>
  <c r="BA45" i="33"/>
  <c r="BB45" i="33" s="1"/>
  <c r="F11" i="31"/>
  <c r="BA11" i="33"/>
  <c r="BB11" i="33" s="1"/>
  <c r="F4" i="31"/>
  <c r="BA59" i="33"/>
  <c r="BB59" i="33" s="1"/>
  <c r="F67" i="31"/>
  <c r="BA60" i="33"/>
  <c r="BB60" i="33" s="1"/>
  <c r="F32" i="31"/>
  <c r="BA49" i="33"/>
  <c r="BB49" i="33" s="1"/>
  <c r="F58" i="31"/>
  <c r="BA35" i="33"/>
  <c r="BB35" i="33" s="1"/>
  <c r="F9" i="31"/>
  <c r="BA52" i="33"/>
  <c r="BB52" i="33" s="1"/>
  <c r="F70" i="31"/>
  <c r="BA66" i="33"/>
  <c r="BB66" i="33" s="1"/>
  <c r="F68" i="31"/>
  <c r="BA62" i="33"/>
  <c r="BB62" i="33" s="1"/>
  <c r="F46" i="31"/>
  <c r="BA16" i="33"/>
  <c r="BB16" i="33" s="1"/>
  <c r="F64" i="31"/>
  <c r="BA46" i="33"/>
  <c r="BB46" i="33" s="1"/>
  <c r="F56" i="31"/>
  <c r="BA30" i="33"/>
  <c r="BB30" i="33" s="1"/>
  <c r="F59" i="31"/>
  <c r="BA36" i="33"/>
  <c r="BB36" i="33" s="1"/>
  <c r="F30" i="31"/>
  <c r="BA50" i="33"/>
  <c r="BB50" i="33" s="1"/>
  <c r="F43" i="31"/>
  <c r="BA71" i="33"/>
  <c r="BB71" i="33" s="1"/>
  <c r="F26" i="31"/>
  <c r="BA53" i="33"/>
  <c r="BB53" i="33" s="1"/>
  <c r="F53" i="31"/>
  <c r="BA27" i="33"/>
  <c r="BB27" i="33" s="1"/>
  <c r="AH17" i="33"/>
  <c r="AH61" i="33"/>
  <c r="AZ47" i="33"/>
  <c r="G13" i="31" s="1"/>
  <c r="AV68" i="33"/>
  <c r="AV64" i="33"/>
  <c r="AY64" i="33"/>
  <c r="BF64" i="33" s="1"/>
  <c r="AR19" i="33"/>
  <c r="AT19" i="33"/>
  <c r="H13" i="35"/>
  <c r="G12" i="35"/>
  <c r="H12" i="35" s="1"/>
  <c r="U17" i="33"/>
  <c r="V17" i="33" s="1"/>
  <c r="Z17" i="33"/>
  <c r="AD17" i="33" s="1"/>
  <c r="Z61" i="33"/>
  <c r="AD61" i="33" s="1"/>
  <c r="U61" i="33"/>
  <c r="V61" i="33" s="1"/>
  <c r="M1" i="29"/>
  <c r="M3" i="29" s="1"/>
  <c r="K1" i="29"/>
  <c r="K3" i="29" s="1"/>
  <c r="L1" i="29"/>
  <c r="L3" i="29" s="1"/>
  <c r="I1" i="29"/>
  <c r="I3" i="29" s="1"/>
  <c r="J1" i="29"/>
  <c r="J3" i="29" s="1"/>
  <c r="G1" i="29"/>
  <c r="G3" i="29" s="1"/>
  <c r="H1" i="29"/>
  <c r="H3" i="29" s="1"/>
  <c r="E1" i="29"/>
  <c r="E3" i="29" s="1"/>
  <c r="F1" i="29"/>
  <c r="F3" i="29" s="1"/>
  <c r="D1" i="29"/>
  <c r="D3" i="29" s="1"/>
  <c r="C1" i="29"/>
  <c r="C3" i="29" s="1"/>
  <c r="B1" i="29"/>
  <c r="AE2" i="9"/>
  <c r="AE3" i="9"/>
  <c r="AE4" i="9"/>
  <c r="AE5" i="9"/>
  <c r="AE6" i="9"/>
  <c r="AE7" i="9"/>
  <c r="AE8" i="9"/>
  <c r="AE9" i="9"/>
  <c r="AE10" i="9"/>
  <c r="AE11" i="9"/>
  <c r="AE12" i="9"/>
  <c r="AE13" i="9"/>
  <c r="AE14" i="9"/>
  <c r="AF2" i="9"/>
  <c r="AF3" i="9"/>
  <c r="AF4" i="9"/>
  <c r="AF5" i="9"/>
  <c r="AF6" i="9"/>
  <c r="AF7" i="9"/>
  <c r="AF8" i="9"/>
  <c r="AF9" i="9"/>
  <c r="AF10" i="9"/>
  <c r="AF11" i="9"/>
  <c r="AF12" i="9"/>
  <c r="AF13" i="9"/>
  <c r="AF14" i="9"/>
  <c r="AG2" i="9"/>
  <c r="AG3" i="9"/>
  <c r="AG4" i="9"/>
  <c r="AG5" i="9"/>
  <c r="AG6" i="9"/>
  <c r="AG7" i="9"/>
  <c r="AG8" i="9"/>
  <c r="AG9" i="9"/>
  <c r="AG10" i="9"/>
  <c r="AG11" i="9"/>
  <c r="AG12" i="9"/>
  <c r="AG13" i="9"/>
  <c r="AG14" i="9"/>
  <c r="AH2" i="9"/>
  <c r="AH3" i="9"/>
  <c r="AH4" i="9"/>
  <c r="AH5" i="9"/>
  <c r="AH6" i="9"/>
  <c r="AH7" i="9"/>
  <c r="AH8" i="9"/>
  <c r="AH9" i="9"/>
  <c r="AH10" i="9"/>
  <c r="AH11" i="9"/>
  <c r="AH12" i="9"/>
  <c r="AH13" i="9"/>
  <c r="AH14" i="9"/>
  <c r="AI2" i="9"/>
  <c r="AI3" i="9"/>
  <c r="AI4" i="9"/>
  <c r="AI5" i="9"/>
  <c r="AI6" i="9"/>
  <c r="AI7" i="9"/>
  <c r="AI8" i="9"/>
  <c r="AI9" i="9"/>
  <c r="AI10" i="9"/>
  <c r="AI11" i="9"/>
  <c r="AI12" i="9"/>
  <c r="AI13" i="9"/>
  <c r="AI14" i="9"/>
  <c r="AJ2" i="9"/>
  <c r="AJ3" i="9"/>
  <c r="AJ4" i="9"/>
  <c r="AJ5" i="9"/>
  <c r="AJ6" i="9"/>
  <c r="AJ7" i="9"/>
  <c r="AJ8" i="9"/>
  <c r="AJ9" i="9"/>
  <c r="AJ10" i="9"/>
  <c r="AJ11" i="9"/>
  <c r="AJ12" i="9"/>
  <c r="AJ13" i="9"/>
  <c r="AJ14" i="9"/>
  <c r="AK2" i="9"/>
  <c r="AK3" i="9"/>
  <c r="AK4" i="9"/>
  <c r="AK5" i="9"/>
  <c r="AK6" i="9"/>
  <c r="AK7" i="9"/>
  <c r="AK8" i="9"/>
  <c r="AK9" i="9"/>
  <c r="AK10" i="9"/>
  <c r="AK11" i="9"/>
  <c r="AK12" i="9"/>
  <c r="AK13" i="9"/>
  <c r="AK14" i="9"/>
  <c r="AL2" i="9"/>
  <c r="AL3" i="9"/>
  <c r="AM3" i="9" s="1"/>
  <c r="AL4" i="9"/>
  <c r="AM4" i="9" s="1"/>
  <c r="AL5" i="9"/>
  <c r="AM5" i="9" s="1"/>
  <c r="AL6" i="9"/>
  <c r="AM6" i="9" s="1"/>
  <c r="AL7" i="9"/>
  <c r="AM7" i="9" s="1"/>
  <c r="AL8" i="9"/>
  <c r="AM8" i="9" s="1"/>
  <c r="AL9" i="9"/>
  <c r="AM9" i="9" s="1"/>
  <c r="AL10" i="9"/>
  <c r="AM10" i="9" s="1"/>
  <c r="AL11" i="9"/>
  <c r="AM11" i="9" s="1"/>
  <c r="AL12" i="9"/>
  <c r="AM12" i="9" s="1"/>
  <c r="AL13" i="9"/>
  <c r="AM13" i="9" s="1"/>
  <c r="AL14" i="9"/>
  <c r="AM14" i="9" s="1"/>
  <c r="AN2" i="9"/>
  <c r="AN3" i="9"/>
  <c r="AN4" i="9"/>
  <c r="AN5" i="9"/>
  <c r="AN6" i="9"/>
  <c r="AN7" i="9"/>
  <c r="AN8" i="9"/>
  <c r="AN9" i="9"/>
  <c r="AN10" i="9"/>
  <c r="AN11" i="9"/>
  <c r="AN12" i="9"/>
  <c r="AN13" i="9"/>
  <c r="AN14" i="9"/>
  <c r="R4" i="33"/>
  <c r="AG4" i="33" s="1"/>
  <c r="BA47" i="33" l="1"/>
  <c r="BB47" i="33" s="1"/>
  <c r="BG47" i="33"/>
  <c r="BK39" i="33"/>
  <c r="BL39" i="33" s="1"/>
  <c r="BH39" i="33"/>
  <c r="BH64" i="33"/>
  <c r="BJ64" i="33"/>
  <c r="BL64" i="33" s="1"/>
  <c r="AW61" i="33"/>
  <c r="AW17" i="33"/>
  <c r="F6" i="31"/>
  <c r="M6" i="31" s="1"/>
  <c r="BA64" i="33"/>
  <c r="BB64" i="33" s="1"/>
  <c r="B10" i="29"/>
  <c r="B11" i="29"/>
  <c r="B12" i="29"/>
  <c r="B3" i="29"/>
  <c r="B4" i="29"/>
  <c r="B16" i="29"/>
  <c r="B8" i="29"/>
  <c r="B9" i="29"/>
  <c r="B30" i="29" a="1"/>
  <c r="B30" i="29" s="1"/>
  <c r="AH4" i="33"/>
  <c r="K12" i="29"/>
  <c r="F12" i="29"/>
  <c r="E12" i="29"/>
  <c r="M12" i="29"/>
  <c r="H12" i="29"/>
  <c r="G12" i="29"/>
  <c r="D12" i="29"/>
  <c r="J12" i="29"/>
  <c r="I12" i="29"/>
  <c r="L12" i="29"/>
  <c r="C12" i="29"/>
  <c r="M24" i="33"/>
  <c r="N24" i="33" s="1"/>
  <c r="S24" i="33" s="1"/>
  <c r="R24" i="33"/>
  <c r="AG24" i="33" s="1"/>
  <c r="M13" i="33"/>
  <c r="N13" i="33" s="1"/>
  <c r="S13" i="33" s="1"/>
  <c r="R13" i="33"/>
  <c r="AG13" i="33" s="1"/>
  <c r="M12" i="33"/>
  <c r="N12" i="33" s="1"/>
  <c r="S12" i="33" s="1"/>
  <c r="R12" i="33"/>
  <c r="AG12" i="33" s="1"/>
  <c r="M8" i="33"/>
  <c r="N8" i="33" s="1"/>
  <c r="S8" i="33" s="1"/>
  <c r="R8" i="33"/>
  <c r="AG8" i="33" s="1"/>
  <c r="M7" i="33"/>
  <c r="N7" i="33" s="1"/>
  <c r="S7" i="33" s="1"/>
  <c r="R7" i="33"/>
  <c r="AG7" i="33" s="1"/>
  <c r="M63" i="33"/>
  <c r="N63" i="33" s="1"/>
  <c r="S63" i="33" s="1"/>
  <c r="R63" i="33"/>
  <c r="AG63" i="33" s="1"/>
  <c r="M5" i="33"/>
  <c r="N5" i="33" s="1"/>
  <c r="S5" i="33" s="1"/>
  <c r="R5" i="33"/>
  <c r="AG5" i="33" s="1"/>
  <c r="M40" i="33"/>
  <c r="N40" i="33" s="1"/>
  <c r="S40" i="33" s="1"/>
  <c r="R40" i="33"/>
  <c r="AG40" i="33" s="1"/>
  <c r="M6" i="33"/>
  <c r="N6" i="33" s="1"/>
  <c r="S6" i="33" s="1"/>
  <c r="R6" i="33"/>
  <c r="AG6" i="33" s="1"/>
  <c r="M48" i="33"/>
  <c r="N48" i="33" s="1"/>
  <c r="S48" i="33" s="1"/>
  <c r="R48" i="33"/>
  <c r="AG48" i="33" s="1"/>
  <c r="M15" i="33"/>
  <c r="N15" i="33" s="1"/>
  <c r="S15" i="33" s="1"/>
  <c r="R15" i="33"/>
  <c r="AG15" i="33" s="1"/>
  <c r="M14" i="33"/>
  <c r="N14" i="33" s="1"/>
  <c r="S14" i="33" s="1"/>
  <c r="R14" i="33"/>
  <c r="AG14" i="33" s="1"/>
  <c r="AV19" i="33"/>
  <c r="AY19" i="33"/>
  <c r="BF19" i="33" s="1"/>
  <c r="AI17" i="33"/>
  <c r="AI61" i="33"/>
  <c r="G11" i="35"/>
  <c r="AA61" i="33"/>
  <c r="AB61" i="33" s="1"/>
  <c r="AE61" i="33"/>
  <c r="AJ61" i="33" s="1"/>
  <c r="AA17" i="33"/>
  <c r="AB17" i="33" s="1"/>
  <c r="AE17" i="33"/>
  <c r="M4" i="33"/>
  <c r="K1" i="31"/>
  <c r="J1" i="31"/>
  <c r="L1" i="31"/>
  <c r="N56" i="31"/>
  <c r="N52" i="31"/>
  <c r="M38" i="31"/>
  <c r="N10" i="31"/>
  <c r="N9" i="31"/>
  <c r="N55" i="31"/>
  <c r="N6" i="31"/>
  <c r="M35" i="31"/>
  <c r="N46" i="31"/>
  <c r="M56" i="31"/>
  <c r="N20" i="31"/>
  <c r="N42" i="31"/>
  <c r="N44" i="31"/>
  <c r="AL9" i="31" s="1"/>
  <c r="M39" i="31"/>
  <c r="M9" i="31"/>
  <c r="M66" i="31"/>
  <c r="M63" i="31"/>
  <c r="N58" i="31"/>
  <c r="N41" i="31"/>
  <c r="M32" i="31"/>
  <c r="N34" i="31"/>
  <c r="M34" i="31"/>
  <c r="M64" i="31"/>
  <c r="M20" i="31"/>
  <c r="M67" i="31"/>
  <c r="N15" i="31"/>
  <c r="M51" i="31"/>
  <c r="N30" i="31"/>
  <c r="M33" i="31"/>
  <c r="M65" i="31"/>
  <c r="M30" i="31"/>
  <c r="M69" i="31"/>
  <c r="N28" i="31"/>
  <c r="N21" i="31"/>
  <c r="N47" i="31"/>
  <c r="N63" i="31"/>
  <c r="M50" i="31"/>
  <c r="M4" i="31"/>
  <c r="M28" i="31"/>
  <c r="M57" i="31"/>
  <c r="M68" i="31"/>
  <c r="N71" i="31"/>
  <c r="N43" i="31"/>
  <c r="M27" i="31"/>
  <c r="N51" i="31"/>
  <c r="M5" i="31"/>
  <c r="M46" i="31"/>
  <c r="N49" i="31"/>
  <c r="N50" i="31"/>
  <c r="N67" i="31"/>
  <c r="M43" i="31"/>
  <c r="N65" i="31"/>
  <c r="N54" i="31"/>
  <c r="N38" i="31"/>
  <c r="M55" i="31"/>
  <c r="M61" i="31"/>
  <c r="N35" i="31"/>
  <c r="M10" i="31"/>
  <c r="M59" i="31"/>
  <c r="M41" i="31"/>
  <c r="N60" i="31"/>
  <c r="N23" i="31"/>
  <c r="N32" i="31"/>
  <c r="M70" i="31"/>
  <c r="N57" i="31"/>
  <c r="M26" i="31"/>
  <c r="N70" i="31"/>
  <c r="N26" i="31"/>
  <c r="N39" i="31"/>
  <c r="M49" i="31"/>
  <c r="M53" i="31"/>
  <c r="M60" i="31"/>
  <c r="N4" i="31"/>
  <c r="M18" i="31"/>
  <c r="N62" i="31"/>
  <c r="M12" i="31"/>
  <c r="N12" i="31"/>
  <c r="N27" i="31"/>
  <c r="M15" i="31"/>
  <c r="N18" i="31"/>
  <c r="N69" i="31"/>
  <c r="N33" i="31"/>
  <c r="N8" i="31"/>
  <c r="N59" i="31"/>
  <c r="M47" i="31"/>
  <c r="N5" i="31"/>
  <c r="N13" i="31"/>
  <c r="N61" i="31"/>
  <c r="N68" i="31"/>
  <c r="M8" i="31"/>
  <c r="N11" i="31"/>
  <c r="N48" i="31"/>
  <c r="N53" i="31"/>
  <c r="N66" i="31"/>
  <c r="M71" i="31"/>
  <c r="N64" i="31"/>
  <c r="M52" i="31"/>
  <c r="M62" i="31"/>
  <c r="M42" i="31"/>
  <c r="M11" i="31"/>
  <c r="M44" i="31"/>
  <c r="M21" i="31"/>
  <c r="M58" i="31"/>
  <c r="M23" i="31"/>
  <c r="M54" i="31"/>
  <c r="M13" i="31"/>
  <c r="H9" i="31"/>
  <c r="H12" i="31"/>
  <c r="H26" i="31"/>
  <c r="H50" i="31"/>
  <c r="H23" i="31"/>
  <c r="H8" i="31"/>
  <c r="H33" i="31"/>
  <c r="H70" i="31"/>
  <c r="H51" i="31"/>
  <c r="H67" i="31"/>
  <c r="H18" i="31"/>
  <c r="H68" i="31"/>
  <c r="H39" i="31"/>
  <c r="H10" i="31"/>
  <c r="H69" i="31"/>
  <c r="H49" i="31"/>
  <c r="H55" i="31"/>
  <c r="H59" i="31"/>
  <c r="H44" i="31"/>
  <c r="H13" i="31"/>
  <c r="H38" i="31"/>
  <c r="H65" i="31"/>
  <c r="H54" i="31"/>
  <c r="H5" i="31"/>
  <c r="H34" i="31"/>
  <c r="H43" i="31"/>
  <c r="H42" i="31"/>
  <c r="H60" i="31"/>
  <c r="H56" i="31"/>
  <c r="H28" i="31"/>
  <c r="H52" i="31"/>
  <c r="H46" i="31"/>
  <c r="H47" i="31"/>
  <c r="H35" i="31"/>
  <c r="H21" i="31"/>
  <c r="H63" i="31"/>
  <c r="H71" i="31"/>
  <c r="H4" i="31"/>
  <c r="H61" i="31"/>
  <c r="H41" i="31"/>
  <c r="H32" i="31"/>
  <c r="H58" i="31"/>
  <c r="H30" i="31"/>
  <c r="H57" i="31"/>
  <c r="H27" i="31"/>
  <c r="H15" i="31"/>
  <c r="H66" i="31"/>
  <c r="H53" i="31"/>
  <c r="H64" i="31"/>
  <c r="H62" i="31"/>
  <c r="H20" i="31"/>
  <c r="H11" i="31"/>
  <c r="AM2" i="9"/>
  <c r="L4" i="33"/>
  <c r="L5" i="33"/>
  <c r="L6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A5" i="38" a="1"/>
  <c r="AL56" i="31" l="1"/>
  <c r="AL15" i="31"/>
  <c r="AL8" i="31"/>
  <c r="AL21" i="31"/>
  <c r="AL69" i="31"/>
  <c r="AL48" i="31"/>
  <c r="AL54" i="31"/>
  <c r="AL70" i="31"/>
  <c r="AL59" i="31"/>
  <c r="AL61" i="31"/>
  <c r="AL64" i="31"/>
  <c r="AL20" i="31"/>
  <c r="AL66" i="31"/>
  <c r="AL68" i="31"/>
  <c r="AL27" i="31"/>
  <c r="AL33" i="31"/>
  <c r="AL18" i="31"/>
  <c r="AL35" i="31"/>
  <c r="AL44" i="31"/>
  <c r="AL53" i="31"/>
  <c r="AL10" i="31"/>
  <c r="AL65" i="31"/>
  <c r="AL32" i="31"/>
  <c r="AL30" i="31"/>
  <c r="AL63" i="31"/>
  <c r="AL28" i="31"/>
  <c r="AL26" i="31"/>
  <c r="BK47" i="33"/>
  <c r="BL47" i="33" s="1"/>
  <c r="BH47" i="33"/>
  <c r="BJ19" i="33"/>
  <c r="BL19" i="33" s="1"/>
  <c r="BH19" i="33"/>
  <c r="AX17" i="33"/>
  <c r="BM17" i="33" s="1"/>
  <c r="BN17" i="33" s="1"/>
  <c r="AX61" i="33"/>
  <c r="BM61" i="33" s="1"/>
  <c r="BN61" i="33" s="1"/>
  <c r="H6" i="31"/>
  <c r="F48" i="31"/>
  <c r="BA19" i="33"/>
  <c r="BB19" i="33" s="1"/>
  <c r="A5" i="38"/>
  <c r="B13" i="29"/>
  <c r="B5" i="29"/>
  <c r="N3" i="29"/>
  <c r="AH14" i="33"/>
  <c r="AH40" i="33"/>
  <c r="AH8" i="33"/>
  <c r="AG2" i="33"/>
  <c r="AH7" i="33"/>
  <c r="AH15" i="33"/>
  <c r="AH5" i="33"/>
  <c r="AH12" i="33"/>
  <c r="AH48" i="33"/>
  <c r="AH63" i="33"/>
  <c r="AH13" i="33"/>
  <c r="AH24" i="33"/>
  <c r="AQ61" i="33"/>
  <c r="AU61" i="33" s="1"/>
  <c r="AZ61" i="33" s="1"/>
  <c r="BG61" i="33" s="1"/>
  <c r="BK61" i="33" s="1"/>
  <c r="AP61" i="33"/>
  <c r="AT61" i="33" s="1"/>
  <c r="N12" i="29"/>
  <c r="AF17" i="33"/>
  <c r="AJ17" i="33"/>
  <c r="AK61" i="33"/>
  <c r="AL61" i="33" s="1"/>
  <c r="AW4" i="33"/>
  <c r="AP17" i="33"/>
  <c r="N4" i="33"/>
  <c r="S4" i="33" s="1"/>
  <c r="H11" i="35"/>
  <c r="G8" i="35"/>
  <c r="AF61" i="33"/>
  <c r="Z5" i="33"/>
  <c r="AD5" i="33" s="1"/>
  <c r="Z14" i="33"/>
  <c r="AD14" i="33" s="1"/>
  <c r="U12" i="33"/>
  <c r="V12" i="33" s="1"/>
  <c r="Z12" i="33"/>
  <c r="AD12" i="33" s="1"/>
  <c r="U24" i="33"/>
  <c r="V24" i="33" s="1"/>
  <c r="Z24" i="33"/>
  <c r="AD24" i="33" s="1"/>
  <c r="U48" i="33"/>
  <c r="V48" i="33" s="1"/>
  <c r="U8" i="33"/>
  <c r="V8" i="33" s="1"/>
  <c r="U7" i="33"/>
  <c r="V7" i="33" s="1"/>
  <c r="U6" i="33"/>
  <c r="V6" i="33" s="1"/>
  <c r="Z6" i="33"/>
  <c r="AD6" i="33" s="1"/>
  <c r="U14" i="33"/>
  <c r="V14" i="33" s="1"/>
  <c r="U15" i="33"/>
  <c r="V15" i="33" s="1"/>
  <c r="U5" i="33"/>
  <c r="V5" i="33" s="1"/>
  <c r="U40" i="33"/>
  <c r="V40" i="33" s="1"/>
  <c r="U13" i="33"/>
  <c r="V13" i="33" s="1"/>
  <c r="U63" i="33"/>
  <c r="V63" i="33" s="1"/>
  <c r="O54" i="31"/>
  <c r="O28" i="31"/>
  <c r="O10" i="31"/>
  <c r="O9" i="31"/>
  <c r="O56" i="31"/>
  <c r="O35" i="31"/>
  <c r="O38" i="31"/>
  <c r="O46" i="31"/>
  <c r="O67" i="31"/>
  <c r="O34" i="31"/>
  <c r="O55" i="31"/>
  <c r="O51" i="31"/>
  <c r="O47" i="31"/>
  <c r="O42" i="31"/>
  <c r="O15" i="31"/>
  <c r="O32" i="31"/>
  <c r="O65" i="31"/>
  <c r="O30" i="31"/>
  <c r="O63" i="31"/>
  <c r="O60" i="31"/>
  <c r="O49" i="31"/>
  <c r="O43" i="31"/>
  <c r="O41" i="31"/>
  <c r="O50" i="31"/>
  <c r="O57" i="31"/>
  <c r="O26" i="31"/>
  <c r="O18" i="31"/>
  <c r="O23" i="31"/>
  <c r="O59" i="31"/>
  <c r="O11" i="31"/>
  <c r="O39" i="31"/>
  <c r="O69" i="31"/>
  <c r="O5" i="31"/>
  <c r="O66" i="31"/>
  <c r="O13" i="31"/>
  <c r="O4" i="31"/>
  <c r="O61" i="31"/>
  <c r="O33" i="31"/>
  <c r="O62" i="31"/>
  <c r="O68" i="31"/>
  <c r="O53" i="31"/>
  <c r="O64" i="31"/>
  <c r="O44" i="31"/>
  <c r="O21" i="31"/>
  <c r="O71" i="31"/>
  <c r="O58" i="31"/>
  <c r="O8" i="31"/>
  <c r="O6" i="31"/>
  <c r="O20" i="31"/>
  <c r="O52" i="31"/>
  <c r="O27" i="31"/>
  <c r="O12" i="31"/>
  <c r="O70" i="31"/>
  <c r="I2" i="33"/>
  <c r="L2" i="33"/>
  <c r="M2" i="33"/>
  <c r="Q2" i="33"/>
  <c r="R2" i="33"/>
  <c r="E2" i="33"/>
  <c r="G29" i="31" l="1"/>
  <c r="N29" i="31" s="1"/>
  <c r="X17" i="31"/>
  <c r="X29" i="31"/>
  <c r="AW12" i="33"/>
  <c r="AW5" i="33"/>
  <c r="AW15" i="33"/>
  <c r="AW7" i="33"/>
  <c r="AW24" i="33"/>
  <c r="AW13" i="33"/>
  <c r="AW8" i="33"/>
  <c r="AW63" i="33"/>
  <c r="AW40" i="33"/>
  <c r="AW48" i="33"/>
  <c r="AW14" i="33"/>
  <c r="H48" i="31"/>
  <c r="M48" i="31"/>
  <c r="O48" i="31" s="1"/>
  <c r="AH6" i="33"/>
  <c r="AR61" i="33"/>
  <c r="AQ17" i="33"/>
  <c r="AU17" i="33" s="1"/>
  <c r="AZ17" i="33" s="1"/>
  <c r="BG17" i="33" s="1"/>
  <c r="BK17" i="33" s="1"/>
  <c r="AK17" i="33"/>
  <c r="AL17" i="33" s="1"/>
  <c r="AX4" i="33"/>
  <c r="BM4" i="33" s="1"/>
  <c r="BN4" i="33" s="1"/>
  <c r="AV61" i="33"/>
  <c r="AY61" i="33"/>
  <c r="BF61" i="33" s="1"/>
  <c r="AT17" i="33"/>
  <c r="AI24" i="33"/>
  <c r="AI12" i="33"/>
  <c r="AI6" i="33"/>
  <c r="AI5" i="33"/>
  <c r="AI14" i="33"/>
  <c r="N2" i="33"/>
  <c r="P2" i="33"/>
  <c r="N20" i="29" s="1"/>
  <c r="H8" i="35"/>
  <c r="G15" i="35"/>
  <c r="H15" i="35" s="1"/>
  <c r="AA8" i="33"/>
  <c r="AE8" i="33"/>
  <c r="AJ8" i="33" s="1"/>
  <c r="AE13" i="33"/>
  <c r="AJ13" i="33" s="1"/>
  <c r="AA13" i="33"/>
  <c r="AA15" i="33"/>
  <c r="AE15" i="33"/>
  <c r="AJ15" i="33" s="1"/>
  <c r="AA48" i="33"/>
  <c r="AE48" i="33"/>
  <c r="AJ48" i="33" s="1"/>
  <c r="Z8" i="33"/>
  <c r="AD8" i="33" s="1"/>
  <c r="AA40" i="33"/>
  <c r="AE40" i="33"/>
  <c r="AJ40" i="33" s="1"/>
  <c r="AA5" i="33"/>
  <c r="AB5" i="33" s="1"/>
  <c r="AE5" i="33"/>
  <c r="AE7" i="33"/>
  <c r="AJ7" i="33" s="1"/>
  <c r="AA7" i="33"/>
  <c r="AE14" i="33"/>
  <c r="AJ14" i="33" s="1"/>
  <c r="AA14" i="33"/>
  <c r="AB14" i="33" s="1"/>
  <c r="AE63" i="33"/>
  <c r="AJ63" i="33" s="1"/>
  <c r="AA63" i="33"/>
  <c r="Z13" i="33"/>
  <c r="AD13" i="33" s="1"/>
  <c r="Z48" i="33"/>
  <c r="AD48" i="33" s="1"/>
  <c r="Z63" i="33"/>
  <c r="AD63" i="33" s="1"/>
  <c r="Z15" i="33"/>
  <c r="AD15" i="33" s="1"/>
  <c r="Z7" i="33"/>
  <c r="AD7" i="33" s="1"/>
  <c r="W2" i="33"/>
  <c r="AE4" i="33"/>
  <c r="AJ4" i="33" s="1"/>
  <c r="AA4" i="33"/>
  <c r="AA6" i="33"/>
  <c r="AB6" i="33" s="1"/>
  <c r="AE6" i="33"/>
  <c r="AA24" i="33"/>
  <c r="AB24" i="33" s="1"/>
  <c r="AE24" i="33"/>
  <c r="AA12" i="33"/>
  <c r="AB12" i="33" s="1"/>
  <c r="AE12" i="33"/>
  <c r="Z40" i="33"/>
  <c r="AD40" i="33" s="1"/>
  <c r="W4" i="28"/>
  <c r="V2" i="28"/>
  <c r="AL42" i="31" l="1"/>
  <c r="G17" i="31"/>
  <c r="N17" i="31" s="1"/>
  <c r="X7" i="31"/>
  <c r="BH61" i="33"/>
  <c r="BJ61" i="33"/>
  <c r="BL61" i="33" s="1"/>
  <c r="AX13" i="33"/>
  <c r="BM13" i="33" s="1"/>
  <c r="BN13" i="33" s="1"/>
  <c r="AX63" i="33"/>
  <c r="BM63" i="33" s="1"/>
  <c r="BN63" i="33" s="1"/>
  <c r="AX24" i="33"/>
  <c r="BM24" i="33" s="1"/>
  <c r="BN24" i="33" s="1"/>
  <c r="AX7" i="33"/>
  <c r="BM7" i="33" s="1"/>
  <c r="BN7" i="33" s="1"/>
  <c r="AX40" i="33"/>
  <c r="BM40" i="33" s="1"/>
  <c r="BN40" i="33" s="1"/>
  <c r="AX14" i="33"/>
  <c r="BM14" i="33" s="1"/>
  <c r="BN14" i="33" s="1"/>
  <c r="AX15" i="33"/>
  <c r="BM15" i="33" s="1"/>
  <c r="BN15" i="33" s="1"/>
  <c r="AX12" i="33"/>
  <c r="BM12" i="33" s="1"/>
  <c r="BN12" i="33" s="1"/>
  <c r="AX48" i="33"/>
  <c r="BM48" i="33" s="1"/>
  <c r="BN48" i="33" s="1"/>
  <c r="AX5" i="33"/>
  <c r="BM5" i="33" s="1"/>
  <c r="BN5" i="33" s="1"/>
  <c r="AX8" i="33"/>
  <c r="BM8" i="33" s="1"/>
  <c r="BN8" i="33" s="1"/>
  <c r="AW6" i="33"/>
  <c r="F29" i="31"/>
  <c r="M29" i="31" s="1"/>
  <c r="O29" i="31" s="1"/>
  <c r="BA61" i="33"/>
  <c r="BB61" i="33" s="1"/>
  <c r="AH2" i="33"/>
  <c r="AQ14" i="33"/>
  <c r="AU14" i="33" s="1"/>
  <c r="AZ14" i="33" s="1"/>
  <c r="BG14" i="33" s="1"/>
  <c r="BK14" i="33" s="1"/>
  <c r="AQ48" i="33"/>
  <c r="AU48" i="33" s="1"/>
  <c r="AZ48" i="33" s="1"/>
  <c r="BG48" i="33" s="1"/>
  <c r="BK48" i="33" s="1"/>
  <c r="AQ7" i="33"/>
  <c r="AU7" i="33" s="1"/>
  <c r="AZ7" i="33" s="1"/>
  <c r="BG7" i="33" s="1"/>
  <c r="BK7" i="33" s="1"/>
  <c r="AR17" i="33"/>
  <c r="AQ8" i="33"/>
  <c r="AU8" i="33" s="1"/>
  <c r="AZ8" i="33" s="1"/>
  <c r="BG8" i="33" s="1"/>
  <c r="BK8" i="33" s="1"/>
  <c r="AQ15" i="33"/>
  <c r="AU15" i="33" s="1"/>
  <c r="AZ15" i="33" s="1"/>
  <c r="BG15" i="33" s="1"/>
  <c r="BK15" i="33" s="1"/>
  <c r="AQ40" i="33"/>
  <c r="AU40" i="33" s="1"/>
  <c r="AZ40" i="33" s="1"/>
  <c r="BG40" i="33" s="1"/>
  <c r="BK40" i="33" s="1"/>
  <c r="AQ63" i="33"/>
  <c r="AU63" i="33" s="1"/>
  <c r="AZ63" i="33" s="1"/>
  <c r="BG63" i="33" s="1"/>
  <c r="BK63" i="33" s="1"/>
  <c r="AQ13" i="33"/>
  <c r="AU13" i="33" s="1"/>
  <c r="AZ13" i="33" s="1"/>
  <c r="BG13" i="33" s="1"/>
  <c r="BK13" i="33" s="1"/>
  <c r="Z4" i="33"/>
  <c r="AD4" i="33" s="1"/>
  <c r="AF4" i="33" s="1"/>
  <c r="AF6" i="33"/>
  <c r="AJ6" i="33"/>
  <c r="AF5" i="33"/>
  <c r="AJ5" i="33"/>
  <c r="AQ4" i="33"/>
  <c r="AF12" i="33"/>
  <c r="AJ12" i="33"/>
  <c r="AK14" i="33"/>
  <c r="AL14" i="33" s="1"/>
  <c r="AF24" i="33"/>
  <c r="AJ24" i="33"/>
  <c r="AP14" i="33"/>
  <c r="AT14" i="33" s="1"/>
  <c r="AY14" i="33" s="1"/>
  <c r="BF14" i="33" s="1"/>
  <c r="AP6" i="33"/>
  <c r="AT6" i="33" s="1"/>
  <c r="AV17" i="33"/>
  <c r="AY17" i="33"/>
  <c r="BF17" i="33" s="1"/>
  <c r="AI7" i="33"/>
  <c r="AI8" i="33"/>
  <c r="AP24" i="33"/>
  <c r="AI40" i="33"/>
  <c r="AP12" i="33"/>
  <c r="AI15" i="33"/>
  <c r="AI63" i="33"/>
  <c r="AP5" i="33"/>
  <c r="AI48" i="33"/>
  <c r="AI13" i="33"/>
  <c r="U4" i="33"/>
  <c r="U2" i="33" s="1"/>
  <c r="S2" i="33"/>
  <c r="N18" i="29"/>
  <c r="AF13" i="33"/>
  <c r="AF40" i="33"/>
  <c r="AF7" i="33"/>
  <c r="AB8" i="33"/>
  <c r="AB40" i="33"/>
  <c r="AB48" i="33"/>
  <c r="AF63" i="33"/>
  <c r="AF14" i="33"/>
  <c r="AF48" i="33"/>
  <c r="AF8" i="33"/>
  <c r="AB7" i="33"/>
  <c r="AF15" i="33"/>
  <c r="AB15" i="33"/>
  <c r="AA2" i="33"/>
  <c r="AB63" i="33"/>
  <c r="AE2" i="33"/>
  <c r="AB13" i="33"/>
  <c r="AL17" i="31" l="1"/>
  <c r="G24" i="31"/>
  <c r="N24" i="31" s="1"/>
  <c r="AL24" i="31" s="1"/>
  <c r="G3" i="31"/>
  <c r="N3" i="31" s="1"/>
  <c r="G36" i="31"/>
  <c r="N36" i="31" s="1"/>
  <c r="G31" i="31"/>
  <c r="N31" i="31" s="1"/>
  <c r="X19" i="31"/>
  <c r="X14" i="31"/>
  <c r="X24" i="31"/>
  <c r="G40" i="31"/>
  <c r="N40" i="31" s="1"/>
  <c r="AL34" i="31" s="1"/>
  <c r="G14" i="31"/>
  <c r="N14" i="31" s="1"/>
  <c r="AL60" i="31" s="1"/>
  <c r="G22" i="31"/>
  <c r="N22" i="31" s="1"/>
  <c r="AL22" i="31" s="1"/>
  <c r="G45" i="31"/>
  <c r="N45" i="31" s="1"/>
  <c r="AL45" i="31" s="1"/>
  <c r="X45" i="31"/>
  <c r="X36" i="31"/>
  <c r="X25" i="31"/>
  <c r="X22" i="31"/>
  <c r="X40" i="31"/>
  <c r="X3" i="31"/>
  <c r="X31" i="31"/>
  <c r="X37" i="31"/>
  <c r="BH17" i="33"/>
  <c r="BJ17" i="33"/>
  <c r="BL17" i="33" s="1"/>
  <c r="BH14" i="33"/>
  <c r="BJ14" i="33"/>
  <c r="BL14" i="33" s="1"/>
  <c r="AX6" i="33"/>
  <c r="BM6" i="33" s="1"/>
  <c r="X16" i="31" s="1"/>
  <c r="AW2" i="33"/>
  <c r="F17" i="31"/>
  <c r="M17" i="31" s="1"/>
  <c r="O17" i="31" s="1"/>
  <c r="BA17" i="33"/>
  <c r="BB17" i="33" s="1"/>
  <c r="F45" i="31"/>
  <c r="M45" i="31" s="1"/>
  <c r="BA14" i="33"/>
  <c r="BB14" i="33" s="1"/>
  <c r="H29" i="31"/>
  <c r="AP63" i="33"/>
  <c r="AT63" i="33" s="1"/>
  <c r="AK15" i="33"/>
  <c r="AL15" i="33" s="1"/>
  <c r="AQ5" i="33"/>
  <c r="AU5" i="33" s="1"/>
  <c r="AZ5" i="33" s="1"/>
  <c r="BG5" i="33" s="1"/>
  <c r="BK5" i="33" s="1"/>
  <c r="AQ24" i="33"/>
  <c r="AU24" i="33" s="1"/>
  <c r="AZ24" i="33" s="1"/>
  <c r="BG24" i="33" s="1"/>
  <c r="BK24" i="33" s="1"/>
  <c r="AP40" i="33"/>
  <c r="AT40" i="33" s="1"/>
  <c r="AQ6" i="33"/>
  <c r="AU6" i="33" s="1"/>
  <c r="AZ6" i="33" s="1"/>
  <c r="BG6" i="33" s="1"/>
  <c r="BK6" i="33" s="1"/>
  <c r="AP13" i="33"/>
  <c r="AR13" i="33" s="1"/>
  <c r="AK8" i="33"/>
  <c r="AL8" i="33" s="1"/>
  <c r="AP48" i="33"/>
  <c r="AR48" i="33" s="1"/>
  <c r="AP7" i="33"/>
  <c r="AT7" i="33" s="1"/>
  <c r="AY7" i="33" s="1"/>
  <c r="BF7" i="33" s="1"/>
  <c r="AQ12" i="33"/>
  <c r="AU12" i="33" s="1"/>
  <c r="AZ12" i="33" s="1"/>
  <c r="BG12" i="33" s="1"/>
  <c r="BK12" i="33" s="1"/>
  <c r="AD2" i="33"/>
  <c r="Z2" i="33"/>
  <c r="AI4" i="33"/>
  <c r="AB4" i="33"/>
  <c r="AB2" i="33" s="1"/>
  <c r="AK6" i="33"/>
  <c r="AL6" i="33" s="1"/>
  <c r="AK7" i="33"/>
  <c r="AL7" i="33" s="1"/>
  <c r="AV14" i="33"/>
  <c r="AK63" i="33"/>
  <c r="AL63" i="33" s="1"/>
  <c r="AT12" i="33"/>
  <c r="AY12" i="33" s="1"/>
  <c r="BF12" i="33" s="1"/>
  <c r="AR14" i="33"/>
  <c r="AU4" i="33"/>
  <c r="AK24" i="33"/>
  <c r="AL24" i="33" s="1"/>
  <c r="AK5" i="33"/>
  <c r="AL5" i="33" s="1"/>
  <c r="AK12" i="33"/>
  <c r="AL12" i="33" s="1"/>
  <c r="AJ2" i="33"/>
  <c r="AP15" i="33"/>
  <c r="AR15" i="33" s="1"/>
  <c r="AY6" i="33"/>
  <c r="BF6" i="33" s="1"/>
  <c r="AP8" i="33"/>
  <c r="AR8" i="33" s="1"/>
  <c r="AK13" i="33"/>
  <c r="AL13" i="33" s="1"/>
  <c r="AT24" i="33"/>
  <c r="AK48" i="33"/>
  <c r="AL48" i="33" s="1"/>
  <c r="AK40" i="33"/>
  <c r="AL40" i="33" s="1"/>
  <c r="AT5" i="33"/>
  <c r="V4" i="33"/>
  <c r="V2" i="33" s="1"/>
  <c r="AF2" i="33"/>
  <c r="C5" i="12"/>
  <c r="AL36" i="31" l="1"/>
  <c r="AL38" i="31"/>
  <c r="AL62" i="31"/>
  <c r="AL71" i="31"/>
  <c r="AL14" i="31"/>
  <c r="AL31" i="31"/>
  <c r="AL39" i="31"/>
  <c r="AL41" i="31"/>
  <c r="AL12" i="31"/>
  <c r="AL43" i="31"/>
  <c r="AL47" i="31"/>
  <c r="AL13" i="31"/>
  <c r="AL46" i="31"/>
  <c r="AL6" i="31"/>
  <c r="AL50" i="31"/>
  <c r="AL51" i="31"/>
  <c r="D8" i="12"/>
  <c r="D7" i="12"/>
  <c r="G16" i="31"/>
  <c r="N16" i="31" s="1"/>
  <c r="G19" i="31"/>
  <c r="N19" i="31" s="1"/>
  <c r="G25" i="31"/>
  <c r="N25" i="31" s="1"/>
  <c r="AL25" i="31" s="1"/>
  <c r="G37" i="31"/>
  <c r="N37" i="31" s="1"/>
  <c r="AL37" i="31" s="1"/>
  <c r="BH6" i="33"/>
  <c r="BJ6" i="33"/>
  <c r="BL6" i="33" s="1"/>
  <c r="BJ12" i="33"/>
  <c r="BL12" i="33" s="1"/>
  <c r="BH12" i="33"/>
  <c r="BH7" i="33"/>
  <c r="BJ7" i="33"/>
  <c r="BL7" i="33" s="1"/>
  <c r="BM2" i="33"/>
  <c r="BN6" i="33"/>
  <c r="BN2" i="33" s="1"/>
  <c r="AX2" i="33"/>
  <c r="F19" i="31"/>
  <c r="M19" i="31" s="1"/>
  <c r="BA12" i="33"/>
  <c r="BB12" i="33" s="1"/>
  <c r="O45" i="31"/>
  <c r="F16" i="31"/>
  <c r="M16" i="31" s="1"/>
  <c r="BA6" i="33"/>
  <c r="BB6" i="33" s="1"/>
  <c r="H45" i="31"/>
  <c r="H17" i="31"/>
  <c r="F24" i="31"/>
  <c r="H24" i="31" s="1"/>
  <c r="BA7" i="33"/>
  <c r="BB7" i="33" s="1"/>
  <c r="F88" i="12"/>
  <c r="G88" i="12"/>
  <c r="I88" i="12"/>
  <c r="J88" i="12"/>
  <c r="C88" i="12"/>
  <c r="D88" i="12"/>
  <c r="AR12" i="33"/>
  <c r="AR5" i="33"/>
  <c r="C86" i="12"/>
  <c r="D86" i="12"/>
  <c r="F86" i="12"/>
  <c r="G86" i="12"/>
  <c r="I86" i="12"/>
  <c r="J86" i="12"/>
  <c r="C85" i="12"/>
  <c r="F85" i="12"/>
  <c r="G85" i="12"/>
  <c r="D85" i="12"/>
  <c r="I85" i="12"/>
  <c r="J85" i="12"/>
  <c r="AQ2" i="33"/>
  <c r="AT13" i="33"/>
  <c r="AV13" i="33" s="1"/>
  <c r="AR7" i="33"/>
  <c r="AT48" i="33"/>
  <c r="AV48" i="33" s="1"/>
  <c r="AR40" i="33"/>
  <c r="AR63" i="33"/>
  <c r="AV6" i="33"/>
  <c r="AR6" i="33"/>
  <c r="AP4" i="33"/>
  <c r="AT4" i="33" s="1"/>
  <c r="AY4" i="33" s="1"/>
  <c r="F7" i="31" s="1"/>
  <c r="AR24" i="33"/>
  <c r="F87" i="12"/>
  <c r="G87" i="12"/>
  <c r="J87" i="12"/>
  <c r="I87" i="12"/>
  <c r="C87" i="12"/>
  <c r="D87" i="12"/>
  <c r="AI2" i="33"/>
  <c r="AK4" i="33"/>
  <c r="AL4" i="33" s="1"/>
  <c r="AL2" i="33" s="1"/>
  <c r="F155" i="12"/>
  <c r="J155" i="12"/>
  <c r="F156" i="12"/>
  <c r="J156" i="12"/>
  <c r="D155" i="12"/>
  <c r="I155" i="12"/>
  <c r="I156" i="12"/>
  <c r="C155" i="12"/>
  <c r="G155" i="12"/>
  <c r="C156" i="12"/>
  <c r="G156" i="12"/>
  <c r="D156" i="12"/>
  <c r="AV12" i="33"/>
  <c r="AZ4" i="33"/>
  <c r="G7" i="31" s="1"/>
  <c r="N7" i="31" s="1"/>
  <c r="AU2" i="33"/>
  <c r="AT8" i="33"/>
  <c r="AV8" i="33" s="1"/>
  <c r="AT15" i="33"/>
  <c r="AV63" i="33"/>
  <c r="AY63" i="33"/>
  <c r="BF63" i="33" s="1"/>
  <c r="AV5" i="33"/>
  <c r="AY5" i="33"/>
  <c r="BF5" i="33" s="1"/>
  <c r="AV40" i="33"/>
  <c r="AY40" i="33"/>
  <c r="BF40" i="33" s="1"/>
  <c r="AV24" i="33"/>
  <c r="AY24" i="33"/>
  <c r="BF24" i="33" s="1"/>
  <c r="AV7" i="33"/>
  <c r="J94" i="12"/>
  <c r="J102" i="12"/>
  <c r="J110" i="12"/>
  <c r="J118" i="12"/>
  <c r="J126" i="12"/>
  <c r="J134" i="12"/>
  <c r="J142" i="12"/>
  <c r="J150" i="12"/>
  <c r="J109" i="12"/>
  <c r="J95" i="12"/>
  <c r="J103" i="12"/>
  <c r="J111" i="12"/>
  <c r="J119" i="12"/>
  <c r="J127" i="12"/>
  <c r="J135" i="12"/>
  <c r="J143" i="12"/>
  <c r="J151" i="12"/>
  <c r="J125" i="12"/>
  <c r="J96" i="12"/>
  <c r="J104" i="12"/>
  <c r="J112" i="12"/>
  <c r="J120" i="12"/>
  <c r="J128" i="12"/>
  <c r="J136" i="12"/>
  <c r="J144" i="12"/>
  <c r="J152" i="12"/>
  <c r="J117" i="12"/>
  <c r="J97" i="12"/>
  <c r="J105" i="12"/>
  <c r="J113" i="12"/>
  <c r="J121" i="12"/>
  <c r="J129" i="12"/>
  <c r="J137" i="12"/>
  <c r="J145" i="12"/>
  <c r="J153" i="12"/>
  <c r="J116" i="12"/>
  <c r="J140" i="12"/>
  <c r="J148" i="12"/>
  <c r="J141" i="12"/>
  <c r="J98" i="12"/>
  <c r="J106" i="12"/>
  <c r="J114" i="12"/>
  <c r="J122" i="12"/>
  <c r="J130" i="12"/>
  <c r="J138" i="12"/>
  <c r="J146" i="12"/>
  <c r="J154" i="12"/>
  <c r="J108" i="12"/>
  <c r="J124" i="12"/>
  <c r="J132" i="12"/>
  <c r="J101" i="12"/>
  <c r="J149" i="12"/>
  <c r="J99" i="12"/>
  <c r="J107" i="12"/>
  <c r="J115" i="12"/>
  <c r="J123" i="12"/>
  <c r="J131" i="12"/>
  <c r="J139" i="12"/>
  <c r="J147" i="12"/>
  <c r="J100" i="12"/>
  <c r="J133" i="12"/>
  <c r="I94" i="12"/>
  <c r="I102" i="12"/>
  <c r="I110" i="12"/>
  <c r="I118" i="12"/>
  <c r="I126" i="12"/>
  <c r="I134" i="12"/>
  <c r="I142" i="12"/>
  <c r="I150" i="12"/>
  <c r="I115" i="12"/>
  <c r="I139" i="12"/>
  <c r="I147" i="12"/>
  <c r="I109" i="12"/>
  <c r="I95" i="12"/>
  <c r="I103" i="12"/>
  <c r="I111" i="12"/>
  <c r="I119" i="12"/>
  <c r="I127" i="12"/>
  <c r="I135" i="12"/>
  <c r="I143" i="12"/>
  <c r="I151" i="12"/>
  <c r="I131" i="12"/>
  <c r="I141" i="12"/>
  <c r="I96" i="12"/>
  <c r="I104" i="12"/>
  <c r="I112" i="12"/>
  <c r="I120" i="12"/>
  <c r="I128" i="12"/>
  <c r="I136" i="12"/>
  <c r="I144" i="12"/>
  <c r="I152" i="12"/>
  <c r="I123" i="12"/>
  <c r="I125" i="12"/>
  <c r="I97" i="12"/>
  <c r="I105" i="12"/>
  <c r="I113" i="12"/>
  <c r="I121" i="12"/>
  <c r="I129" i="12"/>
  <c r="I137" i="12"/>
  <c r="I145" i="12"/>
  <c r="I153" i="12"/>
  <c r="I107" i="12"/>
  <c r="I133" i="12"/>
  <c r="I98" i="12"/>
  <c r="I106" i="12"/>
  <c r="I114" i="12"/>
  <c r="I122" i="12"/>
  <c r="I130" i="12"/>
  <c r="I138" i="12"/>
  <c r="I146" i="12"/>
  <c r="I154" i="12"/>
  <c r="I99" i="12"/>
  <c r="I117" i="12"/>
  <c r="I149" i="12"/>
  <c r="I100" i="12"/>
  <c r="I108" i="12"/>
  <c r="I116" i="12"/>
  <c r="I124" i="12"/>
  <c r="I132" i="12"/>
  <c r="I140" i="12"/>
  <c r="I148" i="12"/>
  <c r="I101" i="12"/>
  <c r="G94" i="12"/>
  <c r="G102" i="12"/>
  <c r="G110" i="12"/>
  <c r="G118" i="12"/>
  <c r="G126" i="12"/>
  <c r="G134" i="12"/>
  <c r="G142" i="12"/>
  <c r="G150" i="12"/>
  <c r="G100" i="12"/>
  <c r="G148" i="12"/>
  <c r="G109" i="12"/>
  <c r="G149" i="12"/>
  <c r="G95" i="12"/>
  <c r="G103" i="12"/>
  <c r="G111" i="12"/>
  <c r="G119" i="12"/>
  <c r="G127" i="12"/>
  <c r="G135" i="12"/>
  <c r="G143" i="12"/>
  <c r="G151" i="12"/>
  <c r="G116" i="12"/>
  <c r="G125" i="12"/>
  <c r="G96" i="12"/>
  <c r="G104" i="12"/>
  <c r="G112" i="12"/>
  <c r="G120" i="12"/>
  <c r="G128" i="12"/>
  <c r="G136" i="12"/>
  <c r="G144" i="12"/>
  <c r="G152" i="12"/>
  <c r="G108" i="12"/>
  <c r="G140" i="12"/>
  <c r="G101" i="12"/>
  <c r="G141" i="12"/>
  <c r="G97" i="12"/>
  <c r="G105" i="12"/>
  <c r="G113" i="12"/>
  <c r="G121" i="12"/>
  <c r="G129" i="12"/>
  <c r="G137" i="12"/>
  <c r="G145" i="12"/>
  <c r="G153" i="12"/>
  <c r="G132" i="12"/>
  <c r="G133" i="12"/>
  <c r="G98" i="12"/>
  <c r="G106" i="12"/>
  <c r="G114" i="12"/>
  <c r="G122" i="12"/>
  <c r="G130" i="12"/>
  <c r="G138" i="12"/>
  <c r="G146" i="12"/>
  <c r="G154" i="12"/>
  <c r="G124" i="12"/>
  <c r="G117" i="12"/>
  <c r="G99" i="12"/>
  <c r="G107" i="12"/>
  <c r="G115" i="12"/>
  <c r="G123" i="12"/>
  <c r="G131" i="12"/>
  <c r="G139" i="12"/>
  <c r="G147" i="12"/>
  <c r="F94" i="12"/>
  <c r="F102" i="12"/>
  <c r="F110" i="12"/>
  <c r="F118" i="12"/>
  <c r="F126" i="12"/>
  <c r="F134" i="12"/>
  <c r="F142" i="12"/>
  <c r="F150" i="12"/>
  <c r="F123" i="12"/>
  <c r="F116" i="12"/>
  <c r="F117" i="12"/>
  <c r="F149" i="12"/>
  <c r="F95" i="12"/>
  <c r="F103" i="12"/>
  <c r="F111" i="12"/>
  <c r="F119" i="12"/>
  <c r="F127" i="12"/>
  <c r="F135" i="12"/>
  <c r="F143" i="12"/>
  <c r="F151" i="12"/>
  <c r="F139" i="12"/>
  <c r="F140" i="12"/>
  <c r="F125" i="12"/>
  <c r="F96" i="12"/>
  <c r="F104" i="12"/>
  <c r="F112" i="12"/>
  <c r="F120" i="12"/>
  <c r="F128" i="12"/>
  <c r="F136" i="12"/>
  <c r="F144" i="12"/>
  <c r="F152" i="12"/>
  <c r="F115" i="12"/>
  <c r="F132" i="12"/>
  <c r="F133" i="12"/>
  <c r="F97" i="12"/>
  <c r="F105" i="12"/>
  <c r="F113" i="12"/>
  <c r="F121" i="12"/>
  <c r="F129" i="12"/>
  <c r="F137" i="12"/>
  <c r="F145" i="12"/>
  <c r="F153" i="12"/>
  <c r="F131" i="12"/>
  <c r="F124" i="12"/>
  <c r="F148" i="12"/>
  <c r="F98" i="12"/>
  <c r="F106" i="12"/>
  <c r="F114" i="12"/>
  <c r="F122" i="12"/>
  <c r="F130" i="12"/>
  <c r="F138" i="12"/>
  <c r="F146" i="12"/>
  <c r="F154" i="12"/>
  <c r="F107" i="12"/>
  <c r="F147" i="12"/>
  <c r="F108" i="12"/>
  <c r="F109" i="12"/>
  <c r="F141" i="12"/>
  <c r="F99" i="12"/>
  <c r="F100" i="12"/>
  <c r="F101" i="12"/>
  <c r="D94" i="12"/>
  <c r="D102" i="12"/>
  <c r="D110" i="12"/>
  <c r="D118" i="12"/>
  <c r="D126" i="12"/>
  <c r="D134" i="12"/>
  <c r="D142" i="12"/>
  <c r="D150" i="12"/>
  <c r="D114" i="12"/>
  <c r="D99" i="12"/>
  <c r="D131" i="12"/>
  <c r="D147" i="12"/>
  <c r="D108" i="12"/>
  <c r="D148" i="12"/>
  <c r="D125" i="12"/>
  <c r="D95" i="12"/>
  <c r="D103" i="12"/>
  <c r="D111" i="12"/>
  <c r="D119" i="12"/>
  <c r="D127" i="12"/>
  <c r="D135" i="12"/>
  <c r="D143" i="12"/>
  <c r="D151" i="12"/>
  <c r="D122" i="12"/>
  <c r="D154" i="12"/>
  <c r="D107" i="12"/>
  <c r="D117" i="12"/>
  <c r="D149" i="12"/>
  <c r="D96" i="12"/>
  <c r="D104" i="12"/>
  <c r="D112" i="12"/>
  <c r="D120" i="12"/>
  <c r="D128" i="12"/>
  <c r="D136" i="12"/>
  <c r="D144" i="12"/>
  <c r="D152" i="12"/>
  <c r="D106" i="12"/>
  <c r="D130" i="12"/>
  <c r="D138" i="12"/>
  <c r="D146" i="12"/>
  <c r="D115" i="12"/>
  <c r="D139" i="12"/>
  <c r="D100" i="12"/>
  <c r="D132" i="12"/>
  <c r="D140" i="12"/>
  <c r="D101" i="12"/>
  <c r="D97" i="12"/>
  <c r="D105" i="12"/>
  <c r="D113" i="12"/>
  <c r="D121" i="12"/>
  <c r="D129" i="12"/>
  <c r="D137" i="12"/>
  <c r="D145" i="12"/>
  <c r="D153" i="12"/>
  <c r="D98" i="12"/>
  <c r="D123" i="12"/>
  <c r="D116" i="12"/>
  <c r="D133" i="12"/>
  <c r="D124" i="12"/>
  <c r="D109" i="12"/>
  <c r="D141" i="12"/>
  <c r="C94" i="12"/>
  <c r="C102" i="12"/>
  <c r="C110" i="12"/>
  <c r="C118" i="12"/>
  <c r="C126" i="12"/>
  <c r="C134" i="12"/>
  <c r="C142" i="12"/>
  <c r="C150" i="12"/>
  <c r="C133" i="12"/>
  <c r="C95" i="12"/>
  <c r="C103" i="12"/>
  <c r="C111" i="12"/>
  <c r="C119" i="12"/>
  <c r="C127" i="12"/>
  <c r="C135" i="12"/>
  <c r="C143" i="12"/>
  <c r="C151" i="12"/>
  <c r="C125" i="12"/>
  <c r="C96" i="12"/>
  <c r="C104" i="12"/>
  <c r="C112" i="12"/>
  <c r="C120" i="12"/>
  <c r="C128" i="12"/>
  <c r="C136" i="12"/>
  <c r="C144" i="12"/>
  <c r="C152" i="12"/>
  <c r="C141" i="12"/>
  <c r="C97" i="12"/>
  <c r="C105" i="12"/>
  <c r="C113" i="12"/>
  <c r="C121" i="12"/>
  <c r="C129" i="12"/>
  <c r="C137" i="12"/>
  <c r="C145" i="12"/>
  <c r="C153" i="12"/>
  <c r="C149" i="12"/>
  <c r="C98" i="12"/>
  <c r="C106" i="12"/>
  <c r="C114" i="12"/>
  <c r="C122" i="12"/>
  <c r="C130" i="12"/>
  <c r="C138" i="12"/>
  <c r="C146" i="12"/>
  <c r="C154" i="12"/>
  <c r="C109" i="12"/>
  <c r="C99" i="12"/>
  <c r="C107" i="12"/>
  <c r="C115" i="12"/>
  <c r="C123" i="12"/>
  <c r="C131" i="12"/>
  <c r="C139" i="12"/>
  <c r="C147" i="12"/>
  <c r="C117" i="12"/>
  <c r="C100" i="12"/>
  <c r="C108" i="12"/>
  <c r="C116" i="12"/>
  <c r="C124" i="12"/>
  <c r="C132" i="12"/>
  <c r="C140" i="12"/>
  <c r="C148" i="12"/>
  <c r="C101" i="12"/>
  <c r="C51" i="12"/>
  <c r="J52" i="12"/>
  <c r="I53" i="12"/>
  <c r="G55" i="12"/>
  <c r="F56" i="12"/>
  <c r="D58" i="12"/>
  <c r="C59" i="12"/>
  <c r="J60" i="12"/>
  <c r="I61" i="12"/>
  <c r="G63" i="12"/>
  <c r="F64" i="12"/>
  <c r="D66" i="12"/>
  <c r="C67" i="12"/>
  <c r="J68" i="12"/>
  <c r="I69" i="12"/>
  <c r="G71" i="12"/>
  <c r="F72" i="12"/>
  <c r="D74" i="12"/>
  <c r="C75" i="12"/>
  <c r="J76" i="12"/>
  <c r="F52" i="12"/>
  <c r="G59" i="12"/>
  <c r="C63" i="12"/>
  <c r="I65" i="12"/>
  <c r="F68" i="12"/>
  <c r="C71" i="12"/>
  <c r="F61" i="12"/>
  <c r="F69" i="12"/>
  <c r="C72" i="12"/>
  <c r="I74" i="12"/>
  <c r="D51" i="12"/>
  <c r="C52" i="12"/>
  <c r="J53" i="12"/>
  <c r="I54" i="12"/>
  <c r="G56" i="12"/>
  <c r="F57" i="12"/>
  <c r="D59" i="12"/>
  <c r="C60" i="12"/>
  <c r="J61" i="12"/>
  <c r="I62" i="12"/>
  <c r="G64" i="12"/>
  <c r="F65" i="12"/>
  <c r="D67" i="12"/>
  <c r="C68" i="12"/>
  <c r="J69" i="12"/>
  <c r="I70" i="12"/>
  <c r="G72" i="12"/>
  <c r="F73" i="12"/>
  <c r="D75" i="12"/>
  <c r="C76" i="12"/>
  <c r="D54" i="12"/>
  <c r="F76" i="12"/>
  <c r="F53" i="12"/>
  <c r="I66" i="12"/>
  <c r="D52" i="12"/>
  <c r="C53" i="12"/>
  <c r="J54" i="12"/>
  <c r="I55" i="12"/>
  <c r="G57" i="12"/>
  <c r="F58" i="12"/>
  <c r="D60" i="12"/>
  <c r="C61" i="12"/>
  <c r="J62" i="12"/>
  <c r="I63" i="12"/>
  <c r="G65" i="12"/>
  <c r="F66" i="12"/>
  <c r="D68" i="12"/>
  <c r="C69" i="12"/>
  <c r="J70" i="12"/>
  <c r="I71" i="12"/>
  <c r="G73" i="12"/>
  <c r="F74" i="12"/>
  <c r="D76" i="12"/>
  <c r="J64" i="12"/>
  <c r="I73" i="12"/>
  <c r="J57" i="12"/>
  <c r="C64" i="12"/>
  <c r="F51" i="12"/>
  <c r="D53" i="12"/>
  <c r="C54" i="12"/>
  <c r="J55" i="12"/>
  <c r="I56" i="12"/>
  <c r="G58" i="12"/>
  <c r="F59" i="12"/>
  <c r="D61" i="12"/>
  <c r="C62" i="12"/>
  <c r="J63" i="12"/>
  <c r="I64" i="12"/>
  <c r="G66" i="12"/>
  <c r="F67" i="12"/>
  <c r="D69" i="12"/>
  <c r="C70" i="12"/>
  <c r="J71" i="12"/>
  <c r="I72" i="12"/>
  <c r="G74" i="12"/>
  <c r="F75" i="12"/>
  <c r="G51" i="12"/>
  <c r="C55" i="12"/>
  <c r="J56" i="12"/>
  <c r="I57" i="12"/>
  <c r="F60" i="12"/>
  <c r="D62" i="12"/>
  <c r="G67" i="12"/>
  <c r="D70" i="12"/>
  <c r="J72" i="12"/>
  <c r="G75" i="12"/>
  <c r="G52" i="12"/>
  <c r="D55" i="12"/>
  <c r="C56" i="12"/>
  <c r="I58" i="12"/>
  <c r="G60" i="12"/>
  <c r="D63" i="12"/>
  <c r="J65" i="12"/>
  <c r="G68" i="12"/>
  <c r="D71" i="12"/>
  <c r="J73" i="12"/>
  <c r="G76" i="12"/>
  <c r="I51" i="12"/>
  <c r="G53" i="12"/>
  <c r="F54" i="12"/>
  <c r="D56" i="12"/>
  <c r="C57" i="12"/>
  <c r="J58" i="12"/>
  <c r="I59" i="12"/>
  <c r="G61" i="12"/>
  <c r="F62" i="12"/>
  <c r="D64" i="12"/>
  <c r="C65" i="12"/>
  <c r="J66" i="12"/>
  <c r="I67" i="12"/>
  <c r="G69" i="12"/>
  <c r="F70" i="12"/>
  <c r="D72" i="12"/>
  <c r="C73" i="12"/>
  <c r="J74" i="12"/>
  <c r="I75" i="12"/>
  <c r="J51" i="12"/>
  <c r="I52" i="12"/>
  <c r="G54" i="12"/>
  <c r="F55" i="12"/>
  <c r="D57" i="12"/>
  <c r="C58" i="12"/>
  <c r="J59" i="12"/>
  <c r="I60" i="12"/>
  <c r="G62" i="12"/>
  <c r="F63" i="12"/>
  <c r="D65" i="12"/>
  <c r="C66" i="12"/>
  <c r="J67" i="12"/>
  <c r="I68" i="12"/>
  <c r="G70" i="12"/>
  <c r="F71" i="12"/>
  <c r="D73" i="12"/>
  <c r="C74" i="12"/>
  <c r="J75" i="12"/>
  <c r="I76" i="12"/>
  <c r="C25" i="12"/>
  <c r="J26" i="12"/>
  <c r="I27" i="12"/>
  <c r="G29" i="12"/>
  <c r="F30" i="12"/>
  <c r="D32" i="12"/>
  <c r="C33" i="12"/>
  <c r="J34" i="12"/>
  <c r="I35" i="12"/>
  <c r="G37" i="12"/>
  <c r="F38" i="12"/>
  <c r="D40" i="12"/>
  <c r="C41" i="12"/>
  <c r="J42" i="12"/>
  <c r="I43" i="12"/>
  <c r="G45" i="12"/>
  <c r="F46" i="12"/>
  <c r="D48" i="12"/>
  <c r="C49" i="12"/>
  <c r="J50" i="12"/>
  <c r="D25" i="12"/>
  <c r="C26" i="12"/>
  <c r="J27" i="12"/>
  <c r="I28" i="12"/>
  <c r="G30" i="12"/>
  <c r="F31" i="12"/>
  <c r="D33" i="12"/>
  <c r="C34" i="12"/>
  <c r="J35" i="12"/>
  <c r="I36" i="12"/>
  <c r="G38" i="12"/>
  <c r="F39" i="12"/>
  <c r="D41" i="12"/>
  <c r="C42" i="12"/>
  <c r="J43" i="12"/>
  <c r="I44" i="12"/>
  <c r="G46" i="12"/>
  <c r="F47" i="12"/>
  <c r="D49" i="12"/>
  <c r="C50" i="12"/>
  <c r="D45" i="12"/>
  <c r="D26" i="12"/>
  <c r="C27" i="12"/>
  <c r="J28" i="12"/>
  <c r="I29" i="12"/>
  <c r="G31" i="12"/>
  <c r="F32" i="12"/>
  <c r="D34" i="12"/>
  <c r="C35" i="12"/>
  <c r="J36" i="12"/>
  <c r="I37" i="12"/>
  <c r="G39" i="12"/>
  <c r="F40" i="12"/>
  <c r="D42" i="12"/>
  <c r="C43" i="12"/>
  <c r="J44" i="12"/>
  <c r="I45" i="12"/>
  <c r="G47" i="12"/>
  <c r="F48" i="12"/>
  <c r="D50" i="12"/>
  <c r="F25" i="12"/>
  <c r="D27" i="12"/>
  <c r="C28" i="12"/>
  <c r="J29" i="12"/>
  <c r="I30" i="12"/>
  <c r="G32" i="12"/>
  <c r="F33" i="12"/>
  <c r="D35" i="12"/>
  <c r="C36" i="12"/>
  <c r="J37" i="12"/>
  <c r="I38" i="12"/>
  <c r="G40" i="12"/>
  <c r="F41" i="12"/>
  <c r="D43" i="12"/>
  <c r="C44" i="12"/>
  <c r="J45" i="12"/>
  <c r="I46" i="12"/>
  <c r="G48" i="12"/>
  <c r="F49" i="12"/>
  <c r="F27" i="12"/>
  <c r="D29" i="12"/>
  <c r="C30" i="12"/>
  <c r="I32" i="12"/>
  <c r="F35" i="12"/>
  <c r="D37" i="12"/>
  <c r="C38" i="12"/>
  <c r="J39" i="12"/>
  <c r="I40" i="12"/>
  <c r="G42" i="12"/>
  <c r="F43" i="12"/>
  <c r="C46" i="12"/>
  <c r="I48" i="12"/>
  <c r="G50" i="12"/>
  <c r="G25" i="12"/>
  <c r="F26" i="12"/>
  <c r="D28" i="12"/>
  <c r="C29" i="12"/>
  <c r="J30" i="12"/>
  <c r="I31" i="12"/>
  <c r="G33" i="12"/>
  <c r="F34" i="12"/>
  <c r="D36" i="12"/>
  <c r="C37" i="12"/>
  <c r="J38" i="12"/>
  <c r="I39" i="12"/>
  <c r="G41" i="12"/>
  <c r="F42" i="12"/>
  <c r="D44" i="12"/>
  <c r="C45" i="12"/>
  <c r="J46" i="12"/>
  <c r="I47" i="12"/>
  <c r="G49" i="12"/>
  <c r="F50" i="12"/>
  <c r="G26" i="12"/>
  <c r="J31" i="12"/>
  <c r="G34" i="12"/>
  <c r="J47" i="12"/>
  <c r="I25" i="12"/>
  <c r="G27" i="12"/>
  <c r="F28" i="12"/>
  <c r="D30" i="12"/>
  <c r="C31" i="12"/>
  <c r="J32" i="12"/>
  <c r="I33" i="12"/>
  <c r="G35" i="12"/>
  <c r="F36" i="12"/>
  <c r="D38" i="12"/>
  <c r="C39" i="12"/>
  <c r="J40" i="12"/>
  <c r="I41" i="12"/>
  <c r="G43" i="12"/>
  <c r="F44" i="12"/>
  <c r="D46" i="12"/>
  <c r="C47" i="12"/>
  <c r="J48" i="12"/>
  <c r="I49" i="12"/>
  <c r="J25" i="12"/>
  <c r="I26" i="12"/>
  <c r="G28" i="12"/>
  <c r="F29" i="12"/>
  <c r="D31" i="12"/>
  <c r="C32" i="12"/>
  <c r="J33" i="12"/>
  <c r="I34" i="12"/>
  <c r="G36" i="12"/>
  <c r="F37" i="12"/>
  <c r="D39" i="12"/>
  <c r="C40" i="12"/>
  <c r="J41" i="12"/>
  <c r="I42" i="12"/>
  <c r="G44" i="12"/>
  <c r="F45" i="12"/>
  <c r="D47" i="12"/>
  <c r="C48" i="12"/>
  <c r="J49" i="12"/>
  <c r="I50" i="12"/>
  <c r="I24" i="12"/>
  <c r="J24" i="12"/>
  <c r="F24" i="12"/>
  <c r="G24" i="12"/>
  <c r="C24" i="12"/>
  <c r="D24" i="12"/>
  <c r="J14" i="12"/>
  <c r="J15" i="12"/>
  <c r="J16" i="12"/>
  <c r="J17" i="12"/>
  <c r="J18" i="12"/>
  <c r="I14" i="12"/>
  <c r="I15" i="12"/>
  <c r="I16" i="12"/>
  <c r="I17" i="12"/>
  <c r="I18" i="12"/>
  <c r="G14" i="12"/>
  <c r="G15" i="12"/>
  <c r="G16" i="12"/>
  <c r="G17" i="12"/>
  <c r="G18" i="12"/>
  <c r="F14" i="12"/>
  <c r="F15" i="12"/>
  <c r="F16" i="12"/>
  <c r="F17" i="12"/>
  <c r="F18" i="12"/>
  <c r="D14" i="12"/>
  <c r="D15" i="12"/>
  <c r="D16" i="12"/>
  <c r="D17" i="12"/>
  <c r="D18" i="12"/>
  <c r="J8" i="12"/>
  <c r="C14" i="12"/>
  <c r="C15" i="12"/>
  <c r="C16" i="12"/>
  <c r="C17" i="12"/>
  <c r="C18" i="12"/>
  <c r="J7" i="12"/>
  <c r="G7" i="12"/>
  <c r="G8" i="12"/>
  <c r="I7" i="12"/>
  <c r="I8" i="12"/>
  <c r="F7" i="12"/>
  <c r="F8" i="12"/>
  <c r="C7" i="12"/>
  <c r="C8" i="12"/>
  <c r="I92" i="12"/>
  <c r="C92" i="12"/>
  <c r="F92" i="12" s="1"/>
  <c r="D84" i="12"/>
  <c r="F82" i="12"/>
  <c r="G81" i="12"/>
  <c r="I79" i="12"/>
  <c r="J78" i="12"/>
  <c r="C77" i="12"/>
  <c r="C84" i="12"/>
  <c r="D83" i="12"/>
  <c r="F81" i="12"/>
  <c r="G80" i="12"/>
  <c r="I78" i="12"/>
  <c r="J77" i="12"/>
  <c r="J84" i="12"/>
  <c r="C83" i="12"/>
  <c r="D82" i="12"/>
  <c r="F80" i="12"/>
  <c r="G79" i="12"/>
  <c r="I77" i="12"/>
  <c r="I84" i="12"/>
  <c r="J83" i="12"/>
  <c r="C82" i="12"/>
  <c r="D81" i="12"/>
  <c r="F79" i="12"/>
  <c r="G78" i="12"/>
  <c r="I22" i="12"/>
  <c r="I83" i="12"/>
  <c r="J82" i="12"/>
  <c r="C81" i="12"/>
  <c r="D80" i="12"/>
  <c r="F78" i="12"/>
  <c r="G77" i="12"/>
  <c r="F84" i="12"/>
  <c r="G83" i="12"/>
  <c r="I81" i="12"/>
  <c r="J80" i="12"/>
  <c r="C79" i="12"/>
  <c r="D78" i="12"/>
  <c r="J81" i="12"/>
  <c r="C78" i="12"/>
  <c r="G84" i="12"/>
  <c r="F77" i="12"/>
  <c r="C22" i="12"/>
  <c r="F22" i="12" s="1"/>
  <c r="I80" i="12"/>
  <c r="D77" i="12"/>
  <c r="C80" i="12"/>
  <c r="F83" i="12"/>
  <c r="J79" i="12"/>
  <c r="I82" i="12"/>
  <c r="D79" i="12"/>
  <c r="G82" i="12"/>
  <c r="C12" i="12"/>
  <c r="F12" i="12" s="1"/>
  <c r="I12" i="12"/>
  <c r="AL7" i="31" l="1"/>
  <c r="AL67" i="31"/>
  <c r="AL19" i="31"/>
  <c r="AL55" i="31"/>
  <c r="AL16" i="31"/>
  <c r="AL58" i="31"/>
  <c r="AL3" i="31"/>
  <c r="AL40" i="31"/>
  <c r="AL11" i="31"/>
  <c r="AL52" i="31"/>
  <c r="AL5" i="31"/>
  <c r="AL49" i="31"/>
  <c r="AL4" i="31"/>
  <c r="AL29" i="31"/>
  <c r="AL23" i="31"/>
  <c r="AL57" i="31"/>
  <c r="G1" i="31"/>
  <c r="BJ24" i="33"/>
  <c r="BL24" i="33" s="1"/>
  <c r="BH24" i="33"/>
  <c r="BJ40" i="33"/>
  <c r="BL40" i="33" s="1"/>
  <c r="BH40" i="33"/>
  <c r="AZ2" i="33"/>
  <c r="BG4" i="33"/>
  <c r="BH5" i="33"/>
  <c r="BJ5" i="33"/>
  <c r="BL5" i="33" s="1"/>
  <c r="BA4" i="33"/>
  <c r="BB4" i="33" s="1"/>
  <c r="BF4" i="33"/>
  <c r="BH63" i="33"/>
  <c r="BJ63" i="33"/>
  <c r="BL63" i="33" s="1"/>
  <c r="H19" i="31"/>
  <c r="H16" i="31"/>
  <c r="O16" i="31"/>
  <c r="F36" i="31"/>
  <c r="H36" i="31" s="1"/>
  <c r="BA40" i="33"/>
  <c r="BB40" i="33" s="1"/>
  <c r="M24" i="31"/>
  <c r="O19" i="31"/>
  <c r="F3" i="31"/>
  <c r="M3" i="31" s="1"/>
  <c r="O3" i="31" s="1"/>
  <c r="BA63" i="33"/>
  <c r="BB63" i="33" s="1"/>
  <c r="F37" i="31"/>
  <c r="M37" i="31" s="1"/>
  <c r="O37" i="31" s="1"/>
  <c r="BA5" i="33"/>
  <c r="BB5" i="33" s="1"/>
  <c r="F25" i="31"/>
  <c r="M25" i="31" s="1"/>
  <c r="O25" i="31" s="1"/>
  <c r="BA24" i="33"/>
  <c r="BB24" i="33" s="1"/>
  <c r="E88" i="12"/>
  <c r="J89" i="12"/>
  <c r="I89" i="12"/>
  <c r="D89" i="12"/>
  <c r="K88" i="12"/>
  <c r="C89" i="12"/>
  <c r="G89" i="12"/>
  <c r="H88" i="12"/>
  <c r="F89" i="12"/>
  <c r="H155" i="12"/>
  <c r="E86" i="12"/>
  <c r="AP2" i="33"/>
  <c r="K86" i="12"/>
  <c r="H86" i="12"/>
  <c r="K85" i="12"/>
  <c r="H85" i="12"/>
  <c r="E85" i="12"/>
  <c r="AY48" i="33"/>
  <c r="BF48" i="33" s="1"/>
  <c r="AR4" i="33"/>
  <c r="AR2" i="33" s="1"/>
  <c r="AK2" i="33"/>
  <c r="AV4" i="33"/>
  <c r="AY13" i="33"/>
  <c r="BF13" i="33" s="1"/>
  <c r="H7" i="31"/>
  <c r="M7" i="31"/>
  <c r="N1" i="31"/>
  <c r="E87" i="12"/>
  <c r="K87" i="12"/>
  <c r="H87" i="12"/>
  <c r="H156" i="12"/>
  <c r="E156" i="12"/>
  <c r="G157" i="12"/>
  <c r="C157" i="12"/>
  <c r="E155" i="12"/>
  <c r="J157" i="12"/>
  <c r="K156" i="12"/>
  <c r="F157" i="12"/>
  <c r="K155" i="12"/>
  <c r="D157" i="12"/>
  <c r="I157" i="12"/>
  <c r="AY8" i="33"/>
  <c r="BF8" i="33" s="1"/>
  <c r="AT2" i="33"/>
  <c r="AV15" i="33"/>
  <c r="AY15" i="33"/>
  <c r="BF15" i="33" s="1"/>
  <c r="K32" i="12"/>
  <c r="K31" i="12"/>
  <c r="E62" i="12"/>
  <c r="E72" i="12"/>
  <c r="E71" i="12"/>
  <c r="E70" i="12"/>
  <c r="H69" i="12"/>
  <c r="H76" i="12"/>
  <c r="H72" i="12"/>
  <c r="K61" i="12"/>
  <c r="E51" i="12"/>
  <c r="H52" i="12"/>
  <c r="E67" i="12"/>
  <c r="H56" i="12"/>
  <c r="H68" i="12"/>
  <c r="E38" i="12"/>
  <c r="K56" i="12"/>
  <c r="K47" i="12"/>
  <c r="H66" i="12"/>
  <c r="K55" i="12"/>
  <c r="E76" i="12"/>
  <c r="H65" i="12"/>
  <c r="K54" i="12"/>
  <c r="E75" i="12"/>
  <c r="H64" i="12"/>
  <c r="K53" i="12"/>
  <c r="H34" i="12"/>
  <c r="E44" i="12"/>
  <c r="H33" i="12"/>
  <c r="K45" i="12"/>
  <c r="E35" i="12"/>
  <c r="E63" i="12"/>
  <c r="K43" i="12"/>
  <c r="E33" i="12"/>
  <c r="H67" i="12"/>
  <c r="H26" i="12"/>
  <c r="H41" i="12"/>
  <c r="K30" i="12"/>
  <c r="E43" i="12"/>
  <c r="H32" i="12"/>
  <c r="H47" i="12"/>
  <c r="K36" i="12"/>
  <c r="E26" i="12"/>
  <c r="E47" i="12"/>
  <c r="H36" i="12"/>
  <c r="K25" i="12"/>
  <c r="H61" i="12"/>
  <c r="H49" i="12"/>
  <c r="K38" i="12"/>
  <c r="E28" i="12"/>
  <c r="K73" i="12"/>
  <c r="E55" i="12"/>
  <c r="H43" i="12"/>
  <c r="H70" i="12"/>
  <c r="K59" i="12"/>
  <c r="K74" i="12"/>
  <c r="E64" i="12"/>
  <c r="H53" i="12"/>
  <c r="H60" i="12"/>
  <c r="K71" i="12"/>
  <c r="E61" i="12"/>
  <c r="K70" i="12"/>
  <c r="E60" i="12"/>
  <c r="E30" i="12"/>
  <c r="H40" i="12"/>
  <c r="K29" i="12"/>
  <c r="K58" i="12"/>
  <c r="E69" i="12"/>
  <c r="H58" i="12"/>
  <c r="E68" i="12"/>
  <c r="H57" i="12"/>
  <c r="K46" i="12"/>
  <c r="E36" i="12"/>
  <c r="H25" i="12"/>
  <c r="E42" i="12"/>
  <c r="H31" i="12"/>
  <c r="E25" i="12"/>
  <c r="E73" i="12"/>
  <c r="H62" i="12"/>
  <c r="K51" i="12"/>
  <c r="K66" i="12"/>
  <c r="E56" i="12"/>
  <c r="K72" i="12"/>
  <c r="H51" i="12"/>
  <c r="K60" i="12"/>
  <c r="H74" i="12"/>
  <c r="H59" i="12"/>
  <c r="K68" i="12"/>
  <c r="E58" i="12"/>
  <c r="K62" i="12"/>
  <c r="E41" i="12"/>
  <c r="H30" i="12"/>
  <c r="K67" i="12"/>
  <c r="E57" i="12"/>
  <c r="K69" i="12"/>
  <c r="E59" i="12"/>
  <c r="H73" i="12"/>
  <c r="E52" i="12"/>
  <c r="K44" i="12"/>
  <c r="E34" i="12"/>
  <c r="K57" i="12"/>
  <c r="K76" i="12"/>
  <c r="E66" i="12"/>
  <c r="H55" i="12"/>
  <c r="H71" i="12"/>
  <c r="K63" i="12"/>
  <c r="H44" i="12"/>
  <c r="K33" i="12"/>
  <c r="K48" i="12"/>
  <c r="E49" i="12"/>
  <c r="H38" i="12"/>
  <c r="K27" i="12"/>
  <c r="K75" i="12"/>
  <c r="E65" i="12"/>
  <c r="H54" i="12"/>
  <c r="E54" i="12"/>
  <c r="E53" i="12"/>
  <c r="H48" i="12"/>
  <c r="K37" i="12"/>
  <c r="E27" i="12"/>
  <c r="H75" i="12"/>
  <c r="K64" i="12"/>
  <c r="E74" i="12"/>
  <c r="H63" i="12"/>
  <c r="K52" i="12"/>
  <c r="E46" i="12"/>
  <c r="H35" i="12"/>
  <c r="K65" i="12"/>
  <c r="H45" i="12"/>
  <c r="H27" i="12"/>
  <c r="K39" i="12"/>
  <c r="K42" i="12"/>
  <c r="E32" i="12"/>
  <c r="K34" i="12"/>
  <c r="K41" i="12"/>
  <c r="E31" i="12"/>
  <c r="H50" i="12"/>
  <c r="E37" i="12"/>
  <c r="H46" i="12"/>
  <c r="K35" i="12"/>
  <c r="E50" i="12"/>
  <c r="H39" i="12"/>
  <c r="K28" i="12"/>
  <c r="K50" i="12"/>
  <c r="E40" i="12"/>
  <c r="H29" i="12"/>
  <c r="K49" i="12"/>
  <c r="E39" i="12"/>
  <c r="H28" i="12"/>
  <c r="E48" i="12"/>
  <c r="H37" i="12"/>
  <c r="K26" i="12"/>
  <c r="K40" i="12"/>
  <c r="H42" i="12"/>
  <c r="E29" i="12"/>
  <c r="E45" i="12"/>
  <c r="K108" i="12"/>
  <c r="E24" i="12"/>
  <c r="K113" i="12"/>
  <c r="H82" i="12"/>
  <c r="E111" i="12"/>
  <c r="H127" i="12"/>
  <c r="H138" i="12"/>
  <c r="H152" i="12"/>
  <c r="K100" i="12"/>
  <c r="E131" i="12"/>
  <c r="K141" i="12"/>
  <c r="E114" i="12"/>
  <c r="E122" i="12"/>
  <c r="K124" i="12"/>
  <c r="H103" i="12"/>
  <c r="E130" i="12"/>
  <c r="H111" i="12"/>
  <c r="H136" i="12"/>
  <c r="H100" i="12"/>
  <c r="E98" i="12"/>
  <c r="H119" i="12"/>
  <c r="K24" i="12"/>
  <c r="K151" i="12"/>
  <c r="K109" i="12"/>
  <c r="E103" i="12"/>
  <c r="K117" i="12"/>
  <c r="K119" i="12"/>
  <c r="H130" i="12"/>
  <c r="K142" i="12"/>
  <c r="K137" i="12"/>
  <c r="K96" i="12"/>
  <c r="K105" i="12"/>
  <c r="K149" i="12"/>
  <c r="E95" i="12"/>
  <c r="H98" i="12"/>
  <c r="K128" i="12"/>
  <c r="E139" i="12"/>
  <c r="H107" i="12"/>
  <c r="E124" i="12"/>
  <c r="H139" i="12"/>
  <c r="K138" i="12"/>
  <c r="E79" i="12"/>
  <c r="K79" i="12"/>
  <c r="E147" i="12"/>
  <c r="E123" i="12"/>
  <c r="E106" i="12"/>
  <c r="K111" i="12"/>
  <c r="K143" i="12"/>
  <c r="K120" i="12"/>
  <c r="K152" i="12"/>
  <c r="K107" i="12"/>
  <c r="K139" i="12"/>
  <c r="K101" i="12"/>
  <c r="K106" i="12"/>
  <c r="K98" i="12"/>
  <c r="K130" i="12"/>
  <c r="K148" i="12"/>
  <c r="K133" i="12"/>
  <c r="H108" i="12"/>
  <c r="K110" i="12"/>
  <c r="K150" i="12"/>
  <c r="K103" i="12"/>
  <c r="K135" i="12"/>
  <c r="H146" i="12"/>
  <c r="K112" i="12"/>
  <c r="K144" i="12"/>
  <c r="K145" i="12"/>
  <c r="K129" i="12"/>
  <c r="K99" i="12"/>
  <c r="K131" i="12"/>
  <c r="K102" i="12"/>
  <c r="K134" i="12"/>
  <c r="K121" i="12"/>
  <c r="K122" i="12"/>
  <c r="K154" i="12"/>
  <c r="K140" i="12"/>
  <c r="K115" i="12"/>
  <c r="H95" i="12"/>
  <c r="K94" i="12"/>
  <c r="K116" i="12"/>
  <c r="K95" i="12"/>
  <c r="K127" i="12"/>
  <c r="K104" i="12"/>
  <c r="K136" i="12"/>
  <c r="K123" i="12"/>
  <c r="K125" i="12"/>
  <c r="K147" i="12"/>
  <c r="E14" i="12"/>
  <c r="K126" i="12"/>
  <c r="K97" i="12"/>
  <c r="K118" i="12"/>
  <c r="K153" i="12"/>
  <c r="K114" i="12"/>
  <c r="K146" i="12"/>
  <c r="K132" i="12"/>
  <c r="H128" i="12"/>
  <c r="H140" i="12"/>
  <c r="H117" i="12"/>
  <c r="H149" i="12"/>
  <c r="H135" i="12"/>
  <c r="H120" i="12"/>
  <c r="H105" i="12"/>
  <c r="H145" i="12"/>
  <c r="H122" i="12"/>
  <c r="H154" i="12"/>
  <c r="H99" i="12"/>
  <c r="H131" i="12"/>
  <c r="H124" i="12"/>
  <c r="H118" i="12"/>
  <c r="H150" i="12"/>
  <c r="H121" i="12"/>
  <c r="H144" i="12"/>
  <c r="H129" i="12"/>
  <c r="H109" i="12"/>
  <c r="H141" i="12"/>
  <c r="H126" i="12"/>
  <c r="H97" i="12"/>
  <c r="H114" i="12"/>
  <c r="H153" i="12"/>
  <c r="H123" i="12"/>
  <c r="H110" i="12"/>
  <c r="H142" i="12"/>
  <c r="H94" i="12"/>
  <c r="H112" i="12"/>
  <c r="H96" i="12"/>
  <c r="H101" i="12"/>
  <c r="H133" i="12"/>
  <c r="H132" i="12"/>
  <c r="H151" i="12"/>
  <c r="H106" i="12"/>
  <c r="H115" i="12"/>
  <c r="H147" i="12"/>
  <c r="H148" i="12"/>
  <c r="H116" i="12"/>
  <c r="H102" i="12"/>
  <c r="H134" i="12"/>
  <c r="H104" i="12"/>
  <c r="H113" i="12"/>
  <c r="H137" i="12"/>
  <c r="H125" i="12"/>
  <c r="H143" i="12"/>
  <c r="H16" i="12"/>
  <c r="E94" i="12"/>
  <c r="E16" i="12"/>
  <c r="E109" i="12"/>
  <c r="E118" i="12"/>
  <c r="E150" i="12"/>
  <c r="E151" i="12"/>
  <c r="E107" i="12"/>
  <c r="E132" i="12"/>
  <c r="E105" i="12"/>
  <c r="E137" i="12"/>
  <c r="E96" i="12"/>
  <c r="E128" i="12"/>
  <c r="E146" i="12"/>
  <c r="E101" i="12"/>
  <c r="E133" i="12"/>
  <c r="E148" i="12"/>
  <c r="E110" i="12"/>
  <c r="E142" i="12"/>
  <c r="E143" i="12"/>
  <c r="E97" i="12"/>
  <c r="E129" i="12"/>
  <c r="E141" i="12"/>
  <c r="E115" i="12"/>
  <c r="E120" i="12"/>
  <c r="E152" i="12"/>
  <c r="E127" i="12"/>
  <c r="E138" i="12"/>
  <c r="E125" i="12"/>
  <c r="E102" i="12"/>
  <c r="E134" i="12"/>
  <c r="E121" i="12"/>
  <c r="E153" i="12"/>
  <c r="E100" i="12"/>
  <c r="E99" i="12"/>
  <c r="E112" i="12"/>
  <c r="E144" i="12"/>
  <c r="E108" i="12"/>
  <c r="E116" i="12"/>
  <c r="E117" i="12"/>
  <c r="E149" i="12"/>
  <c r="E126" i="12"/>
  <c r="E135" i="12"/>
  <c r="E113" i="12"/>
  <c r="E145" i="12"/>
  <c r="E140" i="12"/>
  <c r="E104" i="12"/>
  <c r="E136" i="12"/>
  <c r="E119" i="12"/>
  <c r="E154" i="12"/>
  <c r="K18" i="12"/>
  <c r="E18" i="12"/>
  <c r="H14" i="12"/>
  <c r="E15" i="12"/>
  <c r="H17" i="12"/>
  <c r="H15" i="12"/>
  <c r="K14" i="12"/>
  <c r="E17" i="12"/>
  <c r="K16" i="12"/>
  <c r="H18" i="12"/>
  <c r="K15" i="12"/>
  <c r="K17" i="12"/>
  <c r="K78" i="12"/>
  <c r="E82" i="12"/>
  <c r="H78" i="12"/>
  <c r="H79" i="12"/>
  <c r="K82" i="12"/>
  <c r="K81" i="12"/>
  <c r="K77" i="12"/>
  <c r="K80" i="12"/>
  <c r="K83" i="12"/>
  <c r="K84" i="12"/>
  <c r="H24" i="12"/>
  <c r="H77" i="12"/>
  <c r="H80" i="12"/>
  <c r="H83" i="12"/>
  <c r="E77" i="12"/>
  <c r="E81" i="12"/>
  <c r="H81" i="12"/>
  <c r="H84" i="12"/>
  <c r="E84" i="12"/>
  <c r="E80" i="12"/>
  <c r="E83" i="12"/>
  <c r="E78" i="12"/>
  <c r="J19" i="12"/>
  <c r="C19" i="12"/>
  <c r="G19" i="12"/>
  <c r="I19" i="12"/>
  <c r="D19" i="12"/>
  <c r="F19" i="12"/>
  <c r="AL1" i="31" l="1"/>
  <c r="O24" i="31"/>
  <c r="BH13" i="33"/>
  <c r="BJ13" i="33"/>
  <c r="BL13" i="33" s="1"/>
  <c r="BK4" i="33"/>
  <c r="BK2" i="33" s="1"/>
  <c r="BG2" i="33"/>
  <c r="BH15" i="33"/>
  <c r="BJ15" i="33"/>
  <c r="BL15" i="33" s="1"/>
  <c r="BH48" i="33"/>
  <c r="BJ48" i="33"/>
  <c r="BL48" i="33" s="1"/>
  <c r="BH8" i="33"/>
  <c r="BJ8" i="33"/>
  <c r="BL8" i="33" s="1"/>
  <c r="BJ4" i="33"/>
  <c r="BH4" i="33"/>
  <c r="BF2" i="33"/>
  <c r="H25" i="31"/>
  <c r="I25" i="31" s="1"/>
  <c r="M36" i="31"/>
  <c r="O36" i="31" s="1"/>
  <c r="H37" i="31"/>
  <c r="I37" i="31" s="1"/>
  <c r="F14" i="31"/>
  <c r="M14" i="31" s="1"/>
  <c r="O14" i="31" s="1"/>
  <c r="BA13" i="33"/>
  <c r="BB13" i="33" s="1"/>
  <c r="H3" i="31"/>
  <c r="I3" i="31" s="1"/>
  <c r="F31" i="31"/>
  <c r="M31" i="31" s="1"/>
  <c r="O31" i="31" s="1"/>
  <c r="BA15" i="33"/>
  <c r="BB15" i="33" s="1"/>
  <c r="F40" i="31"/>
  <c r="H40" i="31" s="1"/>
  <c r="I40" i="31" s="1"/>
  <c r="BA48" i="33"/>
  <c r="BB48" i="33" s="1"/>
  <c r="F22" i="31"/>
  <c r="M22" i="31" s="1"/>
  <c r="O22" i="31" s="1"/>
  <c r="BA8" i="33"/>
  <c r="AV2" i="33"/>
  <c r="O7" i="31"/>
  <c r="AY2" i="33"/>
  <c r="H19" i="12"/>
  <c r="K19" i="12"/>
  <c r="E157" i="12"/>
  <c r="E19" i="12"/>
  <c r="H157" i="12"/>
  <c r="K89" i="12"/>
  <c r="K157" i="12"/>
  <c r="H89" i="12"/>
  <c r="E89" i="12"/>
  <c r="I7" i="31"/>
  <c r="I16" i="31"/>
  <c r="I24" i="31"/>
  <c r="I18" i="31"/>
  <c r="I44" i="31"/>
  <c r="I11" i="31"/>
  <c r="I19" i="31"/>
  <c r="I45" i="31"/>
  <c r="I46" i="31"/>
  <c r="I17" i="31"/>
  <c r="I47" i="31"/>
  <c r="I48" i="31"/>
  <c r="I49" i="31"/>
  <c r="I50" i="31"/>
  <c r="I51" i="31"/>
  <c r="I27" i="31"/>
  <c r="I21" i="31"/>
  <c r="I52" i="31"/>
  <c r="I53" i="31"/>
  <c r="I54" i="31"/>
  <c r="I55" i="31"/>
  <c r="I56" i="31"/>
  <c r="I57" i="31"/>
  <c r="I20" i="31"/>
  <c r="I15" i="31"/>
  <c r="I34" i="31"/>
  <c r="I58" i="31"/>
  <c r="I59" i="31"/>
  <c r="I60" i="31"/>
  <c r="I35" i="31"/>
  <c r="I61" i="31"/>
  <c r="I36" i="31"/>
  <c r="I62" i="31"/>
  <c r="I28" i="31"/>
  <c r="I41" i="31"/>
  <c r="I33" i="31"/>
  <c r="I63" i="31"/>
  <c r="I64" i="31"/>
  <c r="I13" i="31"/>
  <c r="I32" i="31"/>
  <c r="I30" i="31"/>
  <c r="I65" i="31"/>
  <c r="I9" i="31"/>
  <c r="I26" i="31"/>
  <c r="I66" i="31"/>
  <c r="I8" i="31"/>
  <c r="I10" i="31"/>
  <c r="I5" i="31"/>
  <c r="I12" i="31"/>
  <c r="I4" i="31"/>
  <c r="I67" i="31"/>
  <c r="I29" i="31"/>
  <c r="I68" i="31"/>
  <c r="I6" i="31"/>
  <c r="I69" i="31"/>
  <c r="I70" i="31"/>
  <c r="I23" i="31"/>
  <c r="I71" i="31"/>
  <c r="I39" i="31"/>
  <c r="I38" i="31"/>
  <c r="I43" i="31"/>
  <c r="I42" i="31"/>
  <c r="BH2" i="33" l="1"/>
  <c r="BL4" i="33"/>
  <c r="BL2" i="33" s="1"/>
  <c r="BJ2" i="33"/>
  <c r="H14" i="31"/>
  <c r="I14" i="31" s="1"/>
  <c r="M40" i="31"/>
  <c r="O40" i="31" s="1"/>
  <c r="H22" i="31"/>
  <c r="I22" i="31" s="1"/>
  <c r="H31" i="31"/>
  <c r="I31" i="31" s="1"/>
  <c r="F1" i="31"/>
  <c r="BB8" i="33"/>
  <c r="BB2" i="33" s="1"/>
  <c r="BA2" i="33"/>
  <c r="M1" i="31" l="1"/>
  <c r="I1" i="31"/>
  <c r="X1" i="31"/>
  <c r="H1" i="31" l="1"/>
  <c r="D2" i="36" l="1"/>
  <c r="Q64" i="31"/>
  <c r="D50" i="36"/>
  <c r="Q43" i="31"/>
  <c r="D69" i="36"/>
  <c r="Q39" i="31"/>
  <c r="D58" i="36"/>
  <c r="Q26" i="31"/>
  <c r="D44" i="36"/>
  <c r="Q30" i="31"/>
  <c r="D47" i="36"/>
  <c r="Q4" i="31"/>
  <c r="D55" i="36"/>
  <c r="Q25" i="31"/>
  <c r="D20" i="36"/>
  <c r="Q18" i="31"/>
  <c r="D9" i="36"/>
  <c r="Q47" i="31"/>
  <c r="D62" i="36"/>
  <c r="Q3" i="31"/>
  <c r="D17" i="36"/>
  <c r="Q15" i="31"/>
  <c r="D43" i="36"/>
  <c r="Q68" i="31"/>
  <c r="D38" i="36"/>
  <c r="Q49" i="31"/>
  <c r="D21" i="36"/>
  <c r="Q65" i="31"/>
  <c r="D24" i="36"/>
  <c r="Q8" i="31"/>
  <c r="D51" i="36"/>
  <c r="Q61" i="31"/>
  <c r="D33" i="36"/>
  <c r="Q33" i="31"/>
  <c r="D68" i="36"/>
  <c r="Q21" i="31"/>
  <c r="D45" i="36"/>
  <c r="Q34" i="31"/>
  <c r="D66" i="36"/>
  <c r="Q31" i="31"/>
  <c r="D6" i="36"/>
  <c r="Q14" i="31"/>
  <c r="D3" i="36"/>
  <c r="Q10" i="31"/>
  <c r="D53" i="36"/>
  <c r="Q50" i="31"/>
  <c r="D63" i="36"/>
  <c r="Q6" i="31"/>
  <c r="D18" i="36"/>
  <c r="Q60" i="31"/>
  <c r="D31" i="36"/>
  <c r="Q9" i="31"/>
  <c r="D39" i="36"/>
  <c r="Q53" i="31"/>
  <c r="D25" i="36"/>
  <c r="Q58" i="31"/>
  <c r="D30" i="36"/>
  <c r="Q46" i="31"/>
  <c r="D61" i="36"/>
  <c r="Q16" i="31"/>
  <c r="D15" i="36"/>
  <c r="Q54" i="31"/>
  <c r="D28" i="36"/>
  <c r="Q45" i="31"/>
  <c r="D5" i="36"/>
  <c r="Q69" i="31"/>
  <c r="D35" i="36"/>
  <c r="Q63" i="31"/>
  <c r="D49" i="36"/>
  <c r="Q17" i="31"/>
  <c r="D40" i="36"/>
  <c r="Q71" i="31"/>
  <c r="D57" i="36"/>
  <c r="Q35" i="31"/>
  <c r="D36" i="36"/>
  <c r="Q62" i="31"/>
  <c r="D10" i="36"/>
  <c r="Q38" i="31"/>
  <c r="D59" i="36"/>
  <c r="Q22" i="31"/>
  <c r="D11" i="36"/>
  <c r="Q40" i="31"/>
  <c r="D4" i="36"/>
  <c r="Q70" i="31"/>
  <c r="D37" i="36"/>
  <c r="Q56" i="31"/>
  <c r="D64" i="36"/>
  <c r="Q42" i="31"/>
  <c r="D70" i="36"/>
  <c r="Q29" i="31"/>
  <c r="D32" i="36"/>
  <c r="Q67" i="31"/>
  <c r="D34" i="36"/>
  <c r="Q28" i="31"/>
  <c r="D67" i="36"/>
  <c r="Q27" i="31"/>
  <c r="D23" i="36"/>
  <c r="Q57" i="31"/>
  <c r="D65" i="36"/>
  <c r="Q59" i="31"/>
  <c r="D29" i="36"/>
  <c r="Q23" i="31"/>
  <c r="D56" i="36"/>
  <c r="Q13" i="31"/>
  <c r="D41" i="36"/>
  <c r="Q66" i="31"/>
  <c r="D48" i="36"/>
  <c r="Q19" i="31"/>
  <c r="D8" i="36"/>
  <c r="Q41" i="31"/>
  <c r="D19" i="36"/>
  <c r="Q20" i="31"/>
  <c r="D42" i="36"/>
  <c r="Q5" i="31"/>
  <c r="D54" i="36"/>
  <c r="Q55" i="31"/>
  <c r="D27" i="36"/>
  <c r="Q11" i="31"/>
  <c r="D7" i="36"/>
  <c r="Q44" i="31"/>
  <c r="D60" i="36"/>
  <c r="Q52" i="31"/>
  <c r="D26" i="36"/>
  <c r="Q24" i="31"/>
  <c r="D14" i="36"/>
  <c r="Q37" i="31"/>
  <c r="D13" i="36"/>
  <c r="Q48" i="31"/>
  <c r="D22" i="36"/>
  <c r="Q32" i="31"/>
  <c r="D46" i="36"/>
  <c r="Q12" i="31"/>
  <c r="D52" i="36"/>
  <c r="Q7" i="31"/>
  <c r="D12" i="36"/>
  <c r="Q36" i="31"/>
  <c r="D16" i="36"/>
  <c r="Q51" i="31"/>
  <c r="R26" i="31"/>
  <c r="R4" i="31"/>
  <c r="R25" i="31"/>
  <c r="R18" i="31"/>
  <c r="R3" i="31"/>
  <c r="R15" i="31"/>
  <c r="R68" i="31"/>
  <c r="R49" i="31"/>
  <c r="R65" i="31"/>
  <c r="R8" i="31"/>
  <c r="R61" i="31"/>
  <c r="R33" i="31"/>
  <c r="R39" i="31"/>
  <c r="R31" i="31"/>
  <c r="R50" i="31"/>
  <c r="R9" i="31"/>
  <c r="R53" i="31"/>
  <c r="R58" i="31"/>
  <c r="R46" i="31"/>
  <c r="R16" i="31"/>
  <c r="R54" i="31"/>
  <c r="R45" i="31"/>
  <c r="R69" i="31"/>
  <c r="R63" i="31"/>
  <c r="R43" i="31"/>
  <c r="R10" i="31"/>
  <c r="R60" i="31"/>
  <c r="R17" i="31"/>
  <c r="R71" i="31"/>
  <c r="AJ67" i="31" s="1"/>
  <c r="R35" i="31"/>
  <c r="R62" i="31"/>
  <c r="R38" i="31"/>
  <c r="R22" i="31"/>
  <c r="R40" i="31"/>
  <c r="R70" i="31"/>
  <c r="R56" i="31"/>
  <c r="R30" i="31"/>
  <c r="R14" i="31"/>
  <c r="R6" i="31"/>
  <c r="R42" i="31"/>
  <c r="R29" i="31"/>
  <c r="R67" i="31"/>
  <c r="R28" i="31"/>
  <c r="R27" i="31"/>
  <c r="R57" i="31"/>
  <c r="AJ30" i="31" s="1"/>
  <c r="R59" i="31"/>
  <c r="R23" i="31"/>
  <c r="R13" i="31"/>
  <c r="R34" i="31"/>
  <c r="R52" i="31"/>
  <c r="R66" i="31"/>
  <c r="R19" i="31"/>
  <c r="R41" i="31"/>
  <c r="R20" i="31"/>
  <c r="R5" i="31"/>
  <c r="R55" i="31"/>
  <c r="R11" i="31"/>
  <c r="R44" i="31"/>
  <c r="R64" i="31"/>
  <c r="R21" i="31"/>
  <c r="R47" i="31"/>
  <c r="R24" i="31"/>
  <c r="R37" i="31"/>
  <c r="R48" i="31"/>
  <c r="R32" i="31"/>
  <c r="AJ48" i="31" s="1"/>
  <c r="R12" i="31"/>
  <c r="R51" i="31"/>
  <c r="R7" i="31"/>
  <c r="R36" i="31"/>
  <c r="AJ39" i="31" s="1"/>
  <c r="Y37" i="31"/>
  <c r="Y16" i="31"/>
  <c r="Y45" i="31"/>
  <c r="Y51" i="31"/>
  <c r="Y56" i="31"/>
  <c r="Y35" i="31"/>
  <c r="Y64" i="31"/>
  <c r="Y66" i="31"/>
  <c r="Y68" i="31"/>
  <c r="Y38" i="31"/>
  <c r="Y33" i="31"/>
  <c r="Y9" i="31"/>
  <c r="Y60" i="31"/>
  <c r="Y24" i="31"/>
  <c r="Y31" i="31"/>
  <c r="Y27" i="31"/>
  <c r="Y57" i="31"/>
  <c r="Y61" i="31"/>
  <c r="Y13" i="31"/>
  <c r="Y8" i="31"/>
  <c r="Y3" i="31"/>
  <c r="Y43" i="31"/>
  <c r="Y54" i="31"/>
  <c r="Y63" i="31"/>
  <c r="Y22" i="31"/>
  <c r="Y46" i="31"/>
  <c r="Y25" i="31"/>
  <c r="Y20" i="31"/>
  <c r="Y36" i="31"/>
  <c r="Y40" i="31"/>
  <c r="Y10" i="31"/>
  <c r="Y6" i="31"/>
  <c r="Y42" i="31"/>
  <c r="Y59" i="31"/>
  <c r="Y71" i="31"/>
  <c r="Y50" i="31"/>
  <c r="Y39" i="31"/>
  <c r="Y18" i="31"/>
  <c r="Y17" i="31"/>
  <c r="Y21" i="31"/>
  <c r="Y15" i="31"/>
  <c r="Y62" i="31"/>
  <c r="Y32" i="31"/>
  <c r="Y5" i="31"/>
  <c r="Y69" i="31"/>
  <c r="Y49" i="31"/>
  <c r="Y55" i="31"/>
  <c r="Y44" i="31"/>
  <c r="Y47" i="31"/>
  <c r="Y52" i="31"/>
  <c r="Y34" i="31"/>
  <c r="Y28" i="31"/>
  <c r="Y30" i="31"/>
  <c r="Y12" i="31"/>
  <c r="Y70" i="31"/>
  <c r="Y7" i="31"/>
  <c r="Y29" i="31"/>
  <c r="Y11" i="31"/>
  <c r="Y48" i="31"/>
  <c r="Y53" i="31"/>
  <c r="Y58" i="31"/>
  <c r="Y41" i="31"/>
  <c r="Y65" i="31"/>
  <c r="Y4" i="31"/>
  <c r="Y23" i="31"/>
  <c r="Y19" i="31"/>
  <c r="Y67" i="31"/>
  <c r="Y14" i="31"/>
  <c r="Y26" i="31"/>
  <c r="O1" i="31"/>
  <c r="AJ49" i="31" l="1"/>
  <c r="AJ42" i="31"/>
  <c r="AJ31" i="31"/>
  <c r="AJ35" i="31"/>
  <c r="AJ16" i="31"/>
  <c r="AJ60" i="31"/>
  <c r="AJ70" i="31"/>
  <c r="AJ66" i="31"/>
  <c r="AJ63" i="31"/>
  <c r="AJ10" i="31"/>
  <c r="AJ52" i="31"/>
  <c r="AJ4" i="31"/>
  <c r="AJ40" i="31"/>
  <c r="AJ64" i="31"/>
  <c r="AJ27" i="31"/>
  <c r="AJ33" i="31"/>
  <c r="AJ12" i="31"/>
  <c r="AJ13" i="31"/>
  <c r="AJ9" i="31"/>
  <c r="AJ68" i="31"/>
  <c r="AJ45" i="31"/>
  <c r="AJ20" i="31"/>
  <c r="AJ3" i="31"/>
  <c r="AJ37" i="31"/>
  <c r="AJ14" i="31"/>
  <c r="AJ32" i="31"/>
  <c r="AJ11" i="31"/>
  <c r="AJ22" i="31"/>
  <c r="AJ53" i="31"/>
  <c r="AJ23" i="31"/>
  <c r="AJ59" i="31"/>
  <c r="AJ71" i="31"/>
  <c r="AJ69" i="31"/>
  <c r="AJ17" i="31"/>
  <c r="AJ62" i="31"/>
  <c r="AJ24" i="31"/>
  <c r="AJ29" i="31"/>
  <c r="AJ5" i="31"/>
  <c r="AJ43" i="31"/>
  <c r="AJ8" i="31"/>
  <c r="AJ21" i="31"/>
  <c r="AJ41" i="31"/>
  <c r="AJ65" i="31"/>
  <c r="AJ36" i="31"/>
  <c r="AJ15" i="31"/>
  <c r="AJ38" i="31"/>
  <c r="AJ57" i="31"/>
  <c r="AJ25" i="31"/>
  <c r="AJ47" i="31"/>
  <c r="AJ55" i="31"/>
  <c r="AJ34" i="31"/>
  <c r="AJ54" i="31"/>
  <c r="AJ58" i="31"/>
  <c r="AJ7" i="31"/>
  <c r="AJ26" i="31"/>
  <c r="AJ50" i="31"/>
  <c r="AJ18" i="31"/>
  <c r="AJ28" i="31"/>
  <c r="AJ46" i="31"/>
  <c r="AJ44" i="31"/>
  <c r="AJ51" i="31"/>
  <c r="AJ19" i="31"/>
  <c r="AJ56" i="31"/>
  <c r="AJ61" i="31"/>
  <c r="C94" i="31"/>
  <c r="AJ6" i="31"/>
  <c r="Q1" i="31"/>
  <c r="Z10" i="31"/>
  <c r="Z19" i="31"/>
  <c r="Z29" i="31"/>
  <c r="Z47" i="31"/>
  <c r="Z15" i="31"/>
  <c r="Z42" i="31"/>
  <c r="Z22" i="31"/>
  <c r="Z57" i="31"/>
  <c r="Z68" i="31"/>
  <c r="Z37" i="31"/>
  <c r="Z54" i="31"/>
  <c r="Z23" i="31"/>
  <c r="Z4" i="31"/>
  <c r="Z44" i="31"/>
  <c r="Z21" i="31"/>
  <c r="Z6" i="31"/>
  <c r="Z63" i="31"/>
  <c r="Z27" i="31"/>
  <c r="Z66" i="31"/>
  <c r="Z65" i="31"/>
  <c r="Z31" i="31"/>
  <c r="Z41" i="31"/>
  <c r="Z12" i="31"/>
  <c r="Z49" i="31"/>
  <c r="Z18" i="31"/>
  <c r="Z40" i="31"/>
  <c r="Z43" i="31"/>
  <c r="Z24" i="31"/>
  <c r="Z35" i="31"/>
  <c r="Z17" i="31"/>
  <c r="Z26" i="31"/>
  <c r="Z58" i="31"/>
  <c r="Z30" i="31"/>
  <c r="Z69" i="31"/>
  <c r="Z39" i="31"/>
  <c r="Z36" i="31"/>
  <c r="Z3" i="31"/>
  <c r="Z60" i="31"/>
  <c r="Z56" i="31"/>
  <c r="Z64" i="31"/>
  <c r="Z53" i="31"/>
  <c r="Z28" i="31"/>
  <c r="Z5" i="31"/>
  <c r="Z50" i="31"/>
  <c r="Z20" i="31"/>
  <c r="AK31" i="31" s="1"/>
  <c r="Z8" i="31"/>
  <c r="Z9" i="31"/>
  <c r="Z51" i="31"/>
  <c r="Z55" i="31"/>
  <c r="Z67" i="31"/>
  <c r="Z48" i="31"/>
  <c r="Z34" i="31"/>
  <c r="Z32" i="31"/>
  <c r="Z71" i="31"/>
  <c r="Z25" i="31"/>
  <c r="Z13" i="31"/>
  <c r="Z33" i="31"/>
  <c r="Z45" i="31"/>
  <c r="Z70" i="31"/>
  <c r="Z14" i="31"/>
  <c r="Z11" i="31"/>
  <c r="Z52" i="31"/>
  <c r="Z62" i="31"/>
  <c r="Z59" i="31"/>
  <c r="Z46" i="31"/>
  <c r="Z61" i="31"/>
  <c r="Z38" i="31"/>
  <c r="Z16" i="31"/>
  <c r="R1" i="31"/>
  <c r="S37" i="31"/>
  <c r="AE37" i="31" s="1"/>
  <c r="S5" i="31"/>
  <c r="AE5" i="31" s="1"/>
  <c r="S23" i="31"/>
  <c r="AE23" i="31" s="1"/>
  <c r="S6" i="31"/>
  <c r="AE6" i="31" s="1"/>
  <c r="S62" i="31"/>
  <c r="AE62" i="31" s="1"/>
  <c r="S69" i="31"/>
  <c r="AE69" i="31" s="1"/>
  <c r="S50" i="31"/>
  <c r="AE50" i="31" s="1"/>
  <c r="S68" i="31"/>
  <c r="AE68" i="31" s="1"/>
  <c r="S24" i="31"/>
  <c r="AE24" i="31" s="1"/>
  <c r="S20" i="31"/>
  <c r="AE20" i="31" s="1"/>
  <c r="S59" i="31"/>
  <c r="AE59" i="31" s="1"/>
  <c r="S14" i="31"/>
  <c r="AE14" i="31" s="1"/>
  <c r="S35" i="31"/>
  <c r="AE35" i="31" s="1"/>
  <c r="S45" i="31"/>
  <c r="AE45" i="31" s="1"/>
  <c r="S31" i="31"/>
  <c r="AE31" i="31" s="1"/>
  <c r="S15" i="31"/>
  <c r="AE15" i="31" s="1"/>
  <c r="S36" i="31"/>
  <c r="AE36" i="31" s="1"/>
  <c r="S47" i="31"/>
  <c r="AE47" i="31" s="1"/>
  <c r="S41" i="31"/>
  <c r="AE41" i="31" s="1"/>
  <c r="S57" i="31"/>
  <c r="AE57" i="31" s="1"/>
  <c r="S30" i="31"/>
  <c r="AE30" i="31" s="1"/>
  <c r="S71" i="31"/>
  <c r="AE71" i="31" s="1"/>
  <c r="S54" i="31"/>
  <c r="AE54" i="31" s="1"/>
  <c r="S39" i="31"/>
  <c r="AE39" i="31" s="1"/>
  <c r="S3" i="31"/>
  <c r="AE3" i="31" s="1"/>
  <c r="S55" i="31"/>
  <c r="AE55" i="31" s="1"/>
  <c r="S42" i="31"/>
  <c r="AE42" i="31" s="1"/>
  <c r="S38" i="31"/>
  <c r="AE38" i="31" s="1"/>
  <c r="S63" i="31"/>
  <c r="AE63" i="31" s="1"/>
  <c r="S49" i="31"/>
  <c r="AE49" i="31" s="1"/>
  <c r="S7" i="31"/>
  <c r="AE7" i="31" s="1"/>
  <c r="S21" i="31"/>
  <c r="AE21" i="31" s="1"/>
  <c r="S19" i="31"/>
  <c r="AE19" i="31" s="1"/>
  <c r="S27" i="31"/>
  <c r="AE27" i="31" s="1"/>
  <c r="S56" i="31"/>
  <c r="AE56" i="31" s="1"/>
  <c r="S17" i="31"/>
  <c r="AE17" i="31" s="1"/>
  <c r="S16" i="31"/>
  <c r="AE16" i="31" s="1"/>
  <c r="S33" i="31"/>
  <c r="AE33" i="31" s="1"/>
  <c r="S18" i="31"/>
  <c r="AE18" i="31" s="1"/>
  <c r="S51" i="31"/>
  <c r="AE51" i="31" s="1"/>
  <c r="S64" i="31"/>
  <c r="AE64" i="31" s="1"/>
  <c r="S66" i="31"/>
  <c r="AE66" i="31" s="1"/>
  <c r="S28" i="31"/>
  <c r="AE28" i="31" s="1"/>
  <c r="S70" i="31"/>
  <c r="AE70" i="31" s="1"/>
  <c r="S60" i="31"/>
  <c r="AE60" i="31" s="1"/>
  <c r="S46" i="31"/>
  <c r="AE46" i="31" s="1"/>
  <c r="S61" i="31"/>
  <c r="AE61" i="31" s="1"/>
  <c r="S25" i="31"/>
  <c r="AE25" i="31" s="1"/>
  <c r="S12" i="31"/>
  <c r="AE12" i="31" s="1"/>
  <c r="S44" i="31"/>
  <c r="AE44" i="31" s="1"/>
  <c r="S52" i="31"/>
  <c r="AE52" i="31" s="1"/>
  <c r="S67" i="31"/>
  <c r="AE67" i="31" s="1"/>
  <c r="S40" i="31"/>
  <c r="AE40" i="31" s="1"/>
  <c r="S10" i="31"/>
  <c r="AE10" i="31" s="1"/>
  <c r="S58" i="31"/>
  <c r="AE58" i="31" s="1"/>
  <c r="S8" i="31"/>
  <c r="AE8" i="31" s="1"/>
  <c r="S4" i="31"/>
  <c r="AE4" i="31" s="1"/>
  <c r="S48" i="31"/>
  <c r="AE48" i="31" s="1"/>
  <c r="S13" i="31"/>
  <c r="AE13" i="31" s="1"/>
  <c r="S9" i="31"/>
  <c r="AE9" i="31" s="1"/>
  <c r="S32" i="31"/>
  <c r="AE32" i="31" s="1"/>
  <c r="S11" i="31"/>
  <c r="AE11" i="31" s="1"/>
  <c r="S34" i="31"/>
  <c r="AE34" i="31" s="1"/>
  <c r="S29" i="31"/>
  <c r="AE29" i="31" s="1"/>
  <c r="S22" i="31"/>
  <c r="AE22" i="31" s="1"/>
  <c r="S43" i="31"/>
  <c r="AE43" i="31" s="1"/>
  <c r="S53" i="31"/>
  <c r="AE53" i="31" s="1"/>
  <c r="S65" i="31"/>
  <c r="AE65" i="31" s="1"/>
  <c r="S26" i="31"/>
  <c r="AE26" i="31" s="1"/>
  <c r="Z7" i="31"/>
  <c r="Y1" i="31"/>
  <c r="P1" i="31"/>
  <c r="AK10" i="31" l="1"/>
  <c r="AK23" i="31"/>
  <c r="AK21" i="31"/>
  <c r="AK14" i="31"/>
  <c r="AK29" i="31"/>
  <c r="AK48" i="31"/>
  <c r="AK43" i="31"/>
  <c r="AK67" i="31"/>
  <c r="AK37" i="31"/>
  <c r="AK28" i="31"/>
  <c r="AK3" i="31"/>
  <c r="AK69" i="31"/>
  <c r="AK18" i="31"/>
  <c r="AK68" i="31"/>
  <c r="AK46" i="31"/>
  <c r="AK45" i="31"/>
  <c r="AK19" i="31"/>
  <c r="AK63" i="31"/>
  <c r="AK30" i="31"/>
  <c r="AK35" i="31"/>
  <c r="AK7" i="31"/>
  <c r="AK32" i="31"/>
  <c r="AK12" i="31"/>
  <c r="AK66" i="31"/>
  <c r="AK70" i="31"/>
  <c r="AK53" i="31"/>
  <c r="AK60" i="31"/>
  <c r="AK41" i="31"/>
  <c r="AK51" i="31"/>
  <c r="AK52" i="31"/>
  <c r="AK9" i="31"/>
  <c r="AK71" i="31"/>
  <c r="AK62" i="31"/>
  <c r="AK58" i="31"/>
  <c r="AK57" i="31"/>
  <c r="AK25" i="31"/>
  <c r="AK54" i="31"/>
  <c r="AK36" i="31"/>
  <c r="AK16" i="31"/>
  <c r="AK42" i="31"/>
  <c r="AK5" i="31"/>
  <c r="AK33" i="31"/>
  <c r="AK20" i="31"/>
  <c r="AK39" i="31"/>
  <c r="AK6" i="31"/>
  <c r="AK50" i="31"/>
  <c r="AK17" i="31"/>
  <c r="AK65" i="31"/>
  <c r="AK27" i="31"/>
  <c r="AK38" i="31"/>
  <c r="AK13" i="31"/>
  <c r="AK59" i="31"/>
  <c r="AK64" i="31"/>
  <c r="AK47" i="31"/>
  <c r="AK22" i="31"/>
  <c r="AK4" i="31"/>
  <c r="AK11" i="31"/>
  <c r="AK56" i="31"/>
  <c r="AK15" i="31"/>
  <c r="AK26" i="31"/>
  <c r="AK49" i="31"/>
  <c r="AK8" i="31"/>
  <c r="AK44" i="31"/>
  <c r="AK61" i="31"/>
  <c r="AK55" i="31"/>
  <c r="AK34" i="31"/>
  <c r="AK40" i="31"/>
  <c r="AK24" i="31"/>
  <c r="AJ1" i="31"/>
  <c r="AE1" i="31"/>
  <c r="U65" i="31"/>
  <c r="E24" i="36"/>
  <c r="U17" i="31"/>
  <c r="E40" i="36"/>
  <c r="U28" i="31"/>
  <c r="E67" i="36"/>
  <c r="U44" i="31"/>
  <c r="E60" i="36"/>
  <c r="U27" i="31"/>
  <c r="E23" i="36"/>
  <c r="U20" i="31"/>
  <c r="E42" i="36"/>
  <c r="U29" i="31"/>
  <c r="E32" i="36"/>
  <c r="U8" i="31"/>
  <c r="E51" i="36"/>
  <c r="U25" i="31"/>
  <c r="E20" i="36"/>
  <c r="U51" i="31"/>
  <c r="U21" i="31"/>
  <c r="E45" i="36"/>
  <c r="U39" i="31"/>
  <c r="E58" i="36"/>
  <c r="U15" i="31"/>
  <c r="E43" i="36"/>
  <c r="U68" i="31"/>
  <c r="E38" i="36"/>
  <c r="U70" i="31"/>
  <c r="E37" i="36"/>
  <c r="U6" i="31"/>
  <c r="E18" i="36"/>
  <c r="U13" i="31"/>
  <c r="E41" i="36"/>
  <c r="U42" i="31"/>
  <c r="E70" i="36"/>
  <c r="U59" i="31"/>
  <c r="E29" i="36"/>
  <c r="U48" i="31"/>
  <c r="E22" i="36"/>
  <c r="U55" i="31"/>
  <c r="E27" i="36"/>
  <c r="U22" i="31"/>
  <c r="E11" i="36"/>
  <c r="U4" i="31"/>
  <c r="E55" i="36"/>
  <c r="U12" i="31"/>
  <c r="E52" i="36"/>
  <c r="U64" i="31"/>
  <c r="E50" i="36"/>
  <c r="U19" i="31"/>
  <c r="E8" i="36"/>
  <c r="U3" i="31"/>
  <c r="E17" i="36"/>
  <c r="U36" i="31"/>
  <c r="E16" i="36"/>
  <c r="U24" i="31"/>
  <c r="E14" i="36"/>
  <c r="U37" i="31"/>
  <c r="E13" i="36"/>
  <c r="U34" i="31"/>
  <c r="E66" i="36"/>
  <c r="U61" i="31"/>
  <c r="E33" i="36"/>
  <c r="U7" i="31"/>
  <c r="E12" i="36"/>
  <c r="U31" i="31"/>
  <c r="E6" i="36"/>
  <c r="U11" i="31"/>
  <c r="E7" i="36"/>
  <c r="U10" i="31"/>
  <c r="E53" i="36"/>
  <c r="U46" i="31"/>
  <c r="E61" i="36"/>
  <c r="U33" i="31"/>
  <c r="E68" i="36"/>
  <c r="U49" i="31"/>
  <c r="E21" i="36"/>
  <c r="U71" i="31"/>
  <c r="E57" i="36"/>
  <c r="U45" i="31"/>
  <c r="E5" i="36"/>
  <c r="U69" i="31"/>
  <c r="E35" i="36"/>
  <c r="U67" i="31"/>
  <c r="E34" i="36"/>
  <c r="U14" i="31"/>
  <c r="E3" i="36"/>
  <c r="U53" i="31"/>
  <c r="E25" i="36"/>
  <c r="U56" i="31"/>
  <c r="E64" i="36"/>
  <c r="U41" i="31"/>
  <c r="E19" i="36"/>
  <c r="U23" i="31"/>
  <c r="E56" i="36"/>
  <c r="U43" i="31"/>
  <c r="E69" i="36"/>
  <c r="U66" i="31"/>
  <c r="E48" i="36"/>
  <c r="U47" i="31"/>
  <c r="E62" i="36"/>
  <c r="U5" i="31"/>
  <c r="E54" i="36"/>
  <c r="U58" i="31"/>
  <c r="E30" i="36"/>
  <c r="U18" i="31"/>
  <c r="E9" i="36"/>
  <c r="U54" i="31"/>
  <c r="E28" i="36"/>
  <c r="U50" i="31"/>
  <c r="E63" i="36"/>
  <c r="U26" i="31"/>
  <c r="E44" i="36"/>
  <c r="U32" i="31"/>
  <c r="E46" i="36"/>
  <c r="U40" i="31"/>
  <c r="E4" i="36"/>
  <c r="U60" i="31"/>
  <c r="E31" i="36"/>
  <c r="U16" i="31"/>
  <c r="E15" i="36"/>
  <c r="U63" i="31"/>
  <c r="E49" i="36"/>
  <c r="U30" i="31"/>
  <c r="E47" i="36"/>
  <c r="U35" i="31"/>
  <c r="E36" i="36"/>
  <c r="U62" i="31"/>
  <c r="E10" i="36"/>
  <c r="U9" i="31"/>
  <c r="E39" i="36"/>
  <c r="U57" i="31"/>
  <c r="E65" i="36"/>
  <c r="U38" i="31"/>
  <c r="E59" i="36"/>
  <c r="U52" i="31"/>
  <c r="E26" i="36"/>
  <c r="AA40" i="31"/>
  <c r="AB40" i="31"/>
  <c r="AC40" i="31" s="1"/>
  <c r="AA35" i="31"/>
  <c r="AB35" i="31"/>
  <c r="AC35" i="31" s="1"/>
  <c r="AA52" i="31"/>
  <c r="AB52" i="31"/>
  <c r="AC52" i="31" s="1"/>
  <c r="AA42" i="31"/>
  <c r="AB42" i="31"/>
  <c r="AC42" i="31" s="1"/>
  <c r="AA23" i="31"/>
  <c r="AB23" i="31"/>
  <c r="AC23" i="31" s="1"/>
  <c r="AA22" i="31"/>
  <c r="AB22" i="31"/>
  <c r="AC22" i="31" s="1"/>
  <c r="AA4" i="31"/>
  <c r="AB4" i="31"/>
  <c r="AC4" i="31" s="1"/>
  <c r="AA12" i="31"/>
  <c r="AB12" i="31"/>
  <c r="AC12" i="31" s="1"/>
  <c r="AA64" i="31"/>
  <c r="AB64" i="31"/>
  <c r="AC64" i="31" s="1"/>
  <c r="AA19" i="31"/>
  <c r="AB19" i="31"/>
  <c r="AC19" i="31" s="1"/>
  <c r="AA3" i="31"/>
  <c r="AB3" i="31"/>
  <c r="AC3" i="31" s="1"/>
  <c r="AA36" i="31"/>
  <c r="AB36" i="31"/>
  <c r="AC36" i="31" s="1"/>
  <c r="AA24" i="31"/>
  <c r="AB24" i="31"/>
  <c r="AC24" i="31" s="1"/>
  <c r="AA37" i="31"/>
  <c r="AB37" i="31"/>
  <c r="AC37" i="31" s="1"/>
  <c r="AA26" i="31"/>
  <c r="AB26" i="31"/>
  <c r="AC26" i="31" s="1"/>
  <c r="AA60" i="31"/>
  <c r="AB60" i="31"/>
  <c r="AC60" i="31" s="1"/>
  <c r="AA30" i="31"/>
  <c r="AB30" i="31"/>
  <c r="AC30" i="31" s="1"/>
  <c r="AA13" i="31"/>
  <c r="AB13" i="31"/>
  <c r="AC13" i="31" s="1"/>
  <c r="AA56" i="31"/>
  <c r="AB56" i="31"/>
  <c r="AC56" i="31" s="1"/>
  <c r="AA41" i="31"/>
  <c r="AB41" i="31"/>
  <c r="AC41" i="31" s="1"/>
  <c r="AA29" i="31"/>
  <c r="AB29" i="31"/>
  <c r="AC29" i="31" s="1"/>
  <c r="AA25" i="31"/>
  <c r="AB25" i="31"/>
  <c r="AC25" i="31" s="1"/>
  <c r="AA21" i="31"/>
  <c r="AB21" i="31"/>
  <c r="AC21" i="31" s="1"/>
  <c r="AA15" i="31"/>
  <c r="AB15" i="31"/>
  <c r="AC15" i="31" s="1"/>
  <c r="AA68" i="31"/>
  <c r="AB68" i="31"/>
  <c r="AC68" i="31" s="1"/>
  <c r="AA8" i="31"/>
  <c r="AB8" i="31"/>
  <c r="AC8" i="31" s="1"/>
  <c r="AA51" i="31"/>
  <c r="AB51" i="31"/>
  <c r="AC51" i="31" s="1"/>
  <c r="AA39" i="31"/>
  <c r="AB39" i="31"/>
  <c r="AC39" i="31" s="1"/>
  <c r="AA34" i="31"/>
  <c r="AB34" i="31"/>
  <c r="AC34" i="31" s="1"/>
  <c r="AA58" i="31"/>
  <c r="AB58" i="31"/>
  <c r="AC58" i="31" s="1"/>
  <c r="AA61" i="31"/>
  <c r="AB61" i="31"/>
  <c r="AC61" i="31" s="1"/>
  <c r="AA18" i="31"/>
  <c r="AB18" i="31"/>
  <c r="AC18" i="31" s="1"/>
  <c r="AA7" i="31"/>
  <c r="AB7" i="31"/>
  <c r="AA54" i="31"/>
  <c r="AB54" i="31"/>
  <c r="AC54" i="31" s="1"/>
  <c r="AA31" i="31"/>
  <c r="AB31" i="31"/>
  <c r="AC31" i="31" s="1"/>
  <c r="AA50" i="31"/>
  <c r="AB50" i="31"/>
  <c r="AC50" i="31" s="1"/>
  <c r="AA11" i="31"/>
  <c r="AB11" i="31"/>
  <c r="AC11" i="31" s="1"/>
  <c r="AA10" i="31"/>
  <c r="AB10" i="31"/>
  <c r="AC10" i="31" s="1"/>
  <c r="AA46" i="31"/>
  <c r="AB46" i="31"/>
  <c r="AC46" i="31" s="1"/>
  <c r="AA33" i="31"/>
  <c r="AB33" i="31"/>
  <c r="AC33" i="31" s="1"/>
  <c r="AA49" i="31"/>
  <c r="AB49" i="31"/>
  <c r="AC49" i="31" s="1"/>
  <c r="AA71" i="31"/>
  <c r="AB71" i="31"/>
  <c r="AC71" i="31" s="1"/>
  <c r="AA45" i="31"/>
  <c r="AB45" i="31"/>
  <c r="AC45" i="31" s="1"/>
  <c r="AA69" i="31"/>
  <c r="AB69" i="31"/>
  <c r="AC69" i="31" s="1"/>
  <c r="AA32" i="31"/>
  <c r="AB32" i="31"/>
  <c r="AC32" i="31" s="1"/>
  <c r="AA63" i="31"/>
  <c r="AB63" i="31"/>
  <c r="AC63" i="31" s="1"/>
  <c r="AA62" i="31"/>
  <c r="AB62" i="31"/>
  <c r="AC62" i="31" s="1"/>
  <c r="AA65" i="31"/>
  <c r="AB65" i="31"/>
  <c r="AC65" i="31" s="1"/>
  <c r="AA9" i="31"/>
  <c r="AB9" i="31"/>
  <c r="AC9" i="31" s="1"/>
  <c r="AA67" i="31"/>
  <c r="AB67" i="31"/>
  <c r="AC67" i="31" s="1"/>
  <c r="AA70" i="31"/>
  <c r="AB70" i="31"/>
  <c r="AC70" i="31" s="1"/>
  <c r="AA17" i="31"/>
  <c r="AB17" i="31"/>
  <c r="AC17" i="31" s="1"/>
  <c r="AA38" i="31"/>
  <c r="AB38" i="31"/>
  <c r="AC38" i="31" s="1"/>
  <c r="AA57" i="31"/>
  <c r="AB57" i="31"/>
  <c r="AC57" i="31" s="1"/>
  <c r="AA14" i="31"/>
  <c r="AB14" i="31"/>
  <c r="AC14" i="31" s="1"/>
  <c r="AA6" i="31"/>
  <c r="AB6" i="31"/>
  <c r="AC6" i="31" s="1"/>
  <c r="AA16" i="31"/>
  <c r="AB16" i="31"/>
  <c r="AC16" i="31" s="1"/>
  <c r="AA53" i="31"/>
  <c r="AB53" i="31"/>
  <c r="AC53" i="31" s="1"/>
  <c r="AA28" i="31"/>
  <c r="AB28" i="31"/>
  <c r="AC28" i="31" s="1"/>
  <c r="AA59" i="31"/>
  <c r="AB59" i="31"/>
  <c r="AC59" i="31" s="1"/>
  <c r="AA43" i="31"/>
  <c r="AB43" i="31"/>
  <c r="AC43" i="31" s="1"/>
  <c r="AA48" i="31"/>
  <c r="AB48" i="31"/>
  <c r="AC48" i="31" s="1"/>
  <c r="AA44" i="31"/>
  <c r="AB44" i="31"/>
  <c r="AC44" i="31" s="1"/>
  <c r="AA66" i="31"/>
  <c r="AB66" i="31"/>
  <c r="AC66" i="31" s="1"/>
  <c r="AA27" i="31"/>
  <c r="AB27" i="31"/>
  <c r="AC27" i="31" s="1"/>
  <c r="AA55" i="31"/>
  <c r="AB55" i="31"/>
  <c r="AC55" i="31" s="1"/>
  <c r="AA47" i="31"/>
  <c r="AB47" i="31"/>
  <c r="AC47" i="31" s="1"/>
  <c r="AA20" i="31"/>
  <c r="AB20" i="31"/>
  <c r="AC20" i="31" s="1"/>
  <c r="AA5" i="31"/>
  <c r="AB5" i="31"/>
  <c r="AC5" i="31" s="1"/>
  <c r="Z1" i="31"/>
  <c r="V43" i="31"/>
  <c r="V48" i="31"/>
  <c r="V44" i="31"/>
  <c r="V66" i="31"/>
  <c r="V27" i="31"/>
  <c r="V55" i="31"/>
  <c r="V47" i="31"/>
  <c r="V20" i="31"/>
  <c r="V5" i="31"/>
  <c r="V22" i="31"/>
  <c r="V4" i="31"/>
  <c r="V12" i="31"/>
  <c r="V64" i="31"/>
  <c r="V19" i="31"/>
  <c r="V3" i="31"/>
  <c r="V36" i="31"/>
  <c r="V24" i="31"/>
  <c r="V37" i="31"/>
  <c r="T29" i="31"/>
  <c r="V25" i="31"/>
  <c r="V21" i="31"/>
  <c r="W15" i="31"/>
  <c r="T68" i="31"/>
  <c r="W34" i="31"/>
  <c r="T18" i="31"/>
  <c r="T54" i="31"/>
  <c r="W31" i="31"/>
  <c r="W50" i="31"/>
  <c r="V51" i="31"/>
  <c r="V11" i="31"/>
  <c r="V10" i="31"/>
  <c r="V46" i="31"/>
  <c r="V33" i="31"/>
  <c r="V49" i="31"/>
  <c r="V71" i="31"/>
  <c r="V45" i="31"/>
  <c r="V69" i="31"/>
  <c r="V26" i="31"/>
  <c r="V32" i="31"/>
  <c r="V40" i="31"/>
  <c r="V60" i="31"/>
  <c r="V16" i="31"/>
  <c r="V63" i="31"/>
  <c r="V30" i="31"/>
  <c r="V35" i="31"/>
  <c r="V62" i="31"/>
  <c r="V65" i="31"/>
  <c r="T70" i="31"/>
  <c r="T17" i="31"/>
  <c r="T38" i="31"/>
  <c r="V6" i="31"/>
  <c r="T53" i="31"/>
  <c r="W52" i="31"/>
  <c r="T28" i="31"/>
  <c r="T56" i="31"/>
  <c r="T42" i="31"/>
  <c r="W41" i="31"/>
  <c r="T59" i="31"/>
  <c r="W23" i="31"/>
  <c r="T5" i="31"/>
  <c r="T43" i="31"/>
  <c r="T14" i="31"/>
  <c r="T57" i="31"/>
  <c r="T60" i="31"/>
  <c r="T55" i="31"/>
  <c r="W20" i="31"/>
  <c r="T20" i="31"/>
  <c r="W35" i="31"/>
  <c r="T36" i="31"/>
  <c r="W47" i="31"/>
  <c r="W38" i="31"/>
  <c r="T67" i="31"/>
  <c r="W67" i="31"/>
  <c r="W43" i="31"/>
  <c r="T9" i="31"/>
  <c r="W66" i="31"/>
  <c r="T37" i="31"/>
  <c r="T52" i="31"/>
  <c r="W59" i="31"/>
  <c r="T13" i="31"/>
  <c r="W24" i="31"/>
  <c r="T19" i="31"/>
  <c r="T66" i="31"/>
  <c r="W19" i="31"/>
  <c r="W55" i="31"/>
  <c r="W36" i="31"/>
  <c r="T12" i="31"/>
  <c r="T27" i="31"/>
  <c r="T64" i="31"/>
  <c r="T62" i="31"/>
  <c r="W45" i="31"/>
  <c r="W40" i="31"/>
  <c r="W53" i="31"/>
  <c r="W61" i="31"/>
  <c r="W32" i="31"/>
  <c r="W30" i="31"/>
  <c r="W26" i="31"/>
  <c r="T63" i="31"/>
  <c r="T26" i="31"/>
  <c r="T16" i="31"/>
  <c r="T71" i="31"/>
  <c r="T44" i="31"/>
  <c r="T47" i="31"/>
  <c r="W3" i="31"/>
  <c r="T4" i="31"/>
  <c r="T48" i="31"/>
  <c r="T22" i="31"/>
  <c r="W44" i="31"/>
  <c r="W48" i="31"/>
  <c r="W12" i="31"/>
  <c r="W37" i="31"/>
  <c r="T3" i="31"/>
  <c r="T24" i="31"/>
  <c r="W5" i="31"/>
  <c r="W27" i="31"/>
  <c r="W70" i="31"/>
  <c r="W4" i="31"/>
  <c r="W64" i="31"/>
  <c r="T50" i="31"/>
  <c r="W22" i="31"/>
  <c r="T58" i="31"/>
  <c r="W63" i="31"/>
  <c r="W33" i="31"/>
  <c r="T11" i="31"/>
  <c r="W7" i="31"/>
  <c r="T40" i="31"/>
  <c r="T30" i="31"/>
  <c r="W62" i="31"/>
  <c r="T61" i="31"/>
  <c r="T32" i="31"/>
  <c r="T35" i="31"/>
  <c r="W60" i="31"/>
  <c r="W54" i="31"/>
  <c r="W16" i="31"/>
  <c r="T10" i="31"/>
  <c r="W49" i="31"/>
  <c r="W69" i="31"/>
  <c r="W46" i="31"/>
  <c r="T8" i="31"/>
  <c r="T46" i="31"/>
  <c r="W29" i="31"/>
  <c r="W68" i="31"/>
  <c r="T49" i="31"/>
  <c r="T69" i="31"/>
  <c r="W71" i="31"/>
  <c r="T39" i="31"/>
  <c r="T33" i="31"/>
  <c r="W11" i="31"/>
  <c r="W10" i="31"/>
  <c r="T45" i="31"/>
  <c r="V67" i="31"/>
  <c r="V17" i="31"/>
  <c r="V15" i="31"/>
  <c r="W14" i="31"/>
  <c r="V9" i="31"/>
  <c r="V70" i="31"/>
  <c r="V38" i="31"/>
  <c r="V57" i="31"/>
  <c r="W21" i="31"/>
  <c r="W51" i="31"/>
  <c r="W42" i="31"/>
  <c r="W18" i="31"/>
  <c r="V53" i="31"/>
  <c r="V34" i="31"/>
  <c r="V13" i="31"/>
  <c r="V58" i="31"/>
  <c r="V52" i="31"/>
  <c r="V61" i="31"/>
  <c r="V28" i="31"/>
  <c r="V18" i="31"/>
  <c r="V56" i="31"/>
  <c r="V7" i="31"/>
  <c r="V42" i="31"/>
  <c r="V54" i="31"/>
  <c r="V41" i="31"/>
  <c r="V31" i="31"/>
  <c r="V59" i="31"/>
  <c r="V50" i="31"/>
  <c r="V23" i="31"/>
  <c r="V29" i="31"/>
  <c r="V14" i="31"/>
  <c r="T15" i="31"/>
  <c r="T41" i="31"/>
  <c r="T31" i="31"/>
  <c r="T34" i="31"/>
  <c r="T23" i="31"/>
  <c r="W13" i="31"/>
  <c r="W56" i="31"/>
  <c r="W6" i="31"/>
  <c r="W28" i="31"/>
  <c r="W39" i="31"/>
  <c r="T51" i="31"/>
  <c r="S1" i="31"/>
  <c r="W25" i="31"/>
  <c r="W8" i="31"/>
  <c r="W58" i="31"/>
  <c r="W65" i="31"/>
  <c r="W17" i="31"/>
  <c r="W9" i="31"/>
  <c r="W57" i="31"/>
  <c r="V8" i="31"/>
  <c r="V39" i="31"/>
  <c r="V68" i="31"/>
  <c r="T25" i="31"/>
  <c r="T6" i="31"/>
  <c r="T21" i="31"/>
  <c r="T65" i="31"/>
  <c r="T7" i="31"/>
  <c r="AK1" i="31" l="1"/>
  <c r="AC7" i="31"/>
  <c r="AC1" i="31" s="1"/>
  <c r="AB1" i="31"/>
  <c r="AA1" i="31"/>
  <c r="E2" i="36"/>
  <c r="D71" i="36"/>
  <c r="U1" i="31"/>
  <c r="T1" i="31"/>
  <c r="W1" i="31"/>
  <c r="V1" i="31"/>
  <c r="C32" i="29"/>
  <c r="D32" i="29"/>
  <c r="E32" i="29"/>
  <c r="C24" i="29"/>
  <c r="D24" i="29"/>
  <c r="E24" i="29"/>
  <c r="C25" i="29"/>
  <c r="D25" i="29"/>
  <c r="E25" i="29"/>
  <c r="F32" i="29"/>
  <c r="G32" i="29"/>
  <c r="H32" i="29"/>
  <c r="I32" i="29"/>
  <c r="J32" i="29"/>
  <c r="K32" i="29"/>
  <c r="L32" i="29"/>
  <c r="M32" i="29"/>
  <c r="F25" i="29"/>
  <c r="G25" i="29"/>
  <c r="H25" i="29"/>
  <c r="I25" i="29"/>
  <c r="J25" i="29"/>
  <c r="K25" i="29"/>
  <c r="L25" i="29"/>
  <c r="M25" i="29"/>
  <c r="F24" i="29"/>
  <c r="G24" i="29"/>
  <c r="H24" i="29"/>
  <c r="I24" i="29"/>
  <c r="J24" i="29"/>
  <c r="K24" i="29"/>
  <c r="L24" i="29"/>
  <c r="M24" i="29"/>
  <c r="C16" i="29"/>
  <c r="C23" i="29" s="1"/>
  <c r="B32" i="29"/>
  <c r="B25" i="29"/>
  <c r="B24" i="29"/>
  <c r="M16" i="29"/>
  <c r="M23" i="29" s="1"/>
  <c r="L16" i="29"/>
  <c r="L23" i="29" s="1"/>
  <c r="K16" i="29"/>
  <c r="K23" i="29" s="1"/>
  <c r="J16" i="29"/>
  <c r="J23" i="29" s="1"/>
  <c r="I16" i="29"/>
  <c r="I23" i="29" s="1"/>
  <c r="H16" i="29"/>
  <c r="H23" i="29" s="1"/>
  <c r="G16" i="29"/>
  <c r="G23" i="29" s="1"/>
  <c r="F16" i="29"/>
  <c r="F23" i="29" s="1"/>
  <c r="E16" i="29"/>
  <c r="E23" i="29" s="1"/>
  <c r="D16" i="29"/>
  <c r="D23" i="29" s="1"/>
  <c r="M4" i="29"/>
  <c r="L4" i="29"/>
  <c r="K4" i="29"/>
  <c r="J4" i="29"/>
  <c r="I4" i="29"/>
  <c r="H4" i="29"/>
  <c r="G4" i="29"/>
  <c r="F4" i="29"/>
  <c r="E4" i="29"/>
  <c r="D4" i="29"/>
  <c r="C4" i="29"/>
  <c r="M29" i="29"/>
  <c r="L29" i="29"/>
  <c r="F29" i="29"/>
  <c r="C29" i="29"/>
  <c r="E71" i="36" l="1"/>
  <c r="O3" i="29"/>
  <c r="O12" i="29"/>
  <c r="N24" i="29"/>
  <c r="O24" i="29" s="1"/>
  <c r="N25" i="29"/>
  <c r="O25" i="29" s="1"/>
  <c r="O20" i="29"/>
  <c r="O17" i="29"/>
  <c r="O18" i="29"/>
  <c r="N4" i="29"/>
  <c r="O4" i="29" s="1"/>
  <c r="B23" i="29"/>
  <c r="N23" i="29" s="1"/>
  <c r="O23" i="29" s="1"/>
  <c r="N16" i="29"/>
  <c r="O16" i="29" s="1"/>
  <c r="B29" i="29"/>
  <c r="E29" i="29"/>
  <c r="D29" i="29"/>
  <c r="J5" i="29"/>
  <c r="K5" i="29"/>
  <c r="G5" i="29"/>
  <c r="H5" i="29"/>
  <c r="I5" i="29"/>
  <c r="F5" i="29"/>
  <c r="K29" i="29"/>
  <c r="M5" i="29"/>
  <c r="E5" i="29"/>
  <c r="J29" i="29"/>
  <c r="L5" i="29"/>
  <c r="D5" i="29"/>
  <c r="I29" i="29"/>
  <c r="C5" i="29"/>
  <c r="H29" i="29"/>
  <c r="G29" i="29"/>
  <c r="N29" i="29" l="1"/>
  <c r="O29" i="29" s="1"/>
  <c r="O5" i="29"/>
  <c r="N5" i="29"/>
  <c r="D23" i="28" l="1"/>
  <c r="J22" i="28"/>
  <c r="L22" i="28" s="1"/>
  <c r="D24" i="28"/>
  <c r="C26" i="28"/>
  <c r="D27" i="28"/>
  <c r="F28" i="28"/>
  <c r="C25" i="28"/>
  <c r="D26" i="28"/>
  <c r="F27" i="28"/>
  <c r="D25" i="28"/>
  <c r="F26" i="28"/>
  <c r="F25" i="28"/>
  <c r="C27" i="28"/>
  <c r="D28" i="28"/>
  <c r="F29" i="28"/>
  <c r="C29" i="28"/>
  <c r="C28" i="28"/>
  <c r="D29" i="28"/>
  <c r="C22" i="28"/>
  <c r="C24" i="28"/>
  <c r="C23" i="28"/>
  <c r="F22" i="28"/>
  <c r="D22" i="28"/>
  <c r="U4" i="28"/>
  <c r="V3" i="28" s="1"/>
  <c r="C16" i="28"/>
  <c r="C17" i="28"/>
  <c r="C18" i="28"/>
  <c r="C14" i="28"/>
  <c r="C19" i="28"/>
  <c r="C20" i="28"/>
  <c r="C21" i="28"/>
  <c r="C15" i="28"/>
  <c r="D21" i="28"/>
  <c r="F20" i="28"/>
  <c r="D20" i="28"/>
  <c r="C12" i="28"/>
  <c r="C13" i="28"/>
  <c r="C7" i="28"/>
  <c r="C8" i="28"/>
  <c r="C9" i="28"/>
  <c r="C11" i="28"/>
  <c r="C10" i="28"/>
  <c r="F19" i="28"/>
  <c r="D14" i="28"/>
  <c r="D18" i="28"/>
  <c r="D13" i="28"/>
  <c r="D17" i="28"/>
  <c r="D19" i="28"/>
  <c r="D15" i="28"/>
  <c r="D16" i="28"/>
  <c r="D12" i="28"/>
  <c r="D7" i="28"/>
  <c r="D8" i="28"/>
  <c r="D11" i="28"/>
  <c r="D10" i="28"/>
  <c r="A7" i="28"/>
  <c r="D9" i="28"/>
  <c r="F16" i="28" l="1"/>
  <c r="F17" i="28"/>
  <c r="F18" i="28"/>
  <c r="F9" i="28"/>
  <c r="F11" i="28"/>
  <c r="F15" i="28"/>
  <c r="F12" i="28"/>
  <c r="F13" i="28"/>
  <c r="F14" i="28"/>
  <c r="F7" i="28"/>
  <c r="F10" i="28"/>
  <c r="M8" i="28"/>
  <c r="N8" i="28" s="1"/>
  <c r="R8" i="28" s="1"/>
  <c r="F8" i="28"/>
  <c r="G31" i="28"/>
  <c r="I31" i="28"/>
  <c r="Q31" i="28"/>
  <c r="M24" i="28"/>
  <c r="N24" i="28" s="1"/>
  <c r="R24" i="28" s="1"/>
  <c r="F24" i="28"/>
  <c r="M21" i="28"/>
  <c r="N21" i="28" s="1"/>
  <c r="R21" i="28" s="1"/>
  <c r="F21" i="28"/>
  <c r="M23" i="28"/>
  <c r="N23" i="28" s="1"/>
  <c r="R23" i="28" s="1"/>
  <c r="F23" i="28"/>
  <c r="M22" i="28"/>
  <c r="P22" i="28"/>
  <c r="P24" i="28"/>
  <c r="J23" i="28"/>
  <c r="L23" i="28" s="1"/>
  <c r="J24" i="28"/>
  <c r="L24" i="28" s="1"/>
  <c r="P23" i="28"/>
  <c r="P28" i="28"/>
  <c r="M26" i="28"/>
  <c r="P25" i="28"/>
  <c r="J27" i="28"/>
  <c r="J29" i="28"/>
  <c r="P26" i="28"/>
  <c r="P27" i="28"/>
  <c r="P29" i="28"/>
  <c r="J25" i="28"/>
  <c r="J26" i="28"/>
  <c r="J28" i="28"/>
  <c r="M29" i="28"/>
  <c r="M25" i="28"/>
  <c r="M27" i="28"/>
  <c r="M2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P20" i="28"/>
  <c r="M11" i="28"/>
  <c r="M12" i="28"/>
  <c r="M17" i="28"/>
  <c r="M13" i="28"/>
  <c r="M9" i="28"/>
  <c r="M16" i="28"/>
  <c r="M20" i="28"/>
  <c r="M15" i="28"/>
  <c r="M7" i="28"/>
  <c r="M18" i="28"/>
  <c r="M10" i="28"/>
  <c r="M19" i="28"/>
  <c r="M14" i="28"/>
  <c r="J20" i="28"/>
  <c r="K22" i="28"/>
  <c r="J21" i="28"/>
  <c r="L21" i="28" s="1"/>
  <c r="P21" i="28"/>
  <c r="C6" i="28"/>
  <c r="P18" i="28"/>
  <c r="J15" i="28"/>
  <c r="L15" i="28" s="1"/>
  <c r="J16" i="28"/>
  <c r="L16" i="28" s="1"/>
  <c r="P15" i="28"/>
  <c r="J14" i="28"/>
  <c r="L14" i="28" s="1"/>
  <c r="P13" i="28"/>
  <c r="J13" i="28"/>
  <c r="L13" i="28" s="1"/>
  <c r="D6" i="28"/>
  <c r="P17" i="28"/>
  <c r="P14" i="28"/>
  <c r="J19" i="28"/>
  <c r="L19" i="28" s="1"/>
  <c r="J18" i="28"/>
  <c r="L18" i="28" s="1"/>
  <c r="P19" i="28"/>
  <c r="P16" i="28"/>
  <c r="J17" i="28"/>
  <c r="L17" i="28" s="1"/>
  <c r="J12" i="28"/>
  <c r="L12" i="28" s="1"/>
  <c r="P12" i="28"/>
  <c r="J7" i="28"/>
  <c r="J9" i="28"/>
  <c r="L9" i="28" s="1"/>
  <c r="J8" i="28"/>
  <c r="L8" i="28" s="1"/>
  <c r="P8" i="28"/>
  <c r="J11" i="28"/>
  <c r="L11" i="28" s="1"/>
  <c r="J10" i="28"/>
  <c r="L10" i="28" s="1"/>
  <c r="P10" i="28"/>
  <c r="P9" i="28"/>
  <c r="P7" i="28"/>
  <c r="P11" i="28"/>
  <c r="N10" i="28" l="1"/>
  <c r="R10" i="28" s="1"/>
  <c r="N17" i="28"/>
  <c r="R17" i="28" s="1"/>
  <c r="N27" i="28"/>
  <c r="R27" i="28" s="1"/>
  <c r="N18" i="28"/>
  <c r="R18" i="28" s="1"/>
  <c r="N12" i="28"/>
  <c r="R12" i="28" s="1"/>
  <c r="N25" i="28"/>
  <c r="R25" i="28" s="1"/>
  <c r="N7" i="28"/>
  <c r="R7" i="28" s="1"/>
  <c r="N11" i="28"/>
  <c r="O11" i="28" s="1"/>
  <c r="N29" i="28"/>
  <c r="O29" i="28" s="1"/>
  <c r="N20" i="28"/>
  <c r="R20" i="28" s="1"/>
  <c r="N26" i="28"/>
  <c r="R26" i="28" s="1"/>
  <c r="N14" i="28"/>
  <c r="R14" i="28" s="1"/>
  <c r="N15" i="28"/>
  <c r="R15" i="28" s="1"/>
  <c r="N16" i="28"/>
  <c r="R16" i="28" s="1"/>
  <c r="N9" i="28"/>
  <c r="R9" i="28" s="1"/>
  <c r="N19" i="28"/>
  <c r="R19" i="28" s="1"/>
  <c r="N13" i="28"/>
  <c r="R13" i="28" s="1"/>
  <c r="N22" i="28"/>
  <c r="R22" i="28" s="1"/>
  <c r="N28" i="28"/>
  <c r="R28" i="28" s="1"/>
  <c r="K23" i="28"/>
  <c r="O23" i="28"/>
  <c r="O24" i="28"/>
  <c r="K24" i="28"/>
  <c r="L29" i="28"/>
  <c r="K29" i="28"/>
  <c r="L28" i="28"/>
  <c r="K28" i="28"/>
  <c r="L27" i="28"/>
  <c r="K27" i="28"/>
  <c r="K26" i="28"/>
  <c r="L26" i="28"/>
  <c r="L25" i="28"/>
  <c r="K25" i="28"/>
  <c r="C31" i="28"/>
  <c r="L7" i="28"/>
  <c r="K7" i="28"/>
  <c r="J6" i="28"/>
  <c r="J31" i="28" s="1"/>
  <c r="O8" i="28"/>
  <c r="O21" i="28"/>
  <c r="K20" i="28"/>
  <c r="L20" i="28"/>
  <c r="M6" i="28"/>
  <c r="N6" i="28" s="1"/>
  <c r="F6" i="28"/>
  <c r="I32" i="28" s="1"/>
  <c r="K9" i="28"/>
  <c r="K13" i="28"/>
  <c r="K8" i="28"/>
  <c r="K17" i="28"/>
  <c r="K18" i="28"/>
  <c r="K21" i="28"/>
  <c r="K19" i="28"/>
  <c r="K16" i="28"/>
  <c r="K14" i="28"/>
  <c r="K10" i="28"/>
  <c r="K11" i="28"/>
  <c r="K15" i="28"/>
  <c r="K12" i="28"/>
  <c r="P6" i="28"/>
  <c r="P31" i="28" s="1"/>
  <c r="O28" i="28" l="1"/>
  <c r="O15" i="28"/>
  <c r="O20" i="28"/>
  <c r="O18" i="28"/>
  <c r="O17" i="28"/>
  <c r="O25" i="28"/>
  <c r="O26" i="28"/>
  <c r="O13" i="28"/>
  <c r="O16" i="28"/>
  <c r="O22" i="28"/>
  <c r="O10" i="28"/>
  <c r="O19" i="28"/>
  <c r="O7" i="28"/>
  <c r="R11" i="28"/>
  <c r="O14" i="28"/>
  <c r="O9" i="28"/>
  <c r="O12" i="28"/>
  <c r="R29" i="28"/>
  <c r="O27" i="28"/>
  <c r="N31" i="28"/>
  <c r="R6" i="28"/>
  <c r="L6" i="28"/>
  <c r="L31" i="28" s="1"/>
  <c r="K6" i="28"/>
  <c r="K31" i="28" s="1"/>
  <c r="O6" i="28"/>
  <c r="O31" i="28" l="1"/>
  <c r="R31" i="28"/>
  <c r="F9" i="29"/>
  <c r="F26" i="29" s="1"/>
  <c r="F8" i="29"/>
  <c r="F10" i="29"/>
  <c r="F27" i="29" s="1"/>
  <c r="F11" i="29"/>
  <c r="F28" i="29" s="1"/>
  <c r="H11" i="29"/>
  <c r="H28" i="29" s="1"/>
  <c r="H8" i="29"/>
  <c r="H9" i="29"/>
  <c r="H26" i="29" s="1"/>
  <c r="H10" i="29"/>
  <c r="H27" i="29" s="1"/>
  <c r="G11" i="29"/>
  <c r="G28" i="29" s="1"/>
  <c r="G8" i="29"/>
  <c r="G9" i="29"/>
  <c r="G26" i="29" s="1"/>
  <c r="G10" i="29"/>
  <c r="G27" i="29" s="1"/>
  <c r="E9" i="29"/>
  <c r="E26" i="29" s="1"/>
  <c r="E10" i="29"/>
  <c r="E27" i="29" s="1"/>
  <c r="E8" i="29"/>
  <c r="E11" i="29"/>
  <c r="E28" i="29" s="1"/>
  <c r="M9" i="29"/>
  <c r="M26" i="29" s="1"/>
  <c r="M10" i="29"/>
  <c r="M27" i="29" s="1"/>
  <c r="M11" i="29"/>
  <c r="M28" i="29" s="1"/>
  <c r="M8" i="29"/>
  <c r="K9" i="29"/>
  <c r="K26" i="29" s="1"/>
  <c r="K10" i="29"/>
  <c r="K27" i="29" s="1"/>
  <c r="K11" i="29"/>
  <c r="K28" i="29" s="1"/>
  <c r="K8" i="29"/>
  <c r="I10" i="29"/>
  <c r="I27" i="29" s="1"/>
  <c r="I8" i="29"/>
  <c r="I11" i="29"/>
  <c r="I28" i="29" s="1"/>
  <c r="I9" i="29"/>
  <c r="I26" i="29" s="1"/>
  <c r="C9" i="29"/>
  <c r="C26" i="29" s="1"/>
  <c r="C10" i="29"/>
  <c r="C27" i="29" s="1"/>
  <c r="C11" i="29"/>
  <c r="C28" i="29" s="1"/>
  <c r="C8" i="29"/>
  <c r="D9" i="29"/>
  <c r="D26" i="29" s="1"/>
  <c r="D10" i="29"/>
  <c r="D27" i="29" s="1"/>
  <c r="D11" i="29"/>
  <c r="D28" i="29" s="1"/>
  <c r="D8" i="29"/>
  <c r="J8" i="29"/>
  <c r="J10" i="29"/>
  <c r="J27" i="29" s="1"/>
  <c r="J11" i="29"/>
  <c r="J28" i="29" s="1"/>
  <c r="J9" i="29"/>
  <c r="J26" i="29" s="1"/>
  <c r="L9" i="29"/>
  <c r="L26" i="29" s="1"/>
  <c r="L10" i="29"/>
  <c r="L27" i="29" s="1"/>
  <c r="L8" i="29"/>
  <c r="L11" i="29"/>
  <c r="L28" i="29" s="1"/>
  <c r="N8" i="29" l="1"/>
  <c r="O8" i="29" s="1"/>
  <c r="B28" i="29"/>
  <c r="N28" i="29" s="1"/>
  <c r="O28" i="29" s="1"/>
  <c r="N11" i="29"/>
  <c r="O11" i="29" s="1"/>
  <c r="B27" i="29"/>
  <c r="N27" i="29" s="1"/>
  <c r="O27" i="29" s="1"/>
  <c r="N10" i="29"/>
  <c r="O10" i="29" s="1"/>
  <c r="B26" i="29"/>
  <c r="N26" i="29" s="1"/>
  <c r="O26" i="29" s="1"/>
  <c r="N9" i="29"/>
  <c r="O9" i="29" s="1"/>
  <c r="D13" i="29"/>
  <c r="D22" i="29" s="1"/>
  <c r="M13" i="29"/>
  <c r="M22" i="29" s="1"/>
  <c r="I13" i="29"/>
  <c r="I22" i="29" s="1"/>
  <c r="J30" i="29" s="1"/>
  <c r="B22" i="29"/>
  <c r="L13" i="29"/>
  <c r="L22" i="29" s="1"/>
  <c r="M30" i="29" s="1"/>
  <c r="H13" i="29"/>
  <c r="H22" i="29" s="1"/>
  <c r="I30" i="29" s="1"/>
  <c r="C13" i="29"/>
  <c r="C22" i="29" s="1"/>
  <c r="K13" i="29"/>
  <c r="K22" i="29" s="1"/>
  <c r="E13" i="29"/>
  <c r="E22" i="29" s="1"/>
  <c r="G13" i="29"/>
  <c r="G22" i="29" s="1"/>
  <c r="H30" i="29" s="1"/>
  <c r="F13" i="29"/>
  <c r="F22" i="29" s="1"/>
  <c r="G30" i="29" s="1"/>
  <c r="J13" i="29"/>
  <c r="J22" i="29" s="1"/>
  <c r="K30" i="29" s="1"/>
  <c r="L30" i="29" l="1"/>
  <c r="C30" i="29"/>
  <c r="D30" i="29" s="1"/>
  <c r="E30" i="29" s="1"/>
  <c r="F30" i="29" s="1"/>
  <c r="N22" i="29"/>
  <c r="O22" i="29" s="1"/>
  <c r="N13" i="29"/>
  <c r="O13" i="29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F11" i="18" l="1"/>
  <c r="F10" i="18"/>
  <c r="F9" i="18"/>
  <c r="F8" i="18"/>
  <c r="F7" i="18"/>
  <c r="F6" i="18"/>
  <c r="F5" i="18"/>
  <c r="F4" i="18"/>
  <c r="F3" i="18"/>
  <c r="F2" i="18"/>
  <c r="I5" i="12" l="1"/>
  <c r="F5" i="12"/>
  <c r="K8" i="12" l="1"/>
  <c r="K7" i="12"/>
  <c r="E7" i="12"/>
  <c r="H7" i="12"/>
  <c r="H8" i="12"/>
  <c r="E8" i="12"/>
  <c r="J9" i="12"/>
  <c r="F9" i="12"/>
  <c r="D9" i="12"/>
  <c r="G9" i="12"/>
  <c r="C9" i="12"/>
  <c r="I9" i="12"/>
  <c r="E9" i="12" l="1"/>
  <c r="H9" i="12"/>
  <c r="K9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Sourav Saha</author>
  </authors>
  <commentList>
    <comment ref="BC25" authorId="0" shapeId="0" xr:uid="{DA6B4DFB-8882-4896-8079-7C79A8DF6626}">
      <text>
        <r>
          <rPr>
            <b/>
            <sz val="9"/>
            <color indexed="81"/>
            <rFont val="Tahoma"/>
            <family val="2"/>
          </rPr>
          <t>Sourav Saha:</t>
        </r>
        <r>
          <rPr>
            <sz val="9"/>
            <color indexed="81"/>
            <rFont val="Tahoma"/>
            <family val="2"/>
          </rPr>
          <t xml:space="preserve">
from 250 cartoon transfer report from 18th Feb</t>
        </r>
      </text>
    </comment>
    <comment ref="BC47" authorId="0" shapeId="0" xr:uid="{247E1322-DC81-457B-8DE0-41AFA0B6226D}">
      <text>
        <r>
          <rPr>
            <b/>
            <sz val="9"/>
            <color indexed="81"/>
            <rFont val="Tahoma"/>
            <family val="2"/>
          </rPr>
          <t>Sourav Saha:</t>
        </r>
        <r>
          <rPr>
            <sz val="9"/>
            <color indexed="81"/>
            <rFont val="Tahoma"/>
            <family val="2"/>
          </rPr>
          <t xml:space="preserve">
from 250 cartoon transfer report from 18th Feb</t>
        </r>
      </text>
    </comment>
    <comment ref="BC52" authorId="0" shapeId="0" xr:uid="{5B1A0A0B-215B-491E-B38F-AE46152F8E7B}">
      <text>
        <r>
          <rPr>
            <b/>
            <sz val="9"/>
            <color indexed="81"/>
            <rFont val="Tahoma"/>
            <family val="2"/>
          </rPr>
          <t>Sourav Saha:</t>
        </r>
        <r>
          <rPr>
            <sz val="9"/>
            <color indexed="81"/>
            <rFont val="Tahoma"/>
            <family val="2"/>
          </rPr>
          <t xml:space="preserve">
from 250 cartoon transfer report from 18th Feb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37856-D16C-425F-91B2-FBB193862C94}" keepAlive="1" name="Query - November Order" description="Connection to the 'November Order' query in the workbook." type="5" refreshedVersion="0" background="1" saveData="1">
    <dbPr connection="Provider=Microsoft.Mashup.OleDb.1;Data Source=$Workbook$;Location=&quot;November Order&quot;;Extended Properties=&quot;&quot;" command="SELECT * FROM [November Order]"/>
  </connection>
  <connection id="2" xr16:uid="{E171669F-65FC-4A16-9279-72F4FEF85E7B}" keepAlive="1" name="Query - November Order (2)" description="Connection to the 'November Order (2)' query in the workbook." type="5" refreshedVersion="0" background="1">
    <dbPr connection="Provider=Microsoft.Mashup.OleDb.1;Data Source=$Workbook$;Location=&quot;November Order (2)&quot;;Extended Properties=&quot;&quot;" command="SELECT * FROM [November Order (2)]"/>
  </connection>
  <connection id="3" xr16:uid="{AEE0E7D3-8CF9-4986-835C-BE1054F9CB16}" keepAlive="1" name="Query - November Order (3)" description="Connection to the 'November Order (3)' query in the workbook." type="5" refreshedVersion="8" background="1" saveData="1">
    <dbPr connection="Provider=Microsoft.Mashup.OleDb.1;Data Source=$Workbook$;Location=&quot;November Order (3)&quot;;Extended Properties=&quot;&quot;" command="SELECT * FROM [November Order (3)]"/>
  </connection>
  <connection id="4" xr16:uid="{7C508B02-29A8-4B92-9E73-E67E77FDC31A}" keepAlive="1" name="Query - November Order (4)" description="Connection to the 'November Order (4)' query in the workbook." type="5" refreshedVersion="0" background="1">
    <dbPr connection="Provider=Microsoft.Mashup.OleDb.1;Data Source=$Workbook$;Location=&quot;November Order (4)&quot;;Extended Properties=&quot;&quot;" command="SELECT * FROM [November Order (4)]"/>
  </connection>
  <connection id="5" xr16:uid="{39678B42-E663-4381-BFF9-820ED4DB7A5E}" keepAlive="1" name="Query - November Order (5)" description="Connection to the 'November Order (5)' query in the workbook." type="5" refreshedVersion="8" background="1" saveData="1">
    <dbPr connection="Provider=Microsoft.Mashup.OleDb.1;Data Source=$Workbook$;Location=&quot;November Order (5)&quot;;Extended Properties=&quot;&quot;" command="SELECT * FROM [November Order (5)]"/>
  </connection>
  <connection id="6" xr16:uid="{110CE8D1-2AFD-418E-A82D-5BE746EAFF38}" keepAlive="1" name="Query - November Order (6)" description="Connection to the 'November Order (6)' query in the workbook." type="5" refreshedVersion="0" background="1">
    <dbPr connection="Provider=Microsoft.Mashup.OleDb.1;Data Source=$Workbook$;Location=&quot;November Order (6)&quot;;Extended Properties=&quot;&quot;" command="SELECT * FROM [November Order (6)]"/>
  </connection>
  <connection id="7" xr16:uid="{49A30435-5D77-47DB-9E12-AAB9184BC365}" keepAlive="1" name="Query - November Order (7)" description="Connection to the 'November Order (7)' query in the workbook." type="5" refreshedVersion="0" background="1" saveData="1">
    <dbPr connection="Provider=Microsoft.Mashup.OleDb.1;Data Source=$Workbook$;Location=&quot;November Order (7)&quot;;Extended Properties=&quot;&quot;" command="SELECT * FROM [November Order (7)]"/>
  </connection>
  <connection id="8" xr16:uid="{19471EE2-8DE7-46D3-95EC-8FC211472691}" keepAlive="1" name="Query - November Order (8)" description="Connection to the 'November Order (8)' query in the workbook." type="5" refreshedVersion="8" background="1" saveData="1">
    <dbPr connection="Provider=Microsoft.Mashup.OleDb.1;Data Source=$Workbook$;Location=&quot;November Order (8)&quot;;Extended Properties=&quot;&quot;" command="SELECT * FROM [November Order (8)]"/>
  </connection>
  <connection id="9" xr16:uid="{E24055E6-FC00-46CB-92A3-3CBD0C51E690}" keepAlive="1" name="Query - November Order_8" description="Connection to the 'November Order_8' query in the workbook." type="5" refreshedVersion="0" background="1">
    <dbPr connection="Provider=Microsoft.Mashup.OleDb.1;Data Source=$Workbook$;Location=&quot;November Order_8&quot;;Extended Properties=&quot;&quot;" command="SELECT * FROM [November Order_8]"/>
  </connection>
  <connection id="10" xr16:uid="{13AB8E96-F2D4-4F99-BFF7-B405DDB583B8}" keepAlive="1" name="Query - November_Order__5" description="Connection to the 'November_Order__5' query in the workbook." type="5" refreshedVersion="0" background="1">
    <dbPr connection="Provider=Microsoft.Mashup.OleDb.1;Data Source=$Workbook$;Location=November_Order__5;Extended Properties=&quot;&quot;" command="SELECT * FROM [November_Order__5]"/>
  </connection>
  <connection id="11" xr16:uid="{97684353-EBBC-4EE7-A0A8-78F01E654B95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2" xr16:uid="{BDC9CCA6-6595-43FF-8036-4EF736A2EA2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3" xr16:uid="{4D496D01-D3CD-4081-9806-8C14FDA975EA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4" xr16:uid="{B697E50C-6FCB-4C45-BB12-AE5CEEDE451C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5" xr16:uid="{C577AAD8-AB91-439B-880C-CFFF472E8F7D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6" xr16:uid="{33D46D80-5EB0-4884-B052-619AB00BB06B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7" xr16:uid="{00C18841-DBB0-46A9-A466-B26C13C43D87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8" xr16:uid="{26E785C5-2D5F-40A5-83A2-D281757FE8AE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19" xr16:uid="{3E75775C-A44C-495A-BF69-3403F6E00D81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0" xr16:uid="{84817A07-7C6E-430F-8858-AB427E575ACF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1" xr16:uid="{B8BA73FC-766E-461F-B77A-D7EB54D05F63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2" xr16:uid="{068310D9-A802-48A9-B604-BD683C0D10FC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3" xr16:uid="{DA5FA017-501F-44A9-9038-D5179C0D9F11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4" xr16:uid="{6C5624DC-0431-4840-9C0E-07AF8A672677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5" xr16:uid="{0A32B0EC-3D64-45E3-85A6-DB9827425D0C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6" xr16:uid="{B23FE09B-2B32-4D29-B12D-246B54B17624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7" xr16:uid="{3E859882-0E9F-453B-AC1A-D8DDB109DBE0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8" xr16:uid="{946A73DC-374E-4EDE-8B4E-AA7B31FA8F62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29" xr16:uid="{635B806A-52C6-427D-8D4C-79C21506930E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0" xr16:uid="{454BF151-7037-4C60-B3CD-2270E093457F}" keepAlive="1" name="Query - Testing forms" description="Connection to the 'Testing forms' query in the workbook." type="5" refreshedVersion="8" background="1" saveData="1">
    <dbPr connection="Provider=Microsoft.Mashup.OleDb.1;Data Source=$Workbook$;Location=&quot;Testing forms&quot;;Extended Properties=&quot;&quot;" command="SELECT * FROM [Testing forms]"/>
  </connection>
  <connection id="31" xr16:uid="{D9DFFA4D-EA0E-4B30-8CBB-10137858770F}" keepAlive="1" name="Query - Testing forms (3)" description="Connection to the 'Testing forms (3)' query in the workbook." type="5" refreshedVersion="8" background="1" saveData="1">
    <dbPr connection="Provider=Microsoft.Mashup.OleDb.1;Data Source=$Workbook$;Location=&quot;Testing forms (3)&quot;;Extended Properties=&quot;&quot;" command="SELECT * FROM [Testing forms (3)]"/>
  </connection>
  <connection id="32" xr16:uid="{30DBF64F-017E-431E-9E48-772D55B41CC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3" xr16:uid="{C893769A-8168-4AC4-848D-6595BABE663F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4" xr16:uid="{AFCFF66A-3AAE-4026-A325-604E08454F1F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5" xr16:uid="{029BDA22-9C26-4929-9911-0D01FBB8245F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6" xr16:uid="{7A2ACBA3-DA1E-4230-BDC0-DD72C8439B1C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37" xr16:uid="{531AC407-7FAC-492B-9427-A47A90BDD706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8" xr16:uid="{05CB3A29-9D86-440B-BB8E-326A1E9CEC75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9" xr16:uid="{07C61699-B903-4BCA-AB9E-2241BB2CEF3A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40" xr16:uid="{8FBBDF51-6F8B-4D89-85A2-B884F55ED9A5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1" xr16:uid="{341D2767-C35B-45A3-A78E-7E6249C6C673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2" xr16:uid="{A4A6AFD6-A554-4ECD-A91F-583E95D1730E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3" xr16:uid="{1B40672A-A250-40C4-96B9-8649828BBA03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4" xr16:uid="{D367BCD3-9617-4B51-8FFC-372B661B2EA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45" xr16:uid="{B3B957DF-E7ED-4A89-A4CC-451CD1EA74BF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46" xr16:uid="{87FCEA4F-6A89-40C0-9CCB-90E7875E9855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47" xr16:uid="{589DCF54-E8DE-4F60-B1B1-EBFB5D134006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48" xr16:uid="{4365A721-F478-45EE-AF6D-1313975C0C6D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9" xr16:uid="{9BCBD96E-AA41-4C08-BAF4-21D592F22EEC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0" xr16:uid="{19A0CCB6-6525-4664-82BE-DA8E635099AD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  <connection id="51" xr16:uid="{6A410DD9-5F16-4013-B24F-36BFE8D7DB8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2" xr16:uid="{6BC01116-1777-42E3-934C-F8F7FC1CCBEC}" name="WorksheetConnection_Primary Sales Daily Report 2025.xlsm!Current_Stock" type="102" refreshedVersion="8" minRefreshableVersion="5">
    <extLst>
      <ext xmlns:x15="http://schemas.microsoft.com/office/spreadsheetml/2010/11/main" uri="{DE250136-89BD-433C-8126-D09CA5730AF9}">
        <x15:connection id="Current_Stock">
          <x15:rangePr sourceName="_xlcn.WorksheetConnection_PrimarySalesDailyReport2025.xlsmCurrent_Stock1"/>
        </x15:connection>
      </ext>
    </extLst>
  </connection>
  <connection id="53" xr16:uid="{7F1AD501-16D2-48C4-BBA6-D0DD519DD4A5}" name="WorksheetConnection_Primary Sales Daily Report 2025.xlsm!SKU" type="102" refreshedVersion="8" minRefreshableVersion="5">
    <extLst>
      <ext xmlns:x15="http://schemas.microsoft.com/office/spreadsheetml/2010/11/main" uri="{DE250136-89BD-433C-8126-D09CA5730AF9}">
        <x15:connection id="SKU">
          <x15:rangePr sourceName="_xlcn.WorksheetConnection_PrimarySalesDailyReport2025.xlsmSKU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<sst xmlns="http://schemas.openxmlformats.org/spreadsheetml/2006/main" count="10247" uniqueCount="1512">
  <si>
    <t>Date</t>
  </si>
  <si>
    <t>MMD</t>
  </si>
  <si>
    <t>AM</t>
  </si>
  <si>
    <t>Payment Type</t>
  </si>
  <si>
    <t>Product Name</t>
  </si>
  <si>
    <t>MMD ID</t>
  </si>
  <si>
    <t>Sales Reciept</t>
  </si>
  <si>
    <t>TSM/TSE</t>
  </si>
  <si>
    <t>Location</t>
  </si>
  <si>
    <t>Delvery Address</t>
  </si>
  <si>
    <t>To Dealer(Contact no)</t>
  </si>
  <si>
    <t>Total Qty</t>
  </si>
  <si>
    <t>Order Qty(Piece)</t>
  </si>
  <si>
    <t>After Discount Price/Piece</t>
  </si>
  <si>
    <t>3000 4T PLUS 10W30</t>
  </si>
  <si>
    <t>51004T 10W30 ESTER</t>
  </si>
  <si>
    <t>51004T 10W40 ESTER</t>
  </si>
  <si>
    <t>Retailer</t>
  </si>
  <si>
    <t>Product ID</t>
  </si>
  <si>
    <t>Price/Piece</t>
  </si>
  <si>
    <t>Discount Percentage</t>
  </si>
  <si>
    <t>Free Quantity</t>
  </si>
  <si>
    <t>Total Volume</t>
  </si>
  <si>
    <t>Gross Price</t>
  </si>
  <si>
    <t>Vat(15%)</t>
  </si>
  <si>
    <t>Net Total(-15%)</t>
  </si>
  <si>
    <t>D-0018</t>
  </si>
  <si>
    <t>Sultan Anisul Islam</t>
  </si>
  <si>
    <t>Razur Rahman (Bipul)</t>
  </si>
  <si>
    <t>KB Lubricants</t>
  </si>
  <si>
    <t>Kadamtoli</t>
  </si>
  <si>
    <t>LO00041</t>
  </si>
  <si>
    <t>LO00073</t>
  </si>
  <si>
    <t>LO00096</t>
  </si>
  <si>
    <t>3000 4T PLUS 20W40</t>
  </si>
  <si>
    <t>LO00045</t>
  </si>
  <si>
    <t>LO00046</t>
  </si>
  <si>
    <t>LO00070</t>
  </si>
  <si>
    <t>C2 CHAIN LUBE ROAD</t>
  </si>
  <si>
    <t>Sayed Al Amin Apu</t>
  </si>
  <si>
    <t>Abdul Matin</t>
  </si>
  <si>
    <t>Maa Auto</t>
  </si>
  <si>
    <t>Mirpur 10</t>
  </si>
  <si>
    <t>LO00104</t>
  </si>
  <si>
    <t>7100 4T 10W30 ESTER CORE®</t>
  </si>
  <si>
    <t>Md. Robin Sheikh</t>
  </si>
  <si>
    <t>Bajaj Parts Center</t>
  </si>
  <si>
    <t>Taltola</t>
  </si>
  <si>
    <t>LO00099</t>
  </si>
  <si>
    <t>RUN 4T 20W40</t>
  </si>
  <si>
    <t/>
  </si>
  <si>
    <t>Daraz</t>
  </si>
  <si>
    <t>Dhaka</t>
  </si>
  <si>
    <t>LO00042</t>
  </si>
  <si>
    <t>LO00043</t>
  </si>
  <si>
    <t>3000 4T PLUS 10W40</t>
  </si>
  <si>
    <t>LO00074</t>
  </si>
  <si>
    <t>LO00047</t>
  </si>
  <si>
    <t>LO00048</t>
  </si>
  <si>
    <t>LO00072</t>
  </si>
  <si>
    <t>Scooter LE 4T 10W30 HC-TECH®</t>
  </si>
  <si>
    <t>Transport Discount</t>
  </si>
  <si>
    <t>Final Price</t>
  </si>
  <si>
    <t>Remarks</t>
  </si>
  <si>
    <t>Md. Mafsidul Haque(Rana)</t>
  </si>
  <si>
    <t>Global Trading</t>
  </si>
  <si>
    <t>Jashore Road</t>
  </si>
  <si>
    <t>LO00113</t>
  </si>
  <si>
    <t>Tekma Turbo 20W50</t>
  </si>
  <si>
    <t>D-0007</t>
  </si>
  <si>
    <t>Bhuiyan Corporation</t>
  </si>
  <si>
    <t>LO00087</t>
  </si>
  <si>
    <t>4000 Motion Plus 15W40</t>
  </si>
  <si>
    <t>LO00097</t>
  </si>
  <si>
    <t>31004T GOLD 10W40</t>
  </si>
  <si>
    <t>LO00044</t>
  </si>
  <si>
    <t>31004T GOLD 20W50</t>
  </si>
  <si>
    <t>LO00071</t>
  </si>
  <si>
    <t>31004T GOLD 10W30</t>
  </si>
  <si>
    <t>Mahamudul Hasan Milon</t>
  </si>
  <si>
    <t xml:space="preserve">Wari </t>
  </si>
  <si>
    <t>LO00119</t>
  </si>
  <si>
    <t>3000 4T 20W50</t>
  </si>
  <si>
    <t>Md. Hasemi Rafsan</t>
  </si>
  <si>
    <t>Raihan Siddiqui</t>
  </si>
  <si>
    <t>Tuba Motors</t>
  </si>
  <si>
    <t>Bogura Sadar</t>
  </si>
  <si>
    <t>Captive Sales</t>
  </si>
  <si>
    <t>Rancon Motor Bikes Ltd</t>
  </si>
  <si>
    <t>D-0024</t>
  </si>
  <si>
    <t>D-0006</t>
  </si>
  <si>
    <t>Maliha Enterprise</t>
  </si>
  <si>
    <t>Sadrul Abedin Foysal</t>
  </si>
  <si>
    <t>Savar</t>
  </si>
  <si>
    <t>Order Volume(ltr)</t>
  </si>
  <si>
    <t>D-0027</t>
  </si>
  <si>
    <t>LO00062</t>
  </si>
  <si>
    <t>D-0001</t>
  </si>
  <si>
    <t>M/S Hasan Traders</t>
  </si>
  <si>
    <t>LO00120</t>
  </si>
  <si>
    <t>D-0014</t>
  </si>
  <si>
    <t>City Lubricants</t>
  </si>
  <si>
    <t>D-0003</t>
  </si>
  <si>
    <t>D-0011</t>
  </si>
  <si>
    <t>LO00116</t>
  </si>
  <si>
    <t>LO00118</t>
  </si>
  <si>
    <t>LO00061</t>
  </si>
  <si>
    <t>LO00117</t>
  </si>
  <si>
    <t>D-0023</t>
  </si>
  <si>
    <t>Bondhu Motors</t>
  </si>
  <si>
    <t>D-0025</t>
  </si>
  <si>
    <t>Mobil Mart</t>
  </si>
  <si>
    <t>M/S Akata Container Carrier Service</t>
  </si>
  <si>
    <t>LO00102</t>
  </si>
  <si>
    <t>D-0012</t>
  </si>
  <si>
    <t>D-0013</t>
  </si>
  <si>
    <t>D-0009</t>
  </si>
  <si>
    <t>LO00065</t>
  </si>
  <si>
    <t>D-0010</t>
  </si>
  <si>
    <t>City Trading</t>
  </si>
  <si>
    <t>D-0019</t>
  </si>
  <si>
    <t>SS Lub Mart</t>
  </si>
  <si>
    <t>D-0004</t>
  </si>
  <si>
    <t>D-0015</t>
  </si>
  <si>
    <t>MK Trading Corporation</t>
  </si>
  <si>
    <t>Zam Zam Traders</t>
  </si>
  <si>
    <t>LO00068</t>
  </si>
  <si>
    <t>D-0016</t>
  </si>
  <si>
    <t>MR Enterprise</t>
  </si>
  <si>
    <t>Riters Enterprise</t>
  </si>
  <si>
    <t>Power Battery &amp; Tyre</t>
  </si>
  <si>
    <t>LO00108</t>
  </si>
  <si>
    <t>D-0021</t>
  </si>
  <si>
    <t>D-0028</t>
  </si>
  <si>
    <t>Rancon Agro Machinery Limited</t>
  </si>
  <si>
    <t>LO00123</t>
  </si>
  <si>
    <t>LO00124</t>
  </si>
  <si>
    <t>LO00125</t>
  </si>
  <si>
    <t>LO00126</t>
  </si>
  <si>
    <t>D-0005</t>
  </si>
  <si>
    <t>Alam Traders</t>
  </si>
  <si>
    <t>D-0026</t>
  </si>
  <si>
    <t>Rangs Workshop Limited</t>
  </si>
  <si>
    <t>LO00088</t>
  </si>
  <si>
    <t>Niloy Motors Ltd</t>
  </si>
  <si>
    <t>LO00064</t>
  </si>
  <si>
    <t>OnnoRokom Web Services ltd</t>
  </si>
  <si>
    <t>LO00067</t>
  </si>
  <si>
    <t>LO00069</t>
  </si>
  <si>
    <t>LO00093</t>
  </si>
  <si>
    <t>D-0017</t>
  </si>
  <si>
    <t>SS Corporation</t>
  </si>
  <si>
    <t>LO00076</t>
  </si>
  <si>
    <t>Al Bari Enterprise</t>
  </si>
  <si>
    <t>LO00100</t>
  </si>
  <si>
    <t>HyBrid Express</t>
  </si>
  <si>
    <t>LO00075</t>
  </si>
  <si>
    <t>LO00103</t>
  </si>
  <si>
    <t>Nawaz Traders</t>
  </si>
  <si>
    <t>LO00115</t>
  </si>
  <si>
    <t>LO00114</t>
  </si>
  <si>
    <t>LO00109</t>
  </si>
  <si>
    <t>D-0008</t>
  </si>
  <si>
    <t>Reliant Trading</t>
  </si>
  <si>
    <t>LO00098</t>
  </si>
  <si>
    <t>Kawser Motors</t>
  </si>
  <si>
    <t>LO00110</t>
  </si>
  <si>
    <t>N Islam Automobiles</t>
  </si>
  <si>
    <t>LO00107</t>
  </si>
  <si>
    <t>Azad Group</t>
  </si>
  <si>
    <t>D-0002</t>
  </si>
  <si>
    <t>M/S Talukder Enterprise</t>
  </si>
  <si>
    <t>SK Corporation</t>
  </si>
  <si>
    <t>Rashid Cycle</t>
  </si>
  <si>
    <t>Option One</t>
  </si>
  <si>
    <t>M/S Hazipur Trading</t>
  </si>
  <si>
    <t>Safe Energy</t>
  </si>
  <si>
    <t>LO00111</t>
  </si>
  <si>
    <t>Ananda Shipyard</t>
  </si>
  <si>
    <t>LO00101</t>
  </si>
  <si>
    <t>LO00105</t>
  </si>
  <si>
    <t>LO00089</t>
  </si>
  <si>
    <t>Car Aid</t>
  </si>
  <si>
    <t>Moto Tech BD</t>
  </si>
  <si>
    <t>M Nippon Autos</t>
  </si>
  <si>
    <t>LO00112</t>
  </si>
  <si>
    <t>BS Motors</t>
  </si>
  <si>
    <t>D-0020</t>
  </si>
  <si>
    <t>Alam Brother</t>
  </si>
  <si>
    <t>LO00086</t>
  </si>
  <si>
    <t>Gazi Enterprise</t>
  </si>
  <si>
    <t>Ashmani Poribahan</t>
  </si>
  <si>
    <t>Dolphin Enterprise</t>
  </si>
  <si>
    <t>LO00090</t>
  </si>
  <si>
    <t>Rancon British Motors Ltd</t>
  </si>
  <si>
    <t>D-0022</t>
  </si>
  <si>
    <t>Mokka Auto</t>
  </si>
  <si>
    <t>LO00095</t>
  </si>
  <si>
    <t>M/S M Sultan Transport Agency</t>
  </si>
  <si>
    <t>After-Market</t>
  </si>
  <si>
    <t>Volume</t>
  </si>
  <si>
    <t>Revenue</t>
  </si>
  <si>
    <t>Rev/Ltr</t>
  </si>
  <si>
    <t>Last Day's Sale</t>
  </si>
  <si>
    <t>Year to Date</t>
  </si>
  <si>
    <t>Month to Date</t>
  </si>
  <si>
    <t>Total</t>
  </si>
  <si>
    <t>Volume(Ltr)</t>
  </si>
  <si>
    <t>SKU ID</t>
  </si>
  <si>
    <t>Product with Pack Size</t>
  </si>
  <si>
    <t>300V FL 10W40 ESTER CORE® 12x1L</t>
  </si>
  <si>
    <t>71004T 10W30 ESTER CORE® 12x1L</t>
  </si>
  <si>
    <t>7100 4T 10W30 ESTER CORE® 20x1.2L</t>
  </si>
  <si>
    <t>71004T 10W40 ESTER CORE® 12x1L</t>
  </si>
  <si>
    <t>71004T 20W50 ESTER CORE® 12x1L</t>
  </si>
  <si>
    <t>51004T 10W30 ESTER 12x1L</t>
  </si>
  <si>
    <t>51004T 10W40 ESTER 12x1L</t>
  </si>
  <si>
    <t>31004T GOLD 10W30 20x1L</t>
  </si>
  <si>
    <t>31004T GOLD 10W40 20x1L</t>
  </si>
  <si>
    <t>31004T GOLD 20W50 20x1L</t>
  </si>
  <si>
    <t>3000 4T PLUS 10W30 20x1L</t>
  </si>
  <si>
    <t>3000 4T PLUS 10W30 20x1.2L</t>
  </si>
  <si>
    <t>3000 4T PLUS 10W40 20x1L</t>
  </si>
  <si>
    <t>3000 4T PLUS 20W40 20x1L</t>
  </si>
  <si>
    <t>3000 4T PLUS 20W40 20x1.2L</t>
  </si>
  <si>
    <t>3000 4T 20W50 20x1L</t>
  </si>
  <si>
    <t>3000 4T 20W50 20x1.2L</t>
  </si>
  <si>
    <t>RUN 4T 20W40 20x1L</t>
  </si>
  <si>
    <t>Scooter LE 4T 10W30 HC-TECH® 20x0.8L</t>
  </si>
  <si>
    <t>Fork Oil Expert 175ml 40x0.175L</t>
  </si>
  <si>
    <t>Fork Oil Expert 350ml 20x0.35L</t>
  </si>
  <si>
    <t>Inugel Expert Coolant 20x1L</t>
  </si>
  <si>
    <t>IRIX Long Life Grease 20x0.5L</t>
  </si>
  <si>
    <t>C1 CHAIN CLEAN 20x0.15L</t>
  </si>
  <si>
    <t>C1 CHAIN CLEAN 12x0.4L</t>
  </si>
  <si>
    <t>C2 CHAIN LUBE ROAD 20x0.15L</t>
  </si>
  <si>
    <t>C2 CHAIN LUBE ROAD 12x0.4L</t>
  </si>
  <si>
    <t>Helmet Interior Clean 12x0.25L</t>
  </si>
  <si>
    <t>Helmet &amp; Visor Clean 12x0.25L</t>
  </si>
  <si>
    <t>Tire Repair 12x0.3L</t>
  </si>
  <si>
    <t>Brake Fluid DOT 4 40x.100L</t>
  </si>
  <si>
    <t>Brake Fluid DOT 3&amp;4 12x0.5L</t>
  </si>
  <si>
    <t>Engine Flush 24x.050L</t>
  </si>
  <si>
    <t>LO00121</t>
  </si>
  <si>
    <t>Engine Flush 24x0.25L</t>
  </si>
  <si>
    <t>LO00094</t>
  </si>
  <si>
    <t>System Keep Clean Petrol 12x0.30L</t>
  </si>
  <si>
    <t>LO00122</t>
  </si>
  <si>
    <t>System Keep Clean Petrol 24x0.20L</t>
  </si>
  <si>
    <t>System Keep Clean Petrol 24x.050L</t>
  </si>
  <si>
    <t>ECO TEC Clean 0W20 4x4L</t>
  </si>
  <si>
    <t>8100 X.Max OW40 4x4L</t>
  </si>
  <si>
    <t>ECO TEC Plus 5W30 4x4L</t>
  </si>
  <si>
    <t>4000 Motion Plus 10W30 4x4L</t>
  </si>
  <si>
    <t>4000 Motion Plus 15W40 4x4L</t>
  </si>
  <si>
    <t>2000 Multi Power 20W50 20x1L</t>
  </si>
  <si>
    <t>2000 Multi Power 20W50 4X4L</t>
  </si>
  <si>
    <t>MULTI ATF 12x1L</t>
  </si>
  <si>
    <t>LO00106</t>
  </si>
  <si>
    <t>MULTI CVTF 12x1L</t>
  </si>
  <si>
    <t>Tekma Mega Fleet LD 15W40 20x1L</t>
  </si>
  <si>
    <t>Tekma Mega Fleet LD 15W40 11L</t>
  </si>
  <si>
    <t>Tekma Mega Fleet LD 15W40 15L</t>
  </si>
  <si>
    <t>Tekma Turbo 20W50 20x1L</t>
  </si>
  <si>
    <t>Tekma Turbo 20W50 4x5L</t>
  </si>
  <si>
    <t>Tekma Turbo 20W50 11L</t>
  </si>
  <si>
    <t>Tekma Turbo 20W50 15L</t>
  </si>
  <si>
    <t>Tekma Turbo 20W50 18L</t>
  </si>
  <si>
    <t>Agri Super 15W40 20x1L</t>
  </si>
  <si>
    <t>Agri Super 15W40 4x5L</t>
  </si>
  <si>
    <t>Agri Super 15W40 7.5L</t>
  </si>
  <si>
    <t>Agri Super 15W40 10L</t>
  </si>
  <si>
    <t>Type</t>
  </si>
  <si>
    <t>D-0030</t>
  </si>
  <si>
    <t>Mahim Motors</t>
  </si>
  <si>
    <t>Uttara</t>
  </si>
  <si>
    <t>Konabari</t>
  </si>
  <si>
    <t>Run 4T 20W50 20X1L</t>
  </si>
  <si>
    <t>3100 GOLD 5W30 20X1L</t>
  </si>
  <si>
    <t>CNG EXPERT 20W50 20X1L</t>
  </si>
  <si>
    <t>Monirul Islam</t>
  </si>
  <si>
    <t>Md. Shahriar Ferdoush</t>
  </si>
  <si>
    <t>Rangpur</t>
  </si>
  <si>
    <t>01784398413</t>
  </si>
  <si>
    <t>Surma trading</t>
  </si>
  <si>
    <t>Saydabad</t>
  </si>
  <si>
    <t>SKU</t>
  </si>
  <si>
    <t>PackSize</t>
  </si>
  <si>
    <t>Cartoon Size</t>
  </si>
  <si>
    <t>Bottle Size(Ltr)</t>
  </si>
  <si>
    <t>Price/Pack</t>
  </si>
  <si>
    <t>Price/L</t>
  </si>
  <si>
    <t>Category</t>
  </si>
  <si>
    <t>Grade Type</t>
  </si>
  <si>
    <t>RMBL Price</t>
  </si>
  <si>
    <t>300V FL 10W40 ESTER CORE®</t>
  </si>
  <si>
    <t>12x1L</t>
  </si>
  <si>
    <t>MCO</t>
  </si>
  <si>
    <t>Synthetic</t>
  </si>
  <si>
    <t>20x1.2L</t>
  </si>
  <si>
    <t>Technosynthese</t>
  </si>
  <si>
    <t>20x1L</t>
  </si>
  <si>
    <t>Mineral</t>
  </si>
  <si>
    <t>20x0.8L</t>
  </si>
  <si>
    <t>40x0.175L</t>
  </si>
  <si>
    <t>Care Products</t>
  </si>
  <si>
    <t>20x0.35L</t>
  </si>
  <si>
    <t>Inugel Expert Coolant</t>
  </si>
  <si>
    <t>IRIX Long Life Grease</t>
  </si>
  <si>
    <t>20x0.5L</t>
  </si>
  <si>
    <t>C1 CHAIN CLEAN</t>
  </si>
  <si>
    <t>20x0.15L</t>
  </si>
  <si>
    <t>12x0.4L</t>
  </si>
  <si>
    <t>Helmet Interior Clean</t>
  </si>
  <si>
    <t>12x0.25L</t>
  </si>
  <si>
    <t>Helmet &amp; Visor Clean</t>
  </si>
  <si>
    <t>Tire Repair</t>
  </si>
  <si>
    <t>12x0.3L</t>
  </si>
  <si>
    <t>Brake Fluid DOT 4</t>
  </si>
  <si>
    <t>Brake Fluid DOT 3&amp;4</t>
  </si>
  <si>
    <t>12x0.5L</t>
  </si>
  <si>
    <t>Engine Flush</t>
  </si>
  <si>
    <t>24x0.25L</t>
  </si>
  <si>
    <t>System Keep Clean Petrol</t>
  </si>
  <si>
    <t>12x0.30L</t>
  </si>
  <si>
    <t>24x0.20L</t>
  </si>
  <si>
    <t>ECO TEC Clean 0W20</t>
  </si>
  <si>
    <t>4x4L</t>
  </si>
  <si>
    <t>PCMO</t>
  </si>
  <si>
    <t>ECO TEC Plus 5W30</t>
  </si>
  <si>
    <t>4000 Motion Plus 10W30</t>
  </si>
  <si>
    <t>2000 Multi Power 20W50</t>
  </si>
  <si>
    <t>4X4L</t>
  </si>
  <si>
    <t>MULTI ATF</t>
  </si>
  <si>
    <t>MULTI CVTF</t>
  </si>
  <si>
    <t>Tekma Mega Fleet LD 15W40</t>
  </si>
  <si>
    <t>HDDO</t>
  </si>
  <si>
    <t>11L</t>
  </si>
  <si>
    <t>15L</t>
  </si>
  <si>
    <t>4x5L</t>
  </si>
  <si>
    <t>18L</t>
  </si>
  <si>
    <t>Agri Super 15W40</t>
  </si>
  <si>
    <t>Agri</t>
  </si>
  <si>
    <t>7.5L</t>
  </si>
  <si>
    <t>10L</t>
  </si>
  <si>
    <t>LO00049</t>
  </si>
  <si>
    <t>4100 POWER 5W30 4X3.5L</t>
  </si>
  <si>
    <t>4100 POWER 5W30</t>
  </si>
  <si>
    <t>4X3.5L</t>
  </si>
  <si>
    <t>LO00050</t>
  </si>
  <si>
    <t>8100 X-CESS 5W40 4X5L</t>
  </si>
  <si>
    <t>8100 X-CESS 5W40</t>
  </si>
  <si>
    <t>4X5L</t>
  </si>
  <si>
    <t>LO00063</t>
  </si>
  <si>
    <t>Long Life Grease 20X.5L</t>
  </si>
  <si>
    <t>Long Life Grease</t>
  </si>
  <si>
    <t>20X.5L</t>
  </si>
  <si>
    <t>LO00066</t>
  </si>
  <si>
    <t>Motocool Expert 12X1L</t>
  </si>
  <si>
    <t>Motocool Expert</t>
  </si>
  <si>
    <t>12X1L</t>
  </si>
  <si>
    <t>LO00083</t>
  </si>
  <si>
    <t>4000 Motion Plus 15W40 4X5L</t>
  </si>
  <si>
    <t>LO00084</t>
  </si>
  <si>
    <t>4100 POWER 5W30 4X4L</t>
  </si>
  <si>
    <t>Run 4T 20W50</t>
  </si>
  <si>
    <t>20X1L</t>
  </si>
  <si>
    <t>3100 GOLD 5W30</t>
  </si>
  <si>
    <t>CNG EXPERT 20W50</t>
  </si>
  <si>
    <t>LO00127</t>
  </si>
  <si>
    <t>EZ LUBE 36X.075L</t>
  </si>
  <si>
    <t>EZ LUBE</t>
  </si>
  <si>
    <t>LO00128</t>
  </si>
  <si>
    <t>EZ LUBE 12X.4L</t>
  </si>
  <si>
    <t>Area</t>
  </si>
  <si>
    <t>SKU Category</t>
  </si>
  <si>
    <t>Grade number</t>
  </si>
  <si>
    <t>10W40</t>
  </si>
  <si>
    <t>10W30</t>
  </si>
  <si>
    <t>20W50</t>
  </si>
  <si>
    <t>20W40</t>
  </si>
  <si>
    <t>15W40</t>
  </si>
  <si>
    <t>SKU Grade Tpye</t>
  </si>
  <si>
    <t>SKU Grade number</t>
  </si>
  <si>
    <t>0W20</t>
  </si>
  <si>
    <t>0W40</t>
  </si>
  <si>
    <t>5W30</t>
  </si>
  <si>
    <t>5W40</t>
  </si>
  <si>
    <t>TSM</t>
  </si>
  <si>
    <t>Rajshahi</t>
  </si>
  <si>
    <t>+880 1329-669562</t>
  </si>
  <si>
    <t>hasemi@motoindustries.com.bd</t>
  </si>
  <si>
    <t>TSE</t>
  </si>
  <si>
    <t>Gazipur</t>
  </si>
  <si>
    <t>+880 1329-669553</t>
  </si>
  <si>
    <t>sadrul.foysal@motoindustries.com.bd</t>
  </si>
  <si>
    <t>TCM</t>
  </si>
  <si>
    <t>West Dhaka</t>
  </si>
  <si>
    <t>+880 1329-669558</t>
  </si>
  <si>
    <t>mahmudul.hasan@motoindustries.com.bd</t>
  </si>
  <si>
    <t>Khulna</t>
  </si>
  <si>
    <t>+880 1329-669561</t>
  </si>
  <si>
    <t>mafsidul@motoindustries.com.bd</t>
  </si>
  <si>
    <t>+880 1329-669567</t>
  </si>
  <si>
    <t>shahriar@motoindustries.com.bd</t>
  </si>
  <si>
    <t>Cumilla</t>
  </si>
  <si>
    <t>+880 1329-669565</t>
  </si>
  <si>
    <t>robin@motoindustries.com.bd</t>
  </si>
  <si>
    <t>Chittagong</t>
  </si>
  <si>
    <t>+880 1329-669564</t>
  </si>
  <si>
    <t>sultan@motoindustries.com.bd</t>
  </si>
  <si>
    <t>+880 1329-669552</t>
  </si>
  <si>
    <t>monirul.islam@motoindustries.com.bd</t>
  </si>
  <si>
    <t>+880 1329-669550</t>
  </si>
  <si>
    <t>CEO</t>
  </si>
  <si>
    <t>razur.rahaman@motoindustries.com.bd</t>
  </si>
  <si>
    <t>+880 1329-669555</t>
  </si>
  <si>
    <t>raihan.siddiqui@motoindustries.com.bd</t>
  </si>
  <si>
    <t>+880 1329-669554</t>
  </si>
  <si>
    <t>abdul.matin@motoindustries.com.bd</t>
  </si>
  <si>
    <t>+880 1329-669549</t>
  </si>
  <si>
    <t>al.amin@motoindustries.com.bd</t>
  </si>
  <si>
    <t>ID</t>
  </si>
  <si>
    <t>Name</t>
  </si>
  <si>
    <t>Designation</t>
  </si>
  <si>
    <t>Cell number</t>
  </si>
  <si>
    <t>Line Manager</t>
  </si>
  <si>
    <t>Email</t>
  </si>
  <si>
    <t>Eastern</t>
  </si>
  <si>
    <t>Northern</t>
  </si>
  <si>
    <t>Central</t>
  </si>
  <si>
    <t>Lube &amp; Gear</t>
  </si>
  <si>
    <t>01711784707</t>
  </si>
  <si>
    <t>D-0031</t>
  </si>
  <si>
    <t>Banoful Traders</t>
  </si>
  <si>
    <t>Kashipur</t>
  </si>
  <si>
    <t>01680048492</t>
  </si>
  <si>
    <t>Md. Mahbubur Rahman</t>
  </si>
  <si>
    <t>01911563926</t>
  </si>
  <si>
    <t>D-0032</t>
  </si>
  <si>
    <t>MMD Name</t>
  </si>
  <si>
    <t>Owner</t>
  </si>
  <si>
    <t>Cell Number</t>
  </si>
  <si>
    <t>District</t>
  </si>
  <si>
    <t>Dealer Type</t>
  </si>
  <si>
    <t>Bangla Name</t>
  </si>
  <si>
    <t>Owner Name bangla</t>
  </si>
  <si>
    <t>Full Location in Bangla</t>
  </si>
  <si>
    <t>Bangla Location</t>
  </si>
  <si>
    <t>District Bangla</t>
  </si>
  <si>
    <t>Hasibul Hasan</t>
  </si>
  <si>
    <t>01711154387</t>
  </si>
  <si>
    <t>Pangsha</t>
  </si>
  <si>
    <t>Rajbari</t>
  </si>
  <si>
    <t>হাসান ট্রেডারস</t>
  </si>
  <si>
    <t>হাসিবুল হাসান</t>
  </si>
  <si>
    <t>পাংশা</t>
  </si>
  <si>
    <t>রাজবাড়ী</t>
  </si>
  <si>
    <t>Milon Talukder</t>
  </si>
  <si>
    <t>01711584594</t>
  </si>
  <si>
    <t>Khulna Sadar</t>
  </si>
  <si>
    <t>তালুকদার এন্টারপ্রাইজ</t>
  </si>
  <si>
    <t>মিলন তালুকদার</t>
  </si>
  <si>
    <t>খুলনা সদর</t>
  </si>
  <si>
    <t>খুলনা</t>
  </si>
  <si>
    <t>Md. Kamran Hossain</t>
  </si>
  <si>
    <t>01711700652</t>
  </si>
  <si>
    <t>Sylhet</t>
  </si>
  <si>
    <t>বাজাজ পার্টস সেন্টার</t>
  </si>
  <si>
    <t>মোঃ কামরান হোসেন</t>
  </si>
  <si>
    <t>তালতলা</t>
  </si>
  <si>
    <t>সিলেট</t>
  </si>
  <si>
    <t>Morsed Roni</t>
  </si>
  <si>
    <t>লুব এন্ড গিয়ার</t>
  </si>
  <si>
    <t>মোর্শেদ রনি</t>
  </si>
  <si>
    <t>কোনাবাড়ি</t>
  </si>
  <si>
    <t>গাজীপুর</t>
  </si>
  <si>
    <t>Noyon Alam</t>
  </si>
  <si>
    <t>01715299768</t>
  </si>
  <si>
    <t>Rajshahi Sadar</t>
  </si>
  <si>
    <t>আলম ট্রেডারস</t>
  </si>
  <si>
    <t>নয়ন আলম</t>
  </si>
  <si>
    <t>রাজশাহী সদর</t>
  </si>
  <si>
    <t>রাজশাহী</t>
  </si>
  <si>
    <t>Md. Belayet Hossain</t>
  </si>
  <si>
    <t>01716460166</t>
  </si>
  <si>
    <t>মোঃ বেলায়েত হোসেন</t>
  </si>
  <si>
    <t>সাভার</t>
  </si>
  <si>
    <t>ঢাকা</t>
  </si>
  <si>
    <t>Md. Jahangir</t>
  </si>
  <si>
    <t>01716608213</t>
  </si>
  <si>
    <t>মা অটো</t>
  </si>
  <si>
    <t>মোঃ জাহাঙ্গীর</t>
  </si>
  <si>
    <t>মিরপুর ১০</t>
  </si>
  <si>
    <t>Polash Roy</t>
  </si>
  <si>
    <t>01739786222</t>
  </si>
  <si>
    <t>Barishal Sadar</t>
  </si>
  <si>
    <t>Barisal</t>
  </si>
  <si>
    <t>রিলায়েন্ট ট্রেডিং</t>
  </si>
  <si>
    <t>পলাশ রায়</t>
  </si>
  <si>
    <t>বরিশাল সদর</t>
  </si>
  <si>
    <t>বরিশাল</t>
  </si>
  <si>
    <t>Md. Sanwar Ahmed Himel</t>
  </si>
  <si>
    <t>সুরমা ট্রেডিং</t>
  </si>
  <si>
    <t>মোঃ সানোয়ার আহমেদ হিমেল</t>
  </si>
  <si>
    <t>সৈয়দাবাদ</t>
  </si>
  <si>
    <t>Rafiqul Islam</t>
  </si>
  <si>
    <t>01815439100</t>
  </si>
  <si>
    <t>Chowmuhoni</t>
  </si>
  <si>
    <t>Noakhali</t>
  </si>
  <si>
    <t>সিটি ট্রেডিং</t>
  </si>
  <si>
    <t>রফিকুল ইসলাম</t>
  </si>
  <si>
    <t>চৌমহুনি</t>
  </si>
  <si>
    <t>নোয়াখালী</t>
  </si>
  <si>
    <t>Rakibul Islam</t>
  </si>
  <si>
    <t>01818163578</t>
  </si>
  <si>
    <t>Bogra</t>
  </si>
  <si>
    <t>তুবা মটরস</t>
  </si>
  <si>
    <t>রাকিবুল ইসলাম</t>
  </si>
  <si>
    <t>বগুড়া সদর</t>
  </si>
  <si>
    <t>বগুড়া</t>
  </si>
  <si>
    <t>Sin nan Al bari</t>
  </si>
  <si>
    <t>01818780660</t>
  </si>
  <si>
    <t>Sariyatpur Sadar</t>
  </si>
  <si>
    <t>Shariatpur</t>
  </si>
  <si>
    <t>আল বারি এন্টারপ্রাইজ</t>
  </si>
  <si>
    <t>সিন না আল bari</t>
  </si>
  <si>
    <t>সারিয়তপুর সদর</t>
  </si>
  <si>
    <t>শারিয়তপুর</t>
  </si>
  <si>
    <t>Rezaul Ahmed Bhuiyan</t>
  </si>
  <si>
    <t>01905773547</t>
  </si>
  <si>
    <t>ভূঁইয়া কর্পোরেশন</t>
  </si>
  <si>
    <t>রেজাউল আহমেদ ভূইয়ান</t>
  </si>
  <si>
    <t>ওয়ারি</t>
  </si>
  <si>
    <t>Sharif Ullah</t>
  </si>
  <si>
    <t>01911355821</t>
  </si>
  <si>
    <t>Paduar Bazar Bisso Road</t>
  </si>
  <si>
    <t>সিটি লুব্রিকেন্টস</t>
  </si>
  <si>
    <t>শরিফ উল্লাহ</t>
  </si>
  <si>
    <t>পদুয়ার বাজার বিশ্ব রোড</t>
  </si>
  <si>
    <t>কুমিল্লা</t>
  </si>
  <si>
    <t>এম কে কর্পোরেশন</t>
  </si>
  <si>
    <t>মোঃ মাহবুবুর রহমান</t>
  </si>
  <si>
    <t>Md. Mehedi Hasan</t>
  </si>
  <si>
    <t>01913489392</t>
  </si>
  <si>
    <t>Jashore Sadar</t>
  </si>
  <si>
    <t>Jashore</t>
  </si>
  <si>
    <t>এম আর এন্টারপ্রাইজ</t>
  </si>
  <si>
    <t>মোঃ মেহেদী হাসান</t>
  </si>
  <si>
    <t>যশোর সদর</t>
  </si>
  <si>
    <t>যশোর</t>
  </si>
  <si>
    <t>Md. Ismail Hossain Rakib</t>
  </si>
  <si>
    <t>01971430448</t>
  </si>
  <si>
    <t>Thathari Bazar</t>
  </si>
  <si>
    <t>এস এস কর্পোরেশন</t>
  </si>
  <si>
    <t>মোঃ ইসলাম হোসেন রাকিব</t>
  </si>
  <si>
    <t>ঠাথারি বাজার</t>
  </si>
  <si>
    <t>Kanu Lal Banik</t>
  </si>
  <si>
    <t>01977703528</t>
  </si>
  <si>
    <t>কে বি লুব্রিকেন্টস</t>
  </si>
  <si>
    <t>কানু লাল বানিক</t>
  </si>
  <si>
    <t>কদমতলী</t>
  </si>
  <si>
    <t>চট্টগ্রাম</t>
  </si>
  <si>
    <t>Md Shafiq</t>
  </si>
  <si>
    <t>01978656605</t>
  </si>
  <si>
    <t>Puratan Bus Stand Faridpur</t>
  </si>
  <si>
    <t>Faridpur</t>
  </si>
  <si>
    <t>এস এস লুব মার্ট</t>
  </si>
  <si>
    <t>মোঃ শফিক</t>
  </si>
  <si>
    <t>পুরাতন বাস স্ট্যান্ড ফরিদপুর</t>
  </si>
  <si>
    <t>ফরিদপুর</t>
  </si>
  <si>
    <t>Md. Alamgir Miyazi</t>
  </si>
  <si>
    <t>01716144982</t>
  </si>
  <si>
    <t>Chandpur</t>
  </si>
  <si>
    <t>আলম ব্রাদারস</t>
  </si>
  <si>
    <t>মোঃ আলমগীর মিয়াজী</t>
  </si>
  <si>
    <t>চাঁদপুর</t>
  </si>
  <si>
    <t>Md. Arifur rahman</t>
  </si>
  <si>
    <t>01717766997</t>
  </si>
  <si>
    <t>গ্লোবাল ট্রেডিং</t>
  </si>
  <si>
    <t>মোঃ আরিফুর রহমান</t>
  </si>
  <si>
    <t>যশোর রোড</t>
  </si>
  <si>
    <t>Md. Sahidullah</t>
  </si>
  <si>
    <t>01733191361</t>
  </si>
  <si>
    <t>Thakurgaon</t>
  </si>
  <si>
    <t>মক্কা অটো</t>
  </si>
  <si>
    <t>মোঃ সাহিদুল্লাহ</t>
  </si>
  <si>
    <t>ঠাকুরগাঁও</t>
  </si>
  <si>
    <t>Sanjay Saha</t>
  </si>
  <si>
    <t>01737144950</t>
  </si>
  <si>
    <t>বন্ধু মটরস</t>
  </si>
  <si>
    <t>সঞ্জয় সাহা</t>
  </si>
  <si>
    <t>রংপুর</t>
  </si>
  <si>
    <t>Online</t>
  </si>
  <si>
    <t>দারাজ</t>
  </si>
  <si>
    <t>Rancon</t>
  </si>
  <si>
    <t>Captive</t>
  </si>
  <si>
    <t>রানকন</t>
  </si>
  <si>
    <t>D-0029</t>
  </si>
  <si>
    <t>Rehana Distribution</t>
  </si>
  <si>
    <t>Mainul hasan Masum</t>
  </si>
  <si>
    <t>01831109784</t>
  </si>
  <si>
    <t>Feni</t>
  </si>
  <si>
    <t>রেহানা ডিস্ট্রিবিউশন</t>
  </si>
  <si>
    <t>মাইনুল হাসান মাসুম</t>
  </si>
  <si>
    <t>ফেনী</t>
  </si>
  <si>
    <t>Md. Tajul Islam</t>
  </si>
  <si>
    <t>01873033255</t>
  </si>
  <si>
    <t>মাহিম মটরস</t>
  </si>
  <si>
    <t>মোঃ তাজুল ইসলাম</t>
  </si>
  <si>
    <t>উত্তরা</t>
  </si>
  <si>
    <t>Mamun Islam</t>
  </si>
  <si>
    <t>01706361484</t>
  </si>
  <si>
    <t>MAR</t>
  </si>
  <si>
    <t>বনফুল ট্রেডারস</t>
  </si>
  <si>
    <t>মামুন ইসলাম</t>
  </si>
  <si>
    <t>কাশীপুর</t>
  </si>
  <si>
    <t xml:space="preserve">M/S M K S Lub House </t>
  </si>
  <si>
    <t>Kazi Helal Uddin</t>
  </si>
  <si>
    <t>01744173456</t>
  </si>
  <si>
    <t>Rajnagar, Habiganj</t>
  </si>
  <si>
    <t>এম কে এস লুব হাউস</t>
  </si>
  <si>
    <t>কাজী হেলাল উদ্দিন</t>
  </si>
  <si>
    <t>রাজনগর</t>
  </si>
  <si>
    <t>D-0033</t>
  </si>
  <si>
    <t>M/S Bismillah Machineries Store  </t>
  </si>
  <si>
    <t>Md. Al Amin</t>
  </si>
  <si>
    <t>01719072056</t>
  </si>
  <si>
    <t>Brahmanbaria</t>
  </si>
  <si>
    <t>বিসমিল্লাহ্‌ মেশিনারি স্টোর</t>
  </si>
  <si>
    <t>মোঃ আল আমিন</t>
  </si>
  <si>
    <t>ব্রাহ্মণবাড়িয়া</t>
  </si>
  <si>
    <t>চিটাগং</t>
  </si>
  <si>
    <t>D-0034</t>
  </si>
  <si>
    <t>MD. Zakir Hussain</t>
  </si>
  <si>
    <t>01710030184</t>
  </si>
  <si>
    <t>DC market apar jossre Road, power house mor</t>
  </si>
  <si>
    <t>গাজী এন্টারপ্রাইজ</t>
  </si>
  <si>
    <t>মোঃ জাকির হোসেন</t>
  </si>
  <si>
    <t>ডি সি আপার মার্কেট যশোর রোড</t>
  </si>
  <si>
    <t>D-0035</t>
  </si>
  <si>
    <t>Flat Discount</t>
  </si>
  <si>
    <t>এসকে কর্পোরেশন</t>
  </si>
  <si>
    <t>D-0036</t>
  </si>
  <si>
    <t>Cholghola Crossing,patenga</t>
  </si>
  <si>
    <t>KA</t>
  </si>
  <si>
    <t>এম/এস আকাতা কন্টেইনার ক্যারিয়ার সার্ভিস</t>
  </si>
  <si>
    <t>D-0037</t>
  </si>
  <si>
    <t>Narayangonj</t>
  </si>
  <si>
    <t>আশমনি পরিবহন</t>
  </si>
  <si>
    <t>নারায়ণগঞ্জ</t>
  </si>
  <si>
    <t>D-0038</t>
  </si>
  <si>
    <t>Sydabad</t>
  </si>
  <si>
    <t>ডলফিন এন্টারপ্রাইজ</t>
  </si>
  <si>
    <t>D-0039</t>
  </si>
  <si>
    <t>Tejgaon</t>
  </si>
  <si>
    <t>এম/এস এম সুলতান ট্রান্সপোর্ট এজেন্সি</t>
  </si>
  <si>
    <t>D-0040</t>
  </si>
  <si>
    <t>আজাদ গ্রুপ</t>
  </si>
  <si>
    <t>D-0041</t>
  </si>
  <si>
    <t>Dhanmondi</t>
  </si>
  <si>
    <t>মোটো টেক বিডি</t>
  </si>
  <si>
    <t>D-0042</t>
  </si>
  <si>
    <t>Baridhara</t>
  </si>
  <si>
    <t>কার এইড</t>
  </si>
  <si>
    <t>D-0043</t>
  </si>
  <si>
    <t>বিএস মোটরস</t>
  </si>
  <si>
    <t>D-0044</t>
  </si>
  <si>
    <t>এম/এস হাজিপুর ট্রেডিং</t>
  </si>
  <si>
    <t>D-0045</t>
  </si>
  <si>
    <t>Badda</t>
  </si>
  <si>
    <t>মোবিল মার্ট</t>
  </si>
  <si>
    <t>D-0046</t>
  </si>
  <si>
    <t>এন ইসলাম অটোমোবাইলস</t>
  </si>
  <si>
    <t>D-0047</t>
  </si>
  <si>
    <t>Gabtoli</t>
  </si>
  <si>
    <t>নওয়াজ ট্রেডার্স</t>
  </si>
  <si>
    <t>D-0048</t>
  </si>
  <si>
    <t>পাওয়ার ব্যাটারি ও টাইর</t>
  </si>
  <si>
    <t>D-0049</t>
  </si>
  <si>
    <t>Mymensing</t>
  </si>
  <si>
    <t>কাওসার মোটরস</t>
  </si>
  <si>
    <t>ময়মনসিংহ</t>
  </si>
  <si>
    <t>D-0050</t>
  </si>
  <si>
    <t>Kustia</t>
  </si>
  <si>
    <t>রাশিদ সাইকেল</t>
  </si>
  <si>
    <t>কুষ্টিয়া</t>
  </si>
  <si>
    <t>D-0051</t>
  </si>
  <si>
    <t>Rajsahi</t>
  </si>
  <si>
    <t>সেফ এনার্জি</t>
  </si>
  <si>
    <t>D-0053</t>
  </si>
  <si>
    <t>Dinajpur</t>
  </si>
  <si>
    <t>যাম যাম ট্রেডার্স</t>
  </si>
  <si>
    <t>দিনাজপুর</t>
  </si>
  <si>
    <t>D-0054</t>
  </si>
  <si>
    <t>ML Motors</t>
  </si>
  <si>
    <t>এমএল মোটরস</t>
  </si>
  <si>
    <t>Current Status</t>
  </si>
  <si>
    <t>Active</t>
  </si>
  <si>
    <t>Resigned</t>
  </si>
  <si>
    <t>Mohammadpur</t>
  </si>
  <si>
    <t>Md.Mahfuzur rahman</t>
  </si>
  <si>
    <t>mahfuzur.rahman@motoindustries.com.bd</t>
  </si>
  <si>
    <t>Eastern Cluster</t>
  </si>
  <si>
    <t>Northern Cluster</t>
  </si>
  <si>
    <t>Central Cluster</t>
  </si>
  <si>
    <t>Mohammed hossain</t>
  </si>
  <si>
    <t>01815698698</t>
  </si>
  <si>
    <t>Grand Total</t>
  </si>
  <si>
    <t>Md.Mahfuzur Rahman</t>
  </si>
  <si>
    <t>Dealers</t>
  </si>
  <si>
    <t>Months (Date)</t>
  </si>
  <si>
    <t>Values</t>
  </si>
  <si>
    <t>মালিহা এন্টারপ্রাইজ</t>
  </si>
  <si>
    <t>Free Ltr</t>
  </si>
  <si>
    <t>8100 X.Max 0W40</t>
  </si>
  <si>
    <t>8100 X.Max 0W40 4x4L</t>
  </si>
  <si>
    <t>Pack Size</t>
  </si>
  <si>
    <t>AM/Others</t>
  </si>
  <si>
    <t>Moto Industries limited</t>
  </si>
  <si>
    <t>Motul</t>
  </si>
  <si>
    <t>PRODUCT DELIVERY AUTHORIZATION FORM</t>
  </si>
  <si>
    <t>Payment Mode :</t>
  </si>
  <si>
    <t>Transport Discount/Ltr</t>
  </si>
  <si>
    <t>MMD Code</t>
  </si>
  <si>
    <t>Owner name</t>
  </si>
  <si>
    <t>Retailer Name</t>
  </si>
  <si>
    <t>MMD Address</t>
  </si>
  <si>
    <t>Delivery Address</t>
  </si>
  <si>
    <t>MMD Phone No</t>
  </si>
  <si>
    <t>Contract Number</t>
  </si>
  <si>
    <t>SL</t>
  </si>
  <si>
    <t>Products name with grade</t>
  </si>
  <si>
    <t>Final Quantity</t>
  </si>
  <si>
    <t>Gross Value (Tk.)</t>
  </si>
  <si>
    <t>DT-02</t>
  </si>
  <si>
    <t>DT-03</t>
  </si>
  <si>
    <t>DT-04</t>
  </si>
  <si>
    <t>DT-05</t>
  </si>
  <si>
    <t>DT-06</t>
  </si>
  <si>
    <t>DT-07</t>
  </si>
  <si>
    <t>DT-08</t>
  </si>
  <si>
    <t>Dealer ID</t>
  </si>
  <si>
    <t>Form no:</t>
  </si>
  <si>
    <t>Order Search</t>
  </si>
  <si>
    <t>Status</t>
  </si>
  <si>
    <t>Mushok</t>
  </si>
  <si>
    <t>Order Type</t>
  </si>
  <si>
    <t>Delivery Date</t>
  </si>
  <si>
    <t>Regular</t>
  </si>
  <si>
    <t>Cost</t>
  </si>
  <si>
    <t>Profit</t>
  </si>
  <si>
    <t>After Market</t>
  </si>
  <si>
    <t>Net Sales Revenue (Cr BDT)</t>
  </si>
  <si>
    <t>Net Profit (PAT)</t>
  </si>
  <si>
    <t>Inventory Value</t>
  </si>
  <si>
    <t>Inventory Value with Transit</t>
  </si>
  <si>
    <t>Volume (KL)</t>
  </si>
  <si>
    <t>Inventory Value (Cr BDT)</t>
  </si>
  <si>
    <t>Care Product</t>
  </si>
  <si>
    <t>Import (Liter)</t>
  </si>
  <si>
    <t>Transit (Liter)</t>
  </si>
  <si>
    <t>Product Details</t>
  </si>
  <si>
    <t>Motul 3000 4T PLUS 10W30 20X1L</t>
  </si>
  <si>
    <t>Motul 3000 4T PLUS 10W30 20X1.2L</t>
  </si>
  <si>
    <t>Motul 3000 4T PLUS 20W40 20X1L</t>
  </si>
  <si>
    <t>Motul 3000 4T PLUS 10W40 20X1L</t>
  </si>
  <si>
    <t>Motul 31004T GOLD 20W50 20X1L</t>
  </si>
  <si>
    <t>Motul 31004T GOLD 10W30 20X1L</t>
  </si>
  <si>
    <t>Motul 4100 POWER 5W30 4X3.5L</t>
  </si>
  <si>
    <t>Motul 51004T 10W30 12X1L</t>
  </si>
  <si>
    <t>Motul 51004T 10W40 12X1L</t>
  </si>
  <si>
    <t>Motul 71004T 10W30 12X1L</t>
  </si>
  <si>
    <t>Motul 71004T 10W40 12X1L</t>
  </si>
  <si>
    <t>Motul 71004T 20W50 12X1L</t>
  </si>
  <si>
    <t>Motul 8100 X-CESS 5W40 4X5L</t>
  </si>
  <si>
    <t>Motul 8100 X-Max OW40 4X4L</t>
  </si>
  <si>
    <t>Motul Long Life Grease 20X500 GMS</t>
  </si>
  <si>
    <t>Motul Fork Oil Expert 20X350ml</t>
  </si>
  <si>
    <t>Motul Fork Oil Expert 40X175ml</t>
  </si>
  <si>
    <t>Motul Motocool Expert  12X1L</t>
  </si>
  <si>
    <t>Motul 300V FL Road Racing 10W40 12X1L</t>
  </si>
  <si>
    <t>Motul Inugel Expert 20X1L</t>
  </si>
  <si>
    <t>Motul Scooter LE 4T 10W30 20X800ml</t>
  </si>
  <si>
    <t>Motul 2000 Multi Power 20W50 4X4L</t>
  </si>
  <si>
    <t>Motul C1 Chain Clean 12X400ML</t>
  </si>
  <si>
    <t>Motul C1 Chain Clean 20X150ML</t>
  </si>
  <si>
    <t>Motul C2 Chain Lube Road 12X400ML</t>
  </si>
  <si>
    <t>Motul C2 Chain Lube Road 20X150ML</t>
  </si>
  <si>
    <t>Motul 4000 Motion Plus 15W40 4X5L</t>
  </si>
  <si>
    <t>Motul 4100 POWER 5W30 4X4L</t>
  </si>
  <si>
    <t>Motul 4000 Motion Plus 10W30 4X4L</t>
  </si>
  <si>
    <t>Motul 4000 Motion Plus 15W40 4X4L</t>
  </si>
  <si>
    <t>Motul Run 4T 20W50 20X1L</t>
  </si>
  <si>
    <t>Motul M1 Helmet &amp; Visor Clean 12X250ML</t>
  </si>
  <si>
    <t>Motul M2 Helmet Interiore Clean  12X250ML</t>
  </si>
  <si>
    <t>Motul P3 Tyre Repair 12X300ML</t>
  </si>
  <si>
    <t>Motul System Keep Clean Gasoline 12X300ML</t>
  </si>
  <si>
    <t>Motul Dot 3&amp;4 12X500ML</t>
  </si>
  <si>
    <t>Motul 3000 4T PLUS 20W40 20X1.2L</t>
  </si>
  <si>
    <t>Motul 31004T GOLD 10W40 20X1L</t>
  </si>
  <si>
    <t>Motul 3100 GOLD 5W30 20X11</t>
  </si>
  <si>
    <t>Motul Run 4T 20W40 20X1L</t>
  </si>
  <si>
    <t>Motul CNG EXPERT 20W50 20X1L</t>
  </si>
  <si>
    <t>Motul TEKMA MEGA FLEET LD 15W40 11L</t>
  </si>
  <si>
    <t>Motul TEKMA MEGA FLEET LD 15W40 15L</t>
  </si>
  <si>
    <t>Motul ECO-TEC PLUS 5W30  4X4L</t>
  </si>
  <si>
    <t>Motul 71004T 10W30 20X1.2L</t>
  </si>
  <si>
    <t>MOTUL MULTI ATF 12X1L</t>
  </si>
  <si>
    <t>MOTUL MULTI CVTF 12X1L</t>
  </si>
  <si>
    <t>MOTUL IRIX LONG LIFE GREASE-RED GEL 20X500gm</t>
  </si>
  <si>
    <t>MOTUL ECO-TEC CLEAN 0W20 4X4L</t>
  </si>
  <si>
    <t>MOTUL 2000 MULTI POWER 20W50 20X1L</t>
  </si>
  <si>
    <t>MOTUL TEKMA MEGA FLEET LD 15W40 20X1L</t>
  </si>
  <si>
    <t>MOTUL TEKMA TURBO 20W50 20X1L</t>
  </si>
  <si>
    <t>MOTUL TEKMA TURBO 20W50 11L</t>
  </si>
  <si>
    <t>MOTUL TEKMA TURBO 20W50 15L</t>
  </si>
  <si>
    <t>MOTUL TEKMA TURBO 20W50 4X5L</t>
  </si>
  <si>
    <t>MOTUL TEKMA TURBO 20W50 18L</t>
  </si>
  <si>
    <t>MOTUL ENGINE FLUSH 24*50ML</t>
  </si>
  <si>
    <t>MOTUL DOT 4 BREAKE FLUID 40*100ML</t>
  </si>
  <si>
    <t>MOTUL PETROL SYSTEM CLEAN PLUS 24*.50ml</t>
  </si>
  <si>
    <t xml:space="preserve">MOTUL 3000 4T PLUS 20W50 20X1L </t>
  </si>
  <si>
    <t>MOTUL 3000 4T PLUS 20W50 20X1.2L</t>
  </si>
  <si>
    <t>MOTUL ENGINE FLUSH 24X250ML</t>
  </si>
  <si>
    <t>MOTUL PETROL SYSTEM CLEAN PLUS 24X200ML</t>
  </si>
  <si>
    <t>MOTUL AGRI SUPER 15W40 20X1L</t>
  </si>
  <si>
    <t>MOTUL AGRI SUPER 15W40 4X5L</t>
  </si>
  <si>
    <t>MOTUL AGRI SUPER 15W40 1X7.5L</t>
  </si>
  <si>
    <t>MOTUL AGRI SUPER 15W40 1X10L</t>
  </si>
  <si>
    <t>MOTUL EZ LUBE 36X75 ML</t>
  </si>
  <si>
    <t>MOTUL EZ LUBE 12X400ML</t>
  </si>
  <si>
    <t>Opening Stock (Piece)</t>
  </si>
  <si>
    <t>Opening Damage Unit</t>
  </si>
  <si>
    <t>Remaining Damage Unit</t>
  </si>
  <si>
    <t>Mushok No:</t>
  </si>
  <si>
    <t>Mushok no:</t>
  </si>
  <si>
    <t>Model</t>
  </si>
  <si>
    <t>Brake</t>
  </si>
  <si>
    <t>MULTI</t>
  </si>
  <si>
    <t>Tekma</t>
  </si>
  <si>
    <t>300V</t>
  </si>
  <si>
    <t>7100</t>
  </si>
  <si>
    <t>5100</t>
  </si>
  <si>
    <t>3100</t>
  </si>
  <si>
    <t>3000</t>
  </si>
  <si>
    <t xml:space="preserve">RUN </t>
  </si>
  <si>
    <t>Tire</t>
  </si>
  <si>
    <t xml:space="preserve">ECO </t>
  </si>
  <si>
    <t>8100</t>
  </si>
  <si>
    <t>4000</t>
  </si>
  <si>
    <t>2000</t>
  </si>
  <si>
    <t>4100</t>
  </si>
  <si>
    <t xml:space="preserve">Run </t>
  </si>
  <si>
    <t xml:space="preserve">CNG </t>
  </si>
  <si>
    <t>Coolant</t>
  </si>
  <si>
    <t>Fork Oil</t>
  </si>
  <si>
    <t>Scooter</t>
  </si>
  <si>
    <t>Grease</t>
  </si>
  <si>
    <t>Chain</t>
  </si>
  <si>
    <t>Helmet</t>
  </si>
  <si>
    <t>Clean</t>
  </si>
  <si>
    <t>SKU Model</t>
  </si>
  <si>
    <t>Total Ltr</t>
  </si>
  <si>
    <t>Total Transport Discount</t>
  </si>
  <si>
    <t>Total Payble Amount/Invoice Value</t>
  </si>
  <si>
    <t>Months ----&gt;&gt;&gt;&gt;&gt;</t>
  </si>
  <si>
    <t>Net Total (Tk)</t>
  </si>
  <si>
    <t>Discount Amount/ Unit</t>
  </si>
  <si>
    <t>After Discount Price/Unit</t>
  </si>
  <si>
    <t>Sku Total Discount Amount</t>
  </si>
  <si>
    <t>Cartoon</t>
  </si>
  <si>
    <t>Total SKU</t>
  </si>
  <si>
    <t xml:space="preserve"> Price/Unit</t>
  </si>
  <si>
    <t>Net Price/Unit</t>
  </si>
  <si>
    <t>Ordered Quantity(unit)</t>
  </si>
  <si>
    <t>Lube</t>
  </si>
  <si>
    <t xml:space="preserve">Auto Museum </t>
  </si>
  <si>
    <t xml:space="preserve">Chowmuni, Agrabad, Chittagong </t>
  </si>
  <si>
    <t>0 18 5934 8871</t>
  </si>
  <si>
    <t xml:space="preserve">Konabari Gazipur </t>
  </si>
  <si>
    <t>F-103</t>
  </si>
  <si>
    <t>Cash</t>
  </si>
  <si>
    <t>J S Traders</t>
  </si>
  <si>
    <t>Sadar, Lakhipur(Laxmipur)</t>
  </si>
  <si>
    <t>01719-176998</t>
  </si>
  <si>
    <t>Kushiara Auto</t>
  </si>
  <si>
    <t>Naiorpol, Sylhet</t>
  </si>
  <si>
    <t>01925-707502</t>
  </si>
  <si>
    <t xml:space="preserve">Rehena Distribution </t>
  </si>
  <si>
    <t>0 18 3110 9784</t>
  </si>
  <si>
    <t xml:space="preserve">Sleeper Clutch </t>
  </si>
  <si>
    <t xml:space="preserve">Agrabad, Chittagong </t>
  </si>
  <si>
    <t>+880 19 7044 9095</t>
  </si>
  <si>
    <t>Biker Choice</t>
  </si>
  <si>
    <t>Kautoli, Brahmanbaria</t>
  </si>
  <si>
    <t>01731-963787</t>
  </si>
  <si>
    <t xml:space="preserve">M.R Enterprise </t>
  </si>
  <si>
    <t>Halisohor,Chittagong</t>
  </si>
  <si>
    <t>+880 16 7387 6255</t>
  </si>
  <si>
    <t>Dis/ltr</t>
  </si>
  <si>
    <t>Dis/unit</t>
  </si>
  <si>
    <t>Price/unit</t>
  </si>
  <si>
    <t>Size/Unit</t>
  </si>
  <si>
    <t>Dis/ltr to Dis/unit Conversion</t>
  </si>
  <si>
    <t>Hazipur Traders</t>
  </si>
  <si>
    <t>01710-639669</t>
  </si>
  <si>
    <t>Shoriatpur</t>
  </si>
  <si>
    <t>18 % discount</t>
  </si>
  <si>
    <t xml:space="preserve">Polash Automobile </t>
  </si>
  <si>
    <t xml:space="preserve">Bandarban, Chittagong </t>
  </si>
  <si>
    <t>0 18 2286 7696</t>
  </si>
  <si>
    <t>F-104</t>
  </si>
  <si>
    <t>F-105</t>
  </si>
  <si>
    <t>F-106</t>
  </si>
  <si>
    <t>F-107</t>
  </si>
  <si>
    <t>F-108</t>
  </si>
  <si>
    <t>Sold Qty(Unit)</t>
  </si>
  <si>
    <t>For Min ltr</t>
  </si>
  <si>
    <t>Current Stock(Cartoon)</t>
  </si>
  <si>
    <t>RO units</t>
  </si>
  <si>
    <t>Volume(Ltr).</t>
  </si>
  <si>
    <t>Rev/Ltr.</t>
  </si>
  <si>
    <t>Revenue.</t>
  </si>
  <si>
    <t>Volume(Ltr)`</t>
  </si>
  <si>
    <t>Revenue`</t>
  </si>
  <si>
    <t>Rev/Ltr`</t>
  </si>
  <si>
    <t>Dealer wise Sales</t>
  </si>
  <si>
    <t>SKU wise Sales</t>
  </si>
  <si>
    <t>Total Sales</t>
  </si>
  <si>
    <t>Area wise Sales</t>
  </si>
  <si>
    <t>Motul Sales Report</t>
  </si>
  <si>
    <t>F-109</t>
  </si>
  <si>
    <t>F-110</t>
  </si>
  <si>
    <t>F-111</t>
  </si>
  <si>
    <t>F-112</t>
  </si>
  <si>
    <t>F-113</t>
  </si>
  <si>
    <t>F-114</t>
  </si>
  <si>
    <t>F-115</t>
  </si>
  <si>
    <t>7tk dis/ltr 20w50</t>
  </si>
  <si>
    <t>26, City Corporation Market, Dayaganj, Dhaka-1100.</t>
  </si>
  <si>
    <t>Ulukhola to vobanipur transfer</t>
  </si>
  <si>
    <t>Vobanipur opening units</t>
  </si>
  <si>
    <t>Ulukhola opening units</t>
  </si>
  <si>
    <t>New Arrival (vobanipur)</t>
  </si>
  <si>
    <t>New Arrival(ulukhola)</t>
  </si>
  <si>
    <t>New Arrival Ulukhola</t>
  </si>
  <si>
    <t>Vobaipur total</t>
  </si>
  <si>
    <t>Ulukhola Total</t>
  </si>
  <si>
    <t>Vobanipur Total</t>
  </si>
  <si>
    <t>Vobanipur Opening</t>
  </si>
  <si>
    <t>Ulukhola Opening</t>
  </si>
  <si>
    <t>Ulukhola to Vobanipur Transfer</t>
  </si>
  <si>
    <t>Closing Stock Vobanipur</t>
  </si>
  <si>
    <t>Closing Stock Ulukhola</t>
  </si>
  <si>
    <t>Closing Damage unit</t>
  </si>
  <si>
    <t>Sold Qty(Piece)</t>
  </si>
  <si>
    <t>Total Unit</t>
  </si>
  <si>
    <t>New Arrival Vobanipur</t>
  </si>
  <si>
    <t>Total Opening Unit</t>
  </si>
  <si>
    <t>Total Opening (ltr)</t>
  </si>
  <si>
    <t>Damage Sold unit</t>
  </si>
  <si>
    <t>F-116</t>
  </si>
  <si>
    <t>Irma Motors</t>
  </si>
  <si>
    <t>Dewan Plaza, Section-06, Plot-08, Road-01, Mirpur-10.</t>
  </si>
  <si>
    <t>01627189035</t>
  </si>
  <si>
    <t>It will be home delivery.</t>
  </si>
  <si>
    <t>Openign Stock(KL)</t>
  </si>
  <si>
    <t>Opening Stock (Ltr)</t>
  </si>
  <si>
    <t>Total Closing Stock Value</t>
  </si>
  <si>
    <t xml:space="preserve">Hasan Traders </t>
  </si>
  <si>
    <t>Pangsha, Rajbari.</t>
  </si>
  <si>
    <t>01711-154387</t>
  </si>
  <si>
    <t>Bike Fashion</t>
  </si>
  <si>
    <t>Kodalipol, Moulvibazar</t>
  </si>
  <si>
    <t>01784-667321</t>
  </si>
  <si>
    <t>Total Column/month in Stock(yr)</t>
  </si>
  <si>
    <t>Vobanipur Opening2</t>
  </si>
  <si>
    <t>Ulukhola Opening3</t>
  </si>
  <si>
    <t>Opening Stock (Piece)4</t>
  </si>
  <si>
    <t>Ulukhola Opening2</t>
  </si>
  <si>
    <t>Opening Stock (Piece)2</t>
  </si>
  <si>
    <t>Opening Stock (Ltr)2</t>
  </si>
  <si>
    <t>Ulukhola to Vobanipur Transfer2</t>
  </si>
  <si>
    <t>New Arrival (vobanipur)2</t>
  </si>
  <si>
    <t>New Arrival(ulukhola)2</t>
  </si>
  <si>
    <t>Vobanipur Total2</t>
  </si>
  <si>
    <t>Ulukhola Total2</t>
  </si>
  <si>
    <t>Total Unit2</t>
  </si>
  <si>
    <t>Sold Qty(Piece)2</t>
  </si>
  <si>
    <t>Closing Stock Vobanipur2</t>
  </si>
  <si>
    <t>Closing Stock Ulukhola2</t>
  </si>
  <si>
    <t>Total Closing Stock Value2</t>
  </si>
  <si>
    <t>Opening Damage Unit2</t>
  </si>
  <si>
    <t>Closing Damage unit2</t>
  </si>
  <si>
    <t>Vobanipur Opening3</t>
  </si>
  <si>
    <t>Opening Stock (Piece)3</t>
  </si>
  <si>
    <t>Opening Stock (Ltr)3</t>
  </si>
  <si>
    <t>Ulukhola to Vobanipur Transfer3</t>
  </si>
  <si>
    <t>New Arrival (vobanipur)3</t>
  </si>
  <si>
    <t>New Arrival(ulukhola)3</t>
  </si>
  <si>
    <t>Vobanipur Total3</t>
  </si>
  <si>
    <t>Ulukhola Total3</t>
  </si>
  <si>
    <t>Sold Qty(Piece)3</t>
  </si>
  <si>
    <t>Closing Stock Vobanipur3</t>
  </si>
  <si>
    <t>Closing Stock Ulukhola3</t>
  </si>
  <si>
    <t>Total Closing Stock Value3</t>
  </si>
  <si>
    <t>Opening Damage Unit3</t>
  </si>
  <si>
    <t>Closing Damage unit3</t>
  </si>
  <si>
    <t>Vobanipur Opening4</t>
  </si>
  <si>
    <t>Ulukhola Opening4</t>
  </si>
  <si>
    <t>Opening Stock (Ltr)4</t>
  </si>
  <si>
    <t>Ulukhola to Vobanipur Transfer4</t>
  </si>
  <si>
    <t>New Arrival (vobanipur)4</t>
  </si>
  <si>
    <t>New Arrival(ulukhola)4</t>
  </si>
  <si>
    <t>Vobanipur Total4</t>
  </si>
  <si>
    <t>Ulukhola Total4</t>
  </si>
  <si>
    <t>Total Unit4</t>
  </si>
  <si>
    <t>Sold Qty(Piece)4</t>
  </si>
  <si>
    <t>Closing Stock Vobanipur4</t>
  </si>
  <si>
    <t>Closing Stock Ulukhola4</t>
  </si>
  <si>
    <t>Total Closing Stock Value4</t>
  </si>
  <si>
    <t>Opening Damage Unit4</t>
  </si>
  <si>
    <t>Closing Damage unit4</t>
  </si>
  <si>
    <t>Total Current (Unit)</t>
  </si>
  <si>
    <t>Total Current (Ltr)</t>
  </si>
  <si>
    <t>Total Current Value</t>
  </si>
  <si>
    <t>C/25/5, Thana Road Bus stand, Savar, Dhaka.</t>
  </si>
  <si>
    <t>01715414646</t>
  </si>
  <si>
    <t>Special Discount 2 Taka Per Liter will be provided.</t>
  </si>
  <si>
    <t>F-117</t>
  </si>
  <si>
    <t>Surma Trading Agency</t>
  </si>
  <si>
    <t>4/4, Saidabad, Dhaka-1100.</t>
  </si>
  <si>
    <t>18% discount on care products has been given.</t>
  </si>
  <si>
    <t xml:space="preserve">New Bishass Enterprise </t>
  </si>
  <si>
    <t>01779-090991</t>
  </si>
  <si>
    <t xml:space="preserve">B S Motor’s </t>
  </si>
  <si>
    <t>Shapla, Station Road,Rangpur</t>
  </si>
  <si>
    <t xml:space="preserve">Probir Auto Mobile </t>
  </si>
  <si>
    <t>Choto Bazar, Mymensingh Sadar</t>
  </si>
  <si>
    <t>F-118</t>
  </si>
  <si>
    <t>F-119</t>
  </si>
  <si>
    <t>F-120</t>
  </si>
  <si>
    <t>F-121</t>
  </si>
  <si>
    <t>free</t>
  </si>
  <si>
    <t>Fair Auto</t>
  </si>
  <si>
    <t>01670845815</t>
  </si>
  <si>
    <t>Taltola, Sylhet</t>
  </si>
  <si>
    <t>01711-700652</t>
  </si>
  <si>
    <t>3000 20w50 1.2</t>
  </si>
  <si>
    <t xml:space="preserve">R. Hossain Motors </t>
  </si>
  <si>
    <t>Registry Para, Tangail Sadar</t>
  </si>
  <si>
    <t>01521-308494</t>
  </si>
  <si>
    <t>F-122</t>
  </si>
  <si>
    <t>Discounted Price</t>
  </si>
  <si>
    <t>F-123</t>
  </si>
  <si>
    <t>F-124</t>
  </si>
  <si>
    <t>F-125</t>
  </si>
  <si>
    <t>F-126</t>
  </si>
  <si>
    <t>F-127</t>
  </si>
  <si>
    <t>F-128</t>
  </si>
  <si>
    <t>F-129</t>
  </si>
  <si>
    <t xml:space="preserve">Talukder Enterprise </t>
  </si>
  <si>
    <t xml:space="preserve">Khulna Sadar </t>
  </si>
  <si>
    <t>Bikers Club</t>
  </si>
  <si>
    <t>Kazitula, Sylhet</t>
  </si>
  <si>
    <t>01772-180923</t>
  </si>
  <si>
    <t xml:space="preserve">Bishass Mobil House </t>
  </si>
  <si>
    <t xml:space="preserve">Thana Road,Gobindaganj, Gaibandha </t>
  </si>
  <si>
    <t>Delivery Status:</t>
  </si>
  <si>
    <t>Dealer name:</t>
  </si>
  <si>
    <t>Date:</t>
  </si>
  <si>
    <t>F-130</t>
  </si>
  <si>
    <t>7100 4T 10W40 ESTER CORE®</t>
  </si>
  <si>
    <t>7100 4T 20W50 ESTER CORE®</t>
  </si>
  <si>
    <t>7100 4T 10W30 ESTER CORE® 12x1L</t>
  </si>
  <si>
    <t>7100 4T 10W40 ESTER CORE® 12x1L</t>
  </si>
  <si>
    <t>7100 4T 20W50 ESTER CORE® 12x1L</t>
  </si>
  <si>
    <t>F-131</t>
  </si>
  <si>
    <t>Shohag Servicing Centre</t>
  </si>
  <si>
    <t>Mirpur -10</t>
  </si>
  <si>
    <t>01942-214488</t>
  </si>
  <si>
    <t>35,000/- taka gift amount + 10,000/- taka entertainment purpose + 67,500/- taka previous adjustment purpose = Total 1,12,500/- taka would be discount from the main amount.</t>
  </si>
  <si>
    <t>F-132</t>
  </si>
  <si>
    <t>Credit</t>
  </si>
  <si>
    <t>F-133</t>
  </si>
  <si>
    <t>F-134</t>
  </si>
  <si>
    <t>F-135</t>
  </si>
  <si>
    <t xml:space="preserve">Reliant Trading </t>
  </si>
  <si>
    <t>Notullabad, Barishal.</t>
  </si>
  <si>
    <t>01739-786222</t>
  </si>
  <si>
    <t>40x0.1L</t>
  </si>
  <si>
    <t>24x0.05L</t>
  </si>
  <si>
    <t>12X0.4L</t>
  </si>
  <si>
    <t>36X0.075L</t>
  </si>
  <si>
    <t>F-136</t>
  </si>
  <si>
    <t>Bondhu Motors &amp;Mobil Ghor</t>
  </si>
  <si>
    <t>Salo Market, Shapla Chottor,Rangpur</t>
  </si>
  <si>
    <t>DHS Motors Limited</t>
  </si>
  <si>
    <t>F-137</t>
  </si>
  <si>
    <t>Free</t>
  </si>
  <si>
    <t>F-138</t>
  </si>
  <si>
    <t>Free from Ceo</t>
  </si>
  <si>
    <t>DP</t>
  </si>
  <si>
    <t>DP Price</t>
  </si>
  <si>
    <t>F-139</t>
  </si>
  <si>
    <t>F-140</t>
  </si>
  <si>
    <t xml:space="preserve"> </t>
  </si>
  <si>
    <t>(All)</t>
  </si>
  <si>
    <t>F-141</t>
  </si>
  <si>
    <t>F-142</t>
  </si>
  <si>
    <t>Tamanna Motors</t>
  </si>
  <si>
    <t>Dharmapur, Cumilla</t>
  </si>
  <si>
    <t>01630-194839</t>
  </si>
  <si>
    <t xml:space="preserve">Banoful Traders </t>
  </si>
  <si>
    <t>Khalishpur, Khulna.</t>
  </si>
  <si>
    <t>01706-361484</t>
  </si>
  <si>
    <t>F-143</t>
  </si>
  <si>
    <t>F-144</t>
  </si>
  <si>
    <t>F-145</t>
  </si>
  <si>
    <t>Order Date  :</t>
  </si>
  <si>
    <t>Delivery date:</t>
  </si>
  <si>
    <t>Search Here</t>
  </si>
  <si>
    <t>F-146</t>
  </si>
  <si>
    <t>F-147</t>
  </si>
  <si>
    <t>20W50 toal primari lifting was 1084 pcs purpose 15 tk =  16,260 taka &amp; transport discount 2 tk/ltr = 840, in total 17,100/- taka has been provided.</t>
  </si>
  <si>
    <t>No transport allowance will be provided.</t>
  </si>
  <si>
    <t>F-148</t>
  </si>
  <si>
    <t>F-149</t>
  </si>
  <si>
    <t>F-151</t>
  </si>
  <si>
    <t>d-0025</t>
  </si>
  <si>
    <t>D-0055</t>
  </si>
  <si>
    <t>F-150</t>
  </si>
  <si>
    <t>F-152</t>
  </si>
  <si>
    <t>F-153</t>
  </si>
  <si>
    <t>F-154</t>
  </si>
  <si>
    <t>F-155</t>
  </si>
  <si>
    <t>Ytd</t>
  </si>
  <si>
    <t>AVG</t>
  </si>
  <si>
    <t>Transit Value</t>
  </si>
  <si>
    <t>Particulars:</t>
  </si>
  <si>
    <t>Rajshahi Sadar, Rajshahi</t>
  </si>
  <si>
    <t>Target(ltr)</t>
  </si>
  <si>
    <t>Sales Team</t>
  </si>
  <si>
    <t>Achivement</t>
  </si>
  <si>
    <t>Completed(ltr)</t>
  </si>
  <si>
    <t>3000 20W50</t>
  </si>
  <si>
    <t>AIT</t>
  </si>
  <si>
    <t>Sold Qty</t>
  </si>
  <si>
    <t>Total Tax</t>
  </si>
  <si>
    <t>Part no.</t>
  </si>
  <si>
    <t>AIT/Unit</t>
  </si>
  <si>
    <t>Fs-127</t>
  </si>
  <si>
    <t>F-156</t>
  </si>
  <si>
    <t>d-0026</t>
  </si>
  <si>
    <t xml:space="preserve">Achivement of 20W50 </t>
  </si>
  <si>
    <t>Total Value with Damage</t>
  </si>
  <si>
    <t>Total Unit with Damage</t>
  </si>
  <si>
    <t>Total Price( Based on DP)</t>
  </si>
  <si>
    <t>Target vs Achievement</t>
  </si>
  <si>
    <t>RMBL</t>
  </si>
  <si>
    <t>Total Unit3</t>
  </si>
  <si>
    <t>A B M Motors</t>
  </si>
  <si>
    <t>Medda Bus Stand, Brahmanbaria</t>
  </si>
  <si>
    <t>01725-423635</t>
  </si>
  <si>
    <t xml:space="preserve">Probir Automobile </t>
  </si>
  <si>
    <t>26,J.K.M.C,Saha Road(Bro Bazar), Mymensingh</t>
  </si>
  <si>
    <t>Hawkars Market, Chowmuhoni</t>
  </si>
  <si>
    <t>Achivement of 20W50</t>
  </si>
  <si>
    <t>F-157</t>
  </si>
  <si>
    <t>Custom</t>
  </si>
  <si>
    <t>F-158</t>
  </si>
  <si>
    <t>SKU name</t>
  </si>
  <si>
    <t>Transfer Qty</t>
  </si>
  <si>
    <t>F-159</t>
  </si>
  <si>
    <t>F-160</t>
  </si>
  <si>
    <t>F-161</t>
  </si>
  <si>
    <t>Mohammad Lube House</t>
  </si>
  <si>
    <t>Station Road, Cumilla</t>
  </si>
  <si>
    <t>01728-083399</t>
  </si>
  <si>
    <t>SS LUB MART</t>
  </si>
  <si>
    <t>Faridpur Sadar.</t>
  </si>
  <si>
    <t>01923-641421</t>
  </si>
  <si>
    <t>F-162</t>
  </si>
  <si>
    <t>F-163</t>
  </si>
  <si>
    <t>sample checking purpose</t>
  </si>
  <si>
    <t>DT-01</t>
  </si>
  <si>
    <t>ঢাকা, ঢাকা</t>
  </si>
  <si>
    <t>Rangs Motors Workshop limited</t>
  </si>
  <si>
    <t>F-164</t>
  </si>
  <si>
    <t>F-165</t>
  </si>
  <si>
    <t xml:space="preserve">Zam Zam Traders </t>
  </si>
  <si>
    <t>Zam Zam tower,Housing Mor,Madical Road,Dinajpur</t>
  </si>
  <si>
    <t xml:space="preserve">Mayer Dowa Motors </t>
  </si>
  <si>
    <t xml:space="preserve">Tarajong Bazar,Rangpur </t>
  </si>
  <si>
    <t>DHS motors</t>
  </si>
  <si>
    <t xml:space="preserve">DHS Motors Limited </t>
  </si>
  <si>
    <t>Star Bikers</t>
  </si>
  <si>
    <t>Kaoutoli, Brahmanbaria</t>
  </si>
  <si>
    <t>01734-078613</t>
  </si>
  <si>
    <t>Robel motors</t>
  </si>
  <si>
    <t xml:space="preserve">akhra bazar,Kishoreganj </t>
  </si>
  <si>
    <t xml:space="preserve">delivery system :saudagar courier </t>
  </si>
  <si>
    <t>F-167</t>
  </si>
  <si>
    <t>Sample purpose to Rangs workshop</t>
  </si>
  <si>
    <t>F-168</t>
  </si>
  <si>
    <t>Magha Auto</t>
  </si>
  <si>
    <t xml:space="preserve">Joldhaka Bazar,Nilphamari </t>
  </si>
  <si>
    <t>R.Hossain Motors</t>
  </si>
  <si>
    <t>Dharmopur, Cumilla</t>
  </si>
  <si>
    <t xml:space="preserve">m/s star machineries </t>
  </si>
  <si>
    <t>Jhenaidah sadar</t>
  </si>
  <si>
    <t xml:space="preserve">delivery system:sundarban courier </t>
  </si>
  <si>
    <t xml:space="preserve">Roni Enterprise </t>
  </si>
  <si>
    <t>Munshipara, Dinajpur Sadar</t>
  </si>
  <si>
    <t>F-166</t>
  </si>
  <si>
    <t>Fork Oil Expert</t>
  </si>
  <si>
    <t>F-175</t>
  </si>
  <si>
    <t>01729-324717</t>
  </si>
  <si>
    <t>F-176</t>
  </si>
  <si>
    <t>01533-399630</t>
  </si>
  <si>
    <t>F-170</t>
  </si>
  <si>
    <t>F-171</t>
  </si>
  <si>
    <t>F-172</t>
  </si>
  <si>
    <t>F-173</t>
  </si>
  <si>
    <t>F-174</t>
  </si>
  <si>
    <t>F-169</t>
  </si>
  <si>
    <t>Boundhu Motors &amp; Mobil Ghor</t>
  </si>
  <si>
    <t>Salo Market, Shapla, Rangpur Sadar</t>
  </si>
  <si>
    <t>5tk/ unit discount on all products except (3000 10w30 1.2L)</t>
  </si>
  <si>
    <t xml:space="preserve">Bike Bits </t>
  </si>
  <si>
    <t>Banglipur, Saidpur</t>
  </si>
  <si>
    <t>F-177</t>
  </si>
  <si>
    <t>F-178</t>
  </si>
  <si>
    <t>F-179</t>
  </si>
  <si>
    <t>01998-480255</t>
  </si>
  <si>
    <t>F-180</t>
  </si>
  <si>
    <t>No Transport allowance will be provied.</t>
  </si>
  <si>
    <t>F-181</t>
  </si>
  <si>
    <t>F-182</t>
  </si>
  <si>
    <t>F-183</t>
  </si>
  <si>
    <t>B S Motors</t>
  </si>
  <si>
    <t xml:space="preserve">Station Road,Shapla,Rangpur </t>
  </si>
  <si>
    <t xml:space="preserve">K B Lubricant </t>
  </si>
  <si>
    <t xml:space="preserve">Ice Factory Road , Kadamtali , Ctg </t>
  </si>
  <si>
    <t>019 7770 3528</t>
  </si>
  <si>
    <t>Sk Corporation</t>
  </si>
  <si>
    <t>Wari</t>
  </si>
  <si>
    <t>+88001715108464</t>
  </si>
  <si>
    <t>Special price and No transport Allowance</t>
  </si>
  <si>
    <t>Products are in Special Rate &amp; KB's previous balance, 60,419 tk  will be deducted from the total amount. So 6,43,216tk will be Payble</t>
  </si>
  <si>
    <t>F-184</t>
  </si>
  <si>
    <t>Dhormapur, Cumilla</t>
  </si>
  <si>
    <t>Shatota Lubricants</t>
  </si>
  <si>
    <t>Laksam, Cumilla</t>
  </si>
  <si>
    <t>01836-199020</t>
  </si>
  <si>
    <t>Mid Bangal Private ltd</t>
  </si>
  <si>
    <t>Motijhil</t>
  </si>
  <si>
    <t>+88001679878727</t>
  </si>
  <si>
    <t>Special Price</t>
  </si>
  <si>
    <t>Jahirul islam Chowdhury</t>
  </si>
  <si>
    <t>01679878727</t>
  </si>
  <si>
    <t>মিড বেঙ্গল প্রাইভেট লিমিটেড</t>
  </si>
  <si>
    <t>জহিরুল ইসলাম চৌধুরী</t>
  </si>
  <si>
    <t>মতিঝিল, ঢাকা</t>
  </si>
  <si>
    <t>মতিঝিল</t>
  </si>
  <si>
    <t>m/s energy trading</t>
  </si>
  <si>
    <t>kushtia sadar</t>
  </si>
  <si>
    <t>Special Rate</t>
  </si>
  <si>
    <t>F-185</t>
  </si>
  <si>
    <t>F-187</t>
  </si>
  <si>
    <t>F-188</t>
  </si>
  <si>
    <t>F-189</t>
  </si>
  <si>
    <t>F-190</t>
  </si>
  <si>
    <t>F-191</t>
  </si>
  <si>
    <t>Registriri para, Tangail Sadar</t>
  </si>
  <si>
    <t>Sales Value</t>
  </si>
  <si>
    <t xml:space="preserve">Samples FOC to Vehicle Solution </t>
  </si>
  <si>
    <t>F-194</t>
  </si>
  <si>
    <t>Special rate , 7tk/ltr discount</t>
  </si>
  <si>
    <t>Vehicle Solution</t>
  </si>
  <si>
    <t>F-196</t>
  </si>
  <si>
    <t>F-195</t>
  </si>
  <si>
    <t>Head office</t>
  </si>
  <si>
    <t>Samples FOC to Head office</t>
  </si>
  <si>
    <t>Rangpur Mobil House</t>
  </si>
  <si>
    <t>G.L.Ray Road,Rangpur Sadar</t>
  </si>
  <si>
    <t>Blocked Stock(unit)</t>
  </si>
  <si>
    <t>Final Qty</t>
  </si>
  <si>
    <t>Dr. Jesika Rezvi Tamanna</t>
  </si>
  <si>
    <t>2/4/2 IDS Chairman Park, Flat: C-6, South Kollyanpur, Dhaka-1207</t>
  </si>
  <si>
    <t>01715 717801</t>
  </si>
  <si>
    <t>Ranks Motor Workshop Limited</t>
  </si>
  <si>
    <t>Ranks Motor Workshop limited</t>
  </si>
  <si>
    <t>D-0056</t>
  </si>
  <si>
    <t>Rangs Workshop limited</t>
  </si>
  <si>
    <t>DT-09</t>
  </si>
  <si>
    <t>Head Office</t>
  </si>
  <si>
    <t xml:space="preserve">M/S Hasan traders </t>
  </si>
  <si>
    <t>pangsha</t>
  </si>
  <si>
    <t>Alam</t>
  </si>
  <si>
    <t>F-197</t>
  </si>
  <si>
    <t>F-198</t>
  </si>
  <si>
    <t>F-199</t>
  </si>
  <si>
    <t>F-200</t>
  </si>
  <si>
    <t>Ashik Motors</t>
  </si>
  <si>
    <t>Rangpur Sadar</t>
  </si>
  <si>
    <t>Fs-171</t>
  </si>
  <si>
    <t xml:space="preserve">Connect Motors </t>
  </si>
  <si>
    <t>F-202</t>
  </si>
  <si>
    <t>F-201</t>
  </si>
  <si>
    <t>Net Profit (PAT) Cr</t>
  </si>
  <si>
    <t>Volume (L):</t>
  </si>
  <si>
    <t>Sub-Total</t>
  </si>
  <si>
    <t>Custom Price</t>
  </si>
  <si>
    <t>RWL</t>
  </si>
  <si>
    <t>+88001914870347</t>
  </si>
  <si>
    <t>Special Flat Discount 46,365tk on Regular price</t>
  </si>
  <si>
    <t>Ulukhola Current</t>
  </si>
  <si>
    <t>Vobanipur Current units</t>
  </si>
  <si>
    <t>Customized priced</t>
  </si>
  <si>
    <t>Global trading</t>
  </si>
  <si>
    <t xml:space="preserve">New Bishass Enterprises </t>
  </si>
  <si>
    <t xml:space="preserve">Mymensingh </t>
  </si>
  <si>
    <t>Transfer</t>
  </si>
  <si>
    <t>Total -----&gt;&gt;&gt;&gt;&gt;</t>
  </si>
  <si>
    <t>Mymensingh</t>
  </si>
  <si>
    <t xml:space="preserve">Bondhu Motors and Mobil Ghor </t>
  </si>
  <si>
    <t>Salo Market, Rangpur</t>
  </si>
  <si>
    <t>Parts Gallery</t>
  </si>
  <si>
    <t>Sheikhpara, Temokhi, Sylhet</t>
  </si>
  <si>
    <t>01776-500709</t>
  </si>
  <si>
    <t>Home Delivey by Shodagor/Sundarban Courrier</t>
  </si>
  <si>
    <t>Jashore road</t>
  </si>
  <si>
    <t>+8801712772877</t>
  </si>
  <si>
    <t>2500 tk discount for "tekma turbo 20w50 18L =10pcs in previous delivery.</t>
  </si>
  <si>
    <t>Customized price</t>
  </si>
  <si>
    <t>Fs-178</t>
  </si>
  <si>
    <t>Fs-179</t>
  </si>
  <si>
    <t>RAGML</t>
  </si>
  <si>
    <t>Blocked Stock</t>
  </si>
  <si>
    <t>F-204</t>
  </si>
  <si>
    <t>Doyagannj</t>
  </si>
  <si>
    <t>F-203</t>
  </si>
  <si>
    <t>F-205</t>
  </si>
  <si>
    <t>F-208</t>
  </si>
  <si>
    <t>F-209</t>
  </si>
  <si>
    <t>F-206</t>
  </si>
  <si>
    <t>F-207</t>
  </si>
  <si>
    <t>Uttara auto Eng Ltd</t>
  </si>
  <si>
    <t>+8808801828136692</t>
  </si>
  <si>
    <t xml:space="preserve"> pls provide 25 cartoons of products 2022 year manufacture batch and another 25 cartoons is 2020 year manufacture batch</t>
  </si>
  <si>
    <t>Total Units</t>
  </si>
  <si>
    <t>Billing Price</t>
  </si>
  <si>
    <t>Profit/(Loss)</t>
  </si>
  <si>
    <t>Price/unit = 410tk and for previous order ,extra 60,000/- has been adjusted with this one. Here's why ---&gt;&gt;&gt;
***Prv order : 2000ltr*440=8,80,000tk 
with 410tk/unit = 8,20,000tk****</t>
  </si>
  <si>
    <t>Surma Trading</t>
  </si>
  <si>
    <t>transport delivery by us ; not home delivery</t>
  </si>
  <si>
    <t>Months ---&gt;&gt;&gt;</t>
  </si>
  <si>
    <t>F-210</t>
  </si>
  <si>
    <t>F-212</t>
  </si>
  <si>
    <t>F-211</t>
  </si>
  <si>
    <t>Search by select ---&gt;&gt;&gt;</t>
  </si>
  <si>
    <t xml:space="preserve">Jantrik Autoj  </t>
  </si>
  <si>
    <t>Saidpur Sadar</t>
  </si>
  <si>
    <t>+88001905773547</t>
  </si>
  <si>
    <t>Seach by</t>
  </si>
  <si>
    <t>F-213</t>
  </si>
  <si>
    <t>F-214</t>
  </si>
  <si>
    <t>Jatrabari, Dhaka</t>
  </si>
  <si>
    <t>+88001762-453336</t>
  </si>
  <si>
    <t>F-192</t>
  </si>
  <si>
    <t>F-186</t>
  </si>
  <si>
    <t>RS Hossain Motors</t>
  </si>
  <si>
    <t>Registriri para--Tangail Sadar</t>
  </si>
  <si>
    <t>+8801521308494</t>
  </si>
  <si>
    <t>No Transport allowance.</t>
  </si>
  <si>
    <t>Patowary Motors</t>
  </si>
  <si>
    <t>Chandpur Sadar</t>
  </si>
  <si>
    <t>01742-677337</t>
  </si>
  <si>
    <t>Megha Auto</t>
  </si>
  <si>
    <t>Joldhaka, Nilphamari 
Tangail Sadar</t>
  </si>
  <si>
    <t>F-215</t>
  </si>
  <si>
    <t>F-216</t>
  </si>
  <si>
    <t xml:space="preserve">delivery system:personal vehicles </t>
  </si>
  <si>
    <t>F-217</t>
  </si>
  <si>
    <t>SS Lube Mart</t>
  </si>
  <si>
    <t>F-218</t>
  </si>
  <si>
    <t>F-219</t>
  </si>
  <si>
    <t>F-220</t>
  </si>
  <si>
    <t>F-221</t>
  </si>
  <si>
    <t>Uttara Auto Parts</t>
  </si>
  <si>
    <t>Jamaipara, Sunamganj</t>
  </si>
  <si>
    <t>01705-854256</t>
  </si>
  <si>
    <t>F-222</t>
  </si>
  <si>
    <t>F-223</t>
  </si>
  <si>
    <t>F-224</t>
  </si>
  <si>
    <t>Jantrik Auto</t>
  </si>
  <si>
    <t>F-225</t>
  </si>
  <si>
    <t>Connect</t>
  </si>
  <si>
    <t>F-193</t>
  </si>
  <si>
    <r>
      <rPr>
        <b/>
        <sz val="14"/>
        <color theme="1" tint="0.499984740745262"/>
        <rFont val="Gill Sans MT"/>
        <family val="2"/>
        <scheme val="minor"/>
      </rPr>
      <t>R</t>
    </r>
    <r>
      <rPr>
        <b/>
        <sz val="14"/>
        <color rgb="FF0070C0"/>
        <rFont val="Gill Sans MT"/>
        <family val="2"/>
        <scheme val="minor"/>
      </rPr>
      <t>▲</t>
    </r>
    <r>
      <rPr>
        <b/>
        <sz val="14"/>
        <color theme="1" tint="0.499984740745262"/>
        <rFont val="Gill Sans MT"/>
        <family val="2"/>
        <scheme val="minor"/>
      </rPr>
      <t>NCON</t>
    </r>
  </si>
  <si>
    <r>
      <t>M</t>
    </r>
    <r>
      <rPr>
        <b/>
        <sz val="12"/>
        <color rgb="FFF4BA28"/>
        <rFont val="Algerian"/>
        <family val="5"/>
      </rPr>
      <t>O</t>
    </r>
    <r>
      <rPr>
        <b/>
        <sz val="12"/>
        <color theme="0"/>
        <rFont val="Algerian"/>
        <family val="5"/>
      </rPr>
      <t>TO Industries Ltd</t>
    </r>
  </si>
  <si>
    <t>+88001828136692</t>
  </si>
  <si>
    <t>Achivement of 20W51</t>
  </si>
  <si>
    <t>mar</t>
  </si>
  <si>
    <t>apr</t>
  </si>
  <si>
    <t>damage</t>
  </si>
  <si>
    <t>vobani current</t>
  </si>
  <si>
    <t>20 feb to 27 feb</t>
  </si>
  <si>
    <t xml:space="preserve">Total </t>
  </si>
  <si>
    <t>Bismillah Servicing &amp; Auto Parts</t>
  </si>
  <si>
    <t>+88001727-251558</t>
  </si>
  <si>
    <t>F-226</t>
  </si>
  <si>
    <t>F-227</t>
  </si>
  <si>
    <t>F-228</t>
  </si>
  <si>
    <t>Free of cost (Sample)</t>
  </si>
  <si>
    <t>F-229</t>
  </si>
  <si>
    <t>Noman</t>
  </si>
  <si>
    <t>Sunrise autos</t>
  </si>
  <si>
    <t>Bangla Motor</t>
  </si>
  <si>
    <t>+88001779099593</t>
  </si>
  <si>
    <t>MK Trading</t>
  </si>
  <si>
    <t>Fd-230</t>
  </si>
  <si>
    <t>Mirpur</t>
  </si>
  <si>
    <t>+88001784398413</t>
  </si>
  <si>
    <t>F-231</t>
  </si>
  <si>
    <t>F-232</t>
  </si>
  <si>
    <t>F-233</t>
  </si>
  <si>
    <t>+88001711-700652</t>
  </si>
  <si>
    <t>Damaged Products</t>
  </si>
  <si>
    <t xml:space="preserve">Mohammad Lub House </t>
  </si>
  <si>
    <t xml:space="preserve">Dharmapur, Cumilla </t>
  </si>
  <si>
    <t>01728083399</t>
  </si>
  <si>
    <t xml:space="preserve">B S Motor’s  </t>
  </si>
  <si>
    <t>Shapla,Rangpur</t>
  </si>
  <si>
    <t>Ulu to Vobani Transfer April</t>
  </si>
  <si>
    <t>F-234</t>
  </si>
  <si>
    <t>F-235</t>
  </si>
  <si>
    <t>F-236</t>
  </si>
  <si>
    <t>F-237</t>
  </si>
  <si>
    <t>F-238</t>
  </si>
  <si>
    <t>F-245</t>
  </si>
  <si>
    <t>F-242</t>
  </si>
  <si>
    <t>F-243</t>
  </si>
  <si>
    <t>F-244</t>
  </si>
  <si>
    <t>F-239</t>
  </si>
  <si>
    <t>F-240</t>
  </si>
  <si>
    <t>F-241</t>
  </si>
  <si>
    <t xml:space="preserve">Ice Factory Road , Kadamtali Chittagong </t>
  </si>
  <si>
    <t>Current (Unit)</t>
  </si>
  <si>
    <t>Current (Ltr)</t>
  </si>
  <si>
    <t>Mahamudul Hasan Milon Total</t>
  </si>
  <si>
    <t>Md.Mahfuzur Rahman Total</t>
  </si>
  <si>
    <t>April</t>
  </si>
  <si>
    <t>Damage (Unit)</t>
  </si>
  <si>
    <t>Costing Value (tk)</t>
  </si>
  <si>
    <t>Est Sales Value (tk)</t>
  </si>
  <si>
    <t>&lt;&gt;</t>
  </si>
  <si>
    <t>Grade</t>
  </si>
  <si>
    <t>Vob(Ltr)</t>
  </si>
  <si>
    <t>DMG(Ltr)</t>
  </si>
  <si>
    <t>Ageing(M)</t>
  </si>
  <si>
    <t>Ageing till Sep'24 (D)</t>
  </si>
  <si>
    <t>Damaged products, 15 Drums , 205Ltr per Drum</t>
  </si>
  <si>
    <t>Fd-242</t>
  </si>
  <si>
    <t>No Transport Allowance</t>
  </si>
  <si>
    <t>Rancon Industrial Park</t>
  </si>
  <si>
    <t>Vobanipur</t>
  </si>
  <si>
    <t>Damaged products Sale</t>
  </si>
  <si>
    <t>Fd-243</t>
  </si>
  <si>
    <t>Fr-245</t>
  </si>
  <si>
    <t>Replacement products</t>
  </si>
  <si>
    <t>+88001818-147844</t>
  </si>
  <si>
    <t>Sadar Moulvibazar</t>
  </si>
  <si>
    <t>+88001784-667321</t>
  </si>
  <si>
    <t>Delivered</t>
  </si>
  <si>
    <t>Pending</t>
  </si>
  <si>
    <t>DMG-Sold</t>
  </si>
  <si>
    <t>Replaced</t>
  </si>
  <si>
    <t>&lt;&gt;DMG-Sold</t>
  </si>
  <si>
    <t>&lt;&gt;Replaced</t>
  </si>
  <si>
    <t>Imran Motor</t>
  </si>
  <si>
    <t>Rancon Industrial park</t>
  </si>
  <si>
    <t>Fd-246</t>
  </si>
  <si>
    <t>Ulu(Ltr)</t>
  </si>
  <si>
    <t xml:space="preserve">M R Enterprise </t>
  </si>
  <si>
    <t xml:space="preserve">Halisohor, Chittagong </t>
  </si>
  <si>
    <t>0 16 7387 6255</t>
  </si>
  <si>
    <t>Row Labels</t>
  </si>
  <si>
    <t>Jan</t>
  </si>
  <si>
    <t>Feb</t>
  </si>
  <si>
    <t>Mar</t>
  </si>
  <si>
    <t>Apr</t>
  </si>
  <si>
    <t>Column Labels</t>
  </si>
  <si>
    <t>Sum of Total Qty</t>
  </si>
  <si>
    <t>F-247</t>
  </si>
  <si>
    <t>F-248</t>
  </si>
  <si>
    <t>F-249</t>
  </si>
  <si>
    <t>F-250</t>
  </si>
  <si>
    <t>F-251</t>
  </si>
  <si>
    <t>F-252</t>
  </si>
  <si>
    <t>Rancon Motor Ltd</t>
  </si>
  <si>
    <t>&lt;&gt;Pending</t>
  </si>
  <si>
    <t>Fs-217</t>
  </si>
  <si>
    <t>F-254</t>
  </si>
  <si>
    <t>F-255</t>
  </si>
  <si>
    <t>F-253</t>
  </si>
  <si>
    <t>Fs-218</t>
  </si>
  <si>
    <t>Fs-219</t>
  </si>
  <si>
    <t>253</t>
  </si>
  <si>
    <t>Fd-220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</si>
</sst>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[$-409]d\-mmm\-yyyy;@"/>
    <numFmt numFmtId="165" formatCode="[$-409]mmmmm;@"/>
    <numFmt numFmtId="166" formatCode="_(* #,##0_);_(* \(#,##0\);_(* &quot;-&quot;??_);_(@_)"/>
    <numFmt numFmtId="167" formatCode="_(* #,##0.0_);_(* \(#,##0.0\);_(* &quot;-&quot;??_);_(@_)"/>
    <numFmt numFmtId="168" formatCode="_-* #,##0_-;\-* #,##0_-;_-* &quot;-&quot;??_-;_-@_-"/>
    <numFmt numFmtId="169" formatCode="[$-409]d\-mmm\-yy;@"/>
    <numFmt numFmtId="170" formatCode="[$-409]mmmm\-yy;@"/>
    <numFmt numFmtId="171" formatCode="_-* #,##0.00_-;\-* #,##0.00_-;_-* &quot;-&quot;??_-;_-@_-"/>
    <numFmt numFmtId="172" formatCode="[&gt;=100000]#.##,,,\c\r;#\,##\,##0.00;#,##0.00"/>
  </numFmts>
  <fonts count="62" x14ac:knownFonts="1"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8"/>
      <name val="Gill Sans MT"/>
      <family val="2"/>
      <scheme val="minor"/>
    </font>
    <font>
      <sz val="11"/>
      <name val="Calibri"/>
      <family val="2"/>
    </font>
    <font>
      <u/>
      <sz val="11"/>
      <color theme="10"/>
      <name val="Gill Sans MT"/>
      <family val="2"/>
      <scheme val="minor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rgb="FF000000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2"/>
      <color theme="1"/>
      <name val="Gill Sans MT"/>
      <family val="2"/>
      <scheme val="minor"/>
    </font>
    <font>
      <b/>
      <sz val="12"/>
      <color theme="1"/>
      <name val="Gill Sans MT"/>
      <family val="2"/>
      <scheme val="minor"/>
    </font>
    <font>
      <sz val="11"/>
      <name val="Gill Sans MT"/>
      <family val="2"/>
      <scheme val="minor"/>
    </font>
    <font>
      <sz val="12"/>
      <color theme="1"/>
      <name val="Gill Sans MT"/>
      <family val="2"/>
      <scheme val="major"/>
    </font>
    <font>
      <b/>
      <sz val="11"/>
      <name val="Calibri"/>
      <family val="2"/>
    </font>
    <font>
      <b/>
      <sz val="11"/>
      <color rgb="FFFFFF00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b/>
      <sz val="11"/>
      <name val="Gill Sans MT"/>
      <family val="2"/>
      <scheme val="minor"/>
    </font>
    <font>
      <b/>
      <sz val="18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b/>
      <sz val="11"/>
      <color rgb="FF00B0F0"/>
      <name val="Gill Sans MT"/>
      <family val="2"/>
      <scheme val="minor"/>
    </font>
    <font>
      <sz val="11"/>
      <color theme="1"/>
      <name val="Gill Sans MT"/>
      <family val="2"/>
    </font>
    <font>
      <b/>
      <sz val="11"/>
      <color theme="1"/>
      <name val="Gill Sans MT"/>
      <family val="2"/>
    </font>
    <font>
      <b/>
      <sz val="12"/>
      <color theme="1"/>
      <name val="Gill Sans MT"/>
      <family val="2"/>
    </font>
    <font>
      <sz val="10"/>
      <color theme="1"/>
      <name val="Gill Sans MT"/>
      <family val="2"/>
    </font>
    <font>
      <b/>
      <sz val="10"/>
      <color theme="1"/>
      <name val="Gill Sans MT"/>
      <family val="2"/>
    </font>
    <font>
      <sz val="10"/>
      <color theme="1"/>
      <name val="Gill Sans MT"/>
      <family val="2"/>
      <scheme val="minor"/>
    </font>
    <font>
      <b/>
      <sz val="10"/>
      <color theme="0"/>
      <name val="Gill Sans MT"/>
      <family val="2"/>
      <scheme val="minor"/>
    </font>
    <font>
      <b/>
      <sz val="14"/>
      <color theme="1"/>
      <name val="Gill Sans MT"/>
      <family val="2"/>
    </font>
    <font>
      <b/>
      <sz val="12"/>
      <color rgb="FFFFFF00"/>
      <name val="Gill Sans MT"/>
      <family val="2"/>
    </font>
    <font>
      <sz val="11"/>
      <color theme="0"/>
      <name val="Gill Sans MT"/>
      <family val="2"/>
    </font>
    <font>
      <sz val="12"/>
      <color theme="1"/>
      <name val="Gill Sans MT"/>
      <family val="2"/>
    </font>
    <font>
      <b/>
      <u/>
      <sz val="16"/>
      <color theme="7" tint="-0.499984740745262"/>
      <name val="Gill Sans MT"/>
      <family val="2"/>
    </font>
    <font>
      <b/>
      <sz val="12"/>
      <name val="Gill Sans MT"/>
      <family val="2"/>
    </font>
    <font>
      <sz val="12"/>
      <name val="Gill Sans MT"/>
      <family val="2"/>
    </font>
    <font>
      <b/>
      <sz val="14"/>
      <name val="Gill Sans MT"/>
      <family val="2"/>
    </font>
    <font>
      <b/>
      <sz val="14"/>
      <color theme="4" tint="-0.499984740745262"/>
      <name val="Gill Sans MT"/>
      <family val="2"/>
    </font>
    <font>
      <b/>
      <sz val="12"/>
      <color rgb="FFA20000"/>
      <name val="Gill Sans MT"/>
      <family val="2"/>
    </font>
    <font>
      <sz val="14"/>
      <color theme="1"/>
      <name val="Gill Sans MT"/>
      <family val="2"/>
    </font>
    <font>
      <b/>
      <sz val="11"/>
      <color rgb="FFE40000"/>
      <name val="Gill Sans MT"/>
      <family val="2"/>
    </font>
    <font>
      <b/>
      <sz val="11"/>
      <name val="Gill Sans MT"/>
      <family val="2"/>
    </font>
    <font>
      <b/>
      <sz val="14"/>
      <color theme="8" tint="-0.499984740745262"/>
      <name val="Gill Sans MT"/>
      <family val="2"/>
    </font>
    <font>
      <sz val="11"/>
      <name val="Gill Sans MT"/>
      <family val="2"/>
    </font>
    <font>
      <b/>
      <sz val="14"/>
      <color theme="5" tint="-0.499984740745262"/>
      <name val="Gill Sans MT"/>
      <family val="2"/>
    </font>
    <font>
      <b/>
      <sz val="20"/>
      <name val="Gill Sans MT"/>
      <family val="2"/>
    </font>
    <font>
      <sz val="16"/>
      <color theme="5" tint="-0.499984740745262"/>
      <name val="Gill Sans MT"/>
      <family val="2"/>
    </font>
    <font>
      <b/>
      <sz val="18"/>
      <color theme="1"/>
      <name val="Gill Sans MT"/>
      <family val="2"/>
    </font>
    <font>
      <b/>
      <sz val="16"/>
      <name val="Gill Sans MT"/>
      <family val="2"/>
    </font>
    <font>
      <b/>
      <sz val="12"/>
      <color theme="5"/>
      <name val="Gill Sans MT"/>
      <family val="2"/>
      <scheme val="minor"/>
    </font>
    <font>
      <b/>
      <sz val="14"/>
      <color theme="0"/>
      <name val="Algerian"/>
      <family val="5"/>
    </font>
    <font>
      <b/>
      <sz val="12"/>
      <color theme="0"/>
      <name val="Algerian"/>
      <family val="5"/>
    </font>
    <font>
      <b/>
      <sz val="14"/>
      <color theme="1" tint="0.499984740745262"/>
      <name val="Gill Sans MT"/>
      <family val="2"/>
      <scheme val="minor"/>
    </font>
    <font>
      <b/>
      <sz val="14"/>
      <color rgb="FF0070C0"/>
      <name val="Gill Sans MT"/>
      <family val="2"/>
      <scheme val="minor"/>
    </font>
    <font>
      <b/>
      <sz val="12"/>
      <color rgb="FFF4BA28"/>
      <name val="Algerian"/>
      <family val="5"/>
    </font>
    <font>
      <sz val="10"/>
      <color rgb="FFFEFED2"/>
      <name val="Gill Sans MT"/>
      <family val="2"/>
    </font>
    <font>
      <b/>
      <i/>
      <sz val="28"/>
      <color rgb="FFF8F8F8"/>
      <name val="Franklin Gothic Heavy"/>
      <family val="2"/>
    </font>
    <font>
      <b/>
      <sz val="11"/>
      <color theme="4" tint="-0.499984740745262"/>
      <name val="Gill Sans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EFED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0DDF3"/>
        <bgColor indexed="64"/>
      </patternFill>
    </fill>
  </fills>
  <borders count="1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double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/>
      <right style="double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double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double">
        <color indexed="64"/>
      </right>
      <top style="slantDashDot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542">
    <xf numFmtId="0" fontId="0" fillId="0" borderId="0" xfId="0"/>
    <xf numFmtId="164" fontId="0" fillId="0" borderId="0" xfId="0" applyNumberFormat="1"/>
    <xf numFmtId="0" fontId="0" fillId="0" borderId="1" xfId="0" applyBorder="1"/>
    <xf numFmtId="166" fontId="0" fillId="0" borderId="1" xfId="1" applyNumberFormat="1" applyFont="1" applyBorder="1"/>
    <xf numFmtId="0" fontId="0" fillId="0" borderId="2" xfId="0" applyBorder="1"/>
    <xf numFmtId="166" fontId="0" fillId="0" borderId="2" xfId="1" applyNumberFormat="1" applyFont="1" applyBorder="1"/>
    <xf numFmtId="0" fontId="0" fillId="0" borderId="1" xfId="0" applyBorder="1" applyAlignment="1">
      <alignment horizontal="left" vertical="center"/>
    </xf>
    <xf numFmtId="3" fontId="0" fillId="0" borderId="1" xfId="0" applyNumberFormat="1" applyBorder="1"/>
    <xf numFmtId="0" fontId="0" fillId="4" borderId="1" xfId="0" applyFill="1" applyBorder="1"/>
    <xf numFmtId="0" fontId="0" fillId="4" borderId="1" xfId="1" applyNumberFormat="1" applyFont="1" applyFill="1" applyBorder="1" applyAlignment="1">
      <alignment horizontal="left"/>
    </xf>
    <xf numFmtId="0" fontId="0" fillId="4" borderId="1" xfId="0" applyFill="1" applyBorder="1" applyAlignment="1">
      <alignment horizontal="left" vertical="center"/>
    </xf>
    <xf numFmtId="0" fontId="0" fillId="4" borderId="1" xfId="2" applyNumberFormat="1" applyFont="1" applyFill="1" applyBorder="1" applyAlignment="1">
      <alignment horizontal="left" vertical="center"/>
    </xf>
    <xf numFmtId="0" fontId="4" fillId="4" borderId="1" xfId="2" applyNumberFormat="1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4" borderId="7" xfId="0" applyFill="1" applyBorder="1"/>
    <xf numFmtId="0" fontId="0" fillId="0" borderId="9" xfId="0" applyBorder="1"/>
    <xf numFmtId="0" fontId="0" fillId="0" borderId="2" xfId="0" applyBorder="1" applyAlignment="1">
      <alignment horizontal="left" vertical="center"/>
    </xf>
    <xf numFmtId="0" fontId="0" fillId="0" borderId="10" xfId="0" applyBorder="1"/>
    <xf numFmtId="0" fontId="0" fillId="0" borderId="12" xfId="0" applyBorder="1"/>
    <xf numFmtId="49" fontId="0" fillId="0" borderId="1" xfId="0" applyNumberFormat="1" applyBorder="1"/>
    <xf numFmtId="0" fontId="2" fillId="5" borderId="4" xfId="0" applyFont="1" applyFill="1" applyBorder="1"/>
    <xf numFmtId="0" fontId="2" fillId="5" borderId="12" xfId="0" applyFont="1" applyFill="1" applyBorder="1"/>
    <xf numFmtId="0" fontId="2" fillId="5" borderId="11" xfId="0" applyFont="1" applyFill="1" applyBorder="1" applyAlignment="1">
      <alignment horizontal="center"/>
    </xf>
    <xf numFmtId="0" fontId="6" fillId="6" borderId="7" xfId="0" applyFont="1" applyFill="1" applyBorder="1" applyAlignment="1">
      <alignment horizontal="left" vertical="top"/>
    </xf>
    <xf numFmtId="0" fontId="5" fillId="0" borderId="8" xfId="3" applyBorder="1"/>
    <xf numFmtId="0" fontId="6" fillId="0" borderId="7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49" fontId="0" fillId="0" borderId="2" xfId="0" applyNumberFormat="1" applyBorder="1"/>
    <xf numFmtId="0" fontId="5" fillId="0" borderId="10" xfId="3" applyBorder="1"/>
    <xf numFmtId="0" fontId="2" fillId="0" borderId="0" xfId="0" applyFont="1"/>
    <xf numFmtId="0" fontId="2" fillId="5" borderId="12" xfId="0" applyFont="1" applyFill="1" applyBorder="1" applyAlignment="1">
      <alignment horizontal="left" vertical="center"/>
    </xf>
    <xf numFmtId="166" fontId="0" fillId="0" borderId="0" xfId="1" applyNumberFormat="1" applyFont="1"/>
    <xf numFmtId="166" fontId="0" fillId="0" borderId="7" xfId="1" applyNumberFormat="1" applyFont="1" applyBorder="1"/>
    <xf numFmtId="0" fontId="0" fillId="0" borderId="18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13" borderId="0" xfId="0" applyFill="1"/>
    <xf numFmtId="0" fontId="0" fillId="13" borderId="1" xfId="0" applyFill="1" applyBorder="1"/>
    <xf numFmtId="0" fontId="0" fillId="13" borderId="2" xfId="0" applyFill="1" applyBorder="1"/>
    <xf numFmtId="0" fontId="2" fillId="0" borderId="0" xfId="0" applyFont="1" applyAlignment="1">
      <alignment horizontal="center" vertical="center"/>
    </xf>
    <xf numFmtId="0" fontId="2" fillId="5" borderId="0" xfId="0" applyFont="1" applyFill="1"/>
    <xf numFmtId="166" fontId="0" fillId="0" borderId="12" xfId="1" applyNumberFormat="1" applyFont="1" applyBorder="1"/>
    <xf numFmtId="0" fontId="14" fillId="0" borderId="0" xfId="0" applyFont="1" applyAlignment="1">
      <alignment vertical="center" wrapText="1"/>
    </xf>
    <xf numFmtId="168" fontId="0" fillId="0" borderId="0" xfId="0" applyNumberFormat="1"/>
    <xf numFmtId="0" fontId="4" fillId="0" borderId="12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5" fillId="17" borderId="32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6" xfId="0" applyBorder="1" applyAlignment="1">
      <alignment vertical="center"/>
    </xf>
    <xf numFmtId="0" fontId="2" fillId="0" borderId="1" xfId="0" applyFont="1" applyBorder="1"/>
    <xf numFmtId="14" fontId="0" fillId="0" borderId="0" xfId="0" applyNumberFormat="1"/>
    <xf numFmtId="1" fontId="0" fillId="0" borderId="28" xfId="0" applyNumberFormat="1" applyBorder="1" applyAlignment="1">
      <alignment vertical="center"/>
    </xf>
    <xf numFmtId="2" fontId="0" fillId="10" borderId="31" xfId="0" applyNumberFormat="1" applyFill="1" applyBorder="1" applyAlignment="1">
      <alignment vertical="center"/>
    </xf>
    <xf numFmtId="0" fontId="7" fillId="13" borderId="7" xfId="0" applyFont="1" applyFill="1" applyBorder="1" applyAlignment="1">
      <alignment horizontal="left" vertical="top"/>
    </xf>
    <xf numFmtId="49" fontId="0" fillId="13" borderId="1" xfId="0" applyNumberFormat="1" applyFill="1" applyBorder="1"/>
    <xf numFmtId="0" fontId="5" fillId="13" borderId="8" xfId="3" applyFill="1" applyBorder="1"/>
    <xf numFmtId="0" fontId="0" fillId="13" borderId="12" xfId="0" applyFill="1" applyBorder="1"/>
    <xf numFmtId="0" fontId="2" fillId="0" borderId="0" xfId="0" applyFont="1" applyAlignment="1">
      <alignment vertical="center"/>
    </xf>
    <xf numFmtId="0" fontId="2" fillId="2" borderId="87" xfId="0" applyFont="1" applyFill="1" applyBorder="1" applyAlignment="1">
      <alignment vertical="center" wrapText="1"/>
    </xf>
    <xf numFmtId="0" fontId="2" fillId="10" borderId="88" xfId="0" applyFont="1" applyFill="1" applyBorder="1" applyAlignment="1" applyProtection="1">
      <alignment vertical="center" wrapText="1"/>
      <protection hidden="1"/>
    </xf>
    <xf numFmtId="0" fontId="19" fillId="2" borderId="88" xfId="0" applyFont="1" applyFill="1" applyBorder="1" applyAlignment="1">
      <alignment vertical="center" wrapText="1"/>
    </xf>
    <xf numFmtId="0" fontId="0" fillId="16" borderId="89" xfId="0" applyFill="1" applyBorder="1" applyAlignment="1" applyProtection="1">
      <alignment vertical="center" wrapText="1"/>
      <protection hidden="1"/>
    </xf>
    <xf numFmtId="0" fontId="0" fillId="0" borderId="0" xfId="0" applyAlignment="1">
      <alignment horizontal="left" vertical="center"/>
    </xf>
    <xf numFmtId="0" fontId="0" fillId="13" borderId="0" xfId="0" applyFill="1" applyAlignment="1">
      <alignment horizontal="left" vertical="center"/>
    </xf>
    <xf numFmtId="166" fontId="0" fillId="0" borderId="1" xfId="0" applyNumberFormat="1" applyBorder="1"/>
    <xf numFmtId="0" fontId="2" fillId="0" borderId="33" xfId="0" applyFont="1" applyBorder="1"/>
    <xf numFmtId="0" fontId="2" fillId="0" borderId="64" xfId="0" applyFont="1" applyBorder="1"/>
    <xf numFmtId="9" fontId="0" fillId="0" borderId="1" xfId="4" applyFont="1" applyFill="1" applyBorder="1"/>
    <xf numFmtId="0" fontId="2" fillId="2" borderId="1" xfId="0" applyFont="1" applyFill="1" applyBorder="1"/>
    <xf numFmtId="0" fontId="0" fillId="21" borderId="1" xfId="0" applyFill="1" applyBorder="1"/>
    <xf numFmtId="166" fontId="0" fillId="21" borderId="90" xfId="1" applyNumberFormat="1" applyFont="1" applyFill="1" applyBorder="1"/>
    <xf numFmtId="166" fontId="0" fillId="0" borderId="90" xfId="1" applyNumberFormat="1" applyFont="1" applyBorder="1"/>
    <xf numFmtId="0" fontId="0" fillId="21" borderId="2" xfId="0" applyFill="1" applyBorder="1"/>
    <xf numFmtId="166" fontId="0" fillId="21" borderId="91" xfId="1" applyNumberFormat="1" applyFont="1" applyFill="1" applyBorder="1"/>
    <xf numFmtId="0" fontId="0" fillId="21" borderId="7" xfId="0" applyFill="1" applyBorder="1"/>
    <xf numFmtId="0" fontId="0" fillId="21" borderId="9" xfId="0" applyFill="1" applyBorder="1"/>
    <xf numFmtId="166" fontId="0" fillId="21" borderId="92" xfId="1" applyNumberFormat="1" applyFont="1" applyFill="1" applyBorder="1"/>
    <xf numFmtId="166" fontId="0" fillId="0" borderId="92" xfId="1" applyNumberFormat="1" applyFont="1" applyBorder="1"/>
    <xf numFmtId="166" fontId="0" fillId="21" borderId="93" xfId="1" applyNumberFormat="1" applyFont="1" applyFill="1" applyBorder="1"/>
    <xf numFmtId="166" fontId="2" fillId="0" borderId="61" xfId="0" applyNumberFormat="1" applyFont="1" applyBorder="1"/>
    <xf numFmtId="0" fontId="17" fillId="0" borderId="94" xfId="0" applyFont="1" applyBorder="1" applyAlignment="1">
      <alignment horizontal="center" vertical="center"/>
    </xf>
    <xf numFmtId="0" fontId="17" fillId="0" borderId="95" xfId="0" applyFont="1" applyBorder="1" applyAlignment="1">
      <alignment horizontal="center" vertical="center"/>
    </xf>
    <xf numFmtId="0" fontId="17" fillId="0" borderId="96" xfId="0" applyFont="1" applyBorder="1" applyAlignment="1">
      <alignment horizontal="center" vertical="center"/>
    </xf>
    <xf numFmtId="166" fontId="0" fillId="0" borderId="90" xfId="1" applyNumberFormat="1" applyFont="1" applyFill="1" applyBorder="1"/>
    <xf numFmtId="166" fontId="0" fillId="0" borderId="92" xfId="1" applyNumberFormat="1" applyFont="1" applyFill="1" applyBorder="1"/>
    <xf numFmtId="166" fontId="2" fillId="0" borderId="1" xfId="1" applyNumberFormat="1" applyFont="1" applyFill="1" applyBorder="1"/>
    <xf numFmtId="166" fontId="22" fillId="0" borderId="1" xfId="1" applyNumberFormat="1" applyFont="1" applyBorder="1"/>
    <xf numFmtId="9" fontId="22" fillId="0" borderId="1" xfId="4" applyFont="1" applyBorder="1"/>
    <xf numFmtId="9" fontId="13" fillId="0" borderId="1" xfId="4" applyFont="1" applyBorder="1"/>
    <xf numFmtId="9" fontId="20" fillId="0" borderId="1" xfId="4" applyFont="1" applyBorder="1"/>
    <xf numFmtId="9" fontId="22" fillId="0" borderId="1" xfId="4" applyFont="1" applyFill="1" applyBorder="1"/>
    <xf numFmtId="9" fontId="13" fillId="0" borderId="1" xfId="4" applyFont="1" applyFill="1" applyBorder="1"/>
    <xf numFmtId="9" fontId="20" fillId="0" borderId="1" xfId="4" applyFont="1" applyFill="1" applyBorder="1"/>
    <xf numFmtId="0" fontId="6" fillId="13" borderId="7" xfId="0" applyFont="1" applyFill="1" applyBorder="1" applyAlignment="1">
      <alignment horizontal="left" vertical="top"/>
    </xf>
    <xf numFmtId="166" fontId="22" fillId="0" borderId="7" xfId="1" applyNumberFormat="1" applyFont="1" applyBorder="1"/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/>
    <xf numFmtId="0" fontId="0" fillId="18" borderId="77" xfId="0" applyFill="1" applyBorder="1"/>
    <xf numFmtId="9" fontId="13" fillId="0" borderId="27" xfId="4" applyFont="1" applyBorder="1"/>
    <xf numFmtId="0" fontId="0" fillId="18" borderId="28" xfId="0" applyFill="1" applyBorder="1"/>
    <xf numFmtId="166" fontId="0" fillId="0" borderId="29" xfId="1" applyNumberFormat="1" applyFont="1" applyBorder="1"/>
    <xf numFmtId="9" fontId="0" fillId="0" borderId="29" xfId="4" applyFont="1" applyFill="1" applyBorder="1"/>
    <xf numFmtId="9" fontId="13" fillId="0" borderId="29" xfId="4" applyFont="1" applyFill="1" applyBorder="1"/>
    <xf numFmtId="9" fontId="13" fillId="0" borderId="30" xfId="4" applyFont="1" applyBorder="1"/>
    <xf numFmtId="0" fontId="0" fillId="18" borderId="24" xfId="0" applyFill="1" applyBorder="1"/>
    <xf numFmtId="9" fontId="0" fillId="0" borderId="12" xfId="4" applyFont="1" applyFill="1" applyBorder="1"/>
    <xf numFmtId="9" fontId="13" fillId="0" borderId="12" xfId="4" applyFont="1" applyFill="1" applyBorder="1"/>
    <xf numFmtId="9" fontId="13" fillId="0" borderId="25" xfId="4" applyFont="1" applyBorder="1"/>
    <xf numFmtId="0" fontId="17" fillId="22" borderId="20" xfId="0" applyFont="1" applyFill="1" applyBorder="1"/>
    <xf numFmtId="166" fontId="22" fillId="0" borderId="21" xfId="1" applyNumberFormat="1" applyFont="1" applyBorder="1"/>
    <xf numFmtId="9" fontId="22" fillId="0" borderId="21" xfId="4" applyFont="1" applyFill="1" applyBorder="1"/>
    <xf numFmtId="9" fontId="22" fillId="0" borderId="22" xfId="4" applyFont="1" applyBorder="1"/>
    <xf numFmtId="166" fontId="2" fillId="0" borderId="7" xfId="1" applyNumberFormat="1" applyFont="1" applyFill="1" applyBorder="1"/>
    <xf numFmtId="0" fontId="2" fillId="0" borderId="20" xfId="0" applyFont="1" applyBorder="1"/>
    <xf numFmtId="166" fontId="2" fillId="0" borderId="21" xfId="1" applyNumberFormat="1" applyFont="1" applyFill="1" applyBorder="1"/>
    <xf numFmtId="9" fontId="2" fillId="0" borderId="21" xfId="4" applyFont="1" applyFill="1" applyBorder="1"/>
    <xf numFmtId="9" fontId="20" fillId="0" borderId="21" xfId="4" applyFont="1" applyFill="1" applyBorder="1"/>
    <xf numFmtId="9" fontId="20" fillId="0" borderId="22" xfId="4" applyFont="1" applyBorder="1"/>
    <xf numFmtId="0" fontId="2" fillId="2" borderId="10" xfId="0" applyFont="1" applyFill="1" applyBorder="1"/>
    <xf numFmtId="9" fontId="22" fillId="0" borderId="97" xfId="4" applyFont="1" applyBorder="1"/>
    <xf numFmtId="9" fontId="13" fillId="0" borderId="11" xfId="4" applyFont="1" applyBorder="1"/>
    <xf numFmtId="9" fontId="13" fillId="0" borderId="36" xfId="4" applyFont="1" applyBorder="1"/>
    <xf numFmtId="9" fontId="13" fillId="0" borderId="8" xfId="4" applyFont="1" applyBorder="1"/>
    <xf numFmtId="9" fontId="20" fillId="0" borderId="97" xfId="4" applyFont="1" applyBorder="1"/>
    <xf numFmtId="0" fontId="2" fillId="2" borderId="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0" fontId="2" fillId="2" borderId="58" xfId="0" applyFont="1" applyFill="1" applyBorder="1"/>
    <xf numFmtId="166" fontId="22" fillId="0" borderId="20" xfId="1" applyNumberFormat="1" applyFont="1" applyBorder="1"/>
    <xf numFmtId="166" fontId="0" fillId="0" borderId="24" xfId="1" applyNumberFormat="1" applyFont="1" applyBorder="1"/>
    <xf numFmtId="166" fontId="0" fillId="0" borderId="28" xfId="1" applyNumberFormat="1" applyFont="1" applyBorder="1"/>
    <xf numFmtId="166" fontId="0" fillId="0" borderId="77" xfId="1" applyNumberFormat="1" applyFont="1" applyBorder="1"/>
    <xf numFmtId="166" fontId="2" fillId="0" borderId="20" xfId="1" applyNumberFormat="1" applyFont="1" applyFill="1" applyBorder="1"/>
    <xf numFmtId="166" fontId="0" fillId="0" borderId="8" xfId="0" applyNumberFormat="1" applyBorder="1"/>
    <xf numFmtId="0" fontId="12" fillId="0" borderId="0" xfId="0" applyFont="1" applyAlignment="1">
      <alignment horizontal="center" vertical="center"/>
    </xf>
    <xf numFmtId="170" fontId="2" fillId="0" borderId="1" xfId="0" applyNumberFormat="1" applyFont="1" applyBorder="1"/>
    <xf numFmtId="0" fontId="8" fillId="0" borderId="1" xfId="0" applyFont="1" applyBorder="1"/>
    <xf numFmtId="49" fontId="0" fillId="0" borderId="0" xfId="0" applyNumberFormat="1"/>
    <xf numFmtId="0" fontId="0" fillId="0" borderId="99" xfId="0" applyBorder="1"/>
    <xf numFmtId="49" fontId="0" fillId="0" borderId="99" xfId="0" applyNumberFormat="1" applyBorder="1"/>
    <xf numFmtId="0" fontId="0" fillId="0" borderId="33" xfId="0" applyBorder="1"/>
    <xf numFmtId="0" fontId="0" fillId="0" borderId="34" xfId="0" applyBorder="1"/>
    <xf numFmtId="0" fontId="17" fillId="25" borderId="102" xfId="0" applyFont="1" applyFill="1" applyBorder="1"/>
    <xf numFmtId="164" fontId="17" fillId="25" borderId="102" xfId="0" applyNumberFormat="1" applyFont="1" applyFill="1" applyBorder="1"/>
    <xf numFmtId="166" fontId="0" fillId="0" borderId="2" xfId="0" applyNumberFormat="1" applyBorder="1"/>
    <xf numFmtId="166" fontId="0" fillId="0" borderId="10" xfId="0" applyNumberFormat="1" applyBorder="1"/>
    <xf numFmtId="166" fontId="2" fillId="0" borderId="21" xfId="0" applyNumberFormat="1" applyFont="1" applyBorder="1"/>
    <xf numFmtId="166" fontId="2" fillId="0" borderId="61" xfId="1" applyNumberFormat="1" applyFont="1" applyBorder="1"/>
    <xf numFmtId="0" fontId="9" fillId="12" borderId="108" xfId="0" applyFont="1" applyFill="1" applyBorder="1" applyAlignment="1">
      <alignment horizontal="center" vertical="center"/>
    </xf>
    <xf numFmtId="169" fontId="0" fillId="0" borderId="109" xfId="0" applyNumberFormat="1" applyBorder="1" applyAlignment="1" applyProtection="1">
      <alignment horizontal="center" vertical="center"/>
      <protection locked="0"/>
    </xf>
    <xf numFmtId="0" fontId="12" fillId="12" borderId="109" xfId="0" applyFont="1" applyFill="1" applyBorder="1" applyAlignment="1">
      <alignment horizontal="center" vertical="center"/>
    </xf>
    <xf numFmtId="0" fontId="0" fillId="0" borderId="110" xfId="0" applyBorder="1" applyAlignment="1" applyProtection="1">
      <alignment horizontal="center" vertical="center"/>
      <protection locked="0"/>
    </xf>
    <xf numFmtId="0" fontId="12" fillId="12" borderId="113" xfId="0" applyFont="1" applyFill="1" applyBorder="1" applyAlignment="1">
      <alignment vertical="center"/>
    </xf>
    <xf numFmtId="49" fontId="9" fillId="0" borderId="114" xfId="0" applyNumberFormat="1" applyFont="1" applyBorder="1" applyAlignment="1" applyProtection="1">
      <alignment horizontal="center" vertical="center"/>
      <protection locked="0"/>
    </xf>
    <xf numFmtId="0" fontId="2" fillId="2" borderId="114" xfId="0" applyFont="1" applyFill="1" applyBorder="1" applyAlignment="1">
      <alignment horizontal="center" vertical="center"/>
    </xf>
    <xf numFmtId="0" fontId="12" fillId="16" borderId="115" xfId="0" applyFont="1" applyFill="1" applyBorder="1" applyAlignment="1" applyProtection="1">
      <alignment horizontal="left" vertical="center"/>
      <protection hidden="1"/>
    </xf>
    <xf numFmtId="0" fontId="21" fillId="20" borderId="112" xfId="0" applyFont="1" applyFill="1" applyBorder="1" applyAlignment="1">
      <alignment vertical="center" textRotation="90"/>
    </xf>
    <xf numFmtId="0" fontId="18" fillId="0" borderId="0" xfId="0" applyFont="1"/>
    <xf numFmtId="0" fontId="2" fillId="0" borderId="0" xfId="0" applyFont="1" applyAlignment="1">
      <alignment horizontal="right"/>
    </xf>
    <xf numFmtId="0" fontId="24" fillId="0" borderId="0" xfId="0" applyFont="1" applyProtection="1">
      <protection hidden="1"/>
    </xf>
    <xf numFmtId="166" fontId="24" fillId="0" borderId="1" xfId="1" applyNumberFormat="1" applyFont="1" applyBorder="1" applyProtection="1">
      <protection hidden="1"/>
    </xf>
    <xf numFmtId="166" fontId="24" fillId="0" borderId="7" xfId="1" applyNumberFormat="1" applyFont="1" applyBorder="1" applyProtection="1">
      <protection hidden="1"/>
    </xf>
    <xf numFmtId="166" fontId="24" fillId="0" borderId="2" xfId="1" applyNumberFormat="1" applyFont="1" applyBorder="1" applyProtection="1">
      <protection hidden="1"/>
    </xf>
    <xf numFmtId="166" fontId="25" fillId="0" borderId="1" xfId="1" applyNumberFormat="1" applyFont="1" applyBorder="1" applyProtection="1">
      <protection hidden="1"/>
    </xf>
    <xf numFmtId="0" fontId="28" fillId="0" borderId="18" xfId="0" applyFont="1" applyBorder="1" applyAlignment="1" applyProtection="1">
      <alignment horizontal="center" vertical="center"/>
      <protection hidden="1"/>
    </xf>
    <xf numFmtId="0" fontId="28" fillId="0" borderId="37" xfId="0" applyFont="1" applyBorder="1" applyAlignment="1" applyProtection="1">
      <alignment horizontal="center" vertical="center"/>
      <protection hidden="1"/>
    </xf>
    <xf numFmtId="0" fontId="28" fillId="0" borderId="5" xfId="0" applyFont="1" applyBorder="1" applyAlignment="1" applyProtection="1">
      <alignment horizontal="center" vertical="center"/>
      <protection hidden="1"/>
    </xf>
    <xf numFmtId="0" fontId="28" fillId="0" borderId="41" xfId="0" applyFont="1" applyBorder="1" applyAlignment="1" applyProtection="1">
      <alignment horizontal="center" vertical="center"/>
      <protection hidden="1"/>
    </xf>
    <xf numFmtId="0" fontId="28" fillId="0" borderId="40" xfId="0" applyFont="1" applyBorder="1" applyAlignment="1" applyProtection="1">
      <alignment horizontal="center" vertical="center"/>
      <protection hidden="1"/>
    </xf>
    <xf numFmtId="0" fontId="28" fillId="0" borderId="4" xfId="0" applyFont="1" applyBorder="1" applyAlignment="1" applyProtection="1">
      <alignment horizontal="center" vertical="center"/>
      <protection hidden="1"/>
    </xf>
    <xf numFmtId="0" fontId="28" fillId="0" borderId="12" xfId="0" applyFont="1" applyBorder="1" applyAlignment="1" applyProtection="1">
      <alignment horizontal="center" vertical="center"/>
      <protection hidden="1"/>
    </xf>
    <xf numFmtId="0" fontId="28" fillId="0" borderId="25" xfId="0" applyFont="1" applyBorder="1" applyAlignment="1" applyProtection="1">
      <alignment horizontal="center" vertical="center"/>
      <protection hidden="1"/>
    </xf>
    <xf numFmtId="0" fontId="27" fillId="0" borderId="56" xfId="0" applyFont="1" applyBorder="1" applyProtection="1">
      <protection hidden="1"/>
    </xf>
    <xf numFmtId="166" fontId="27" fillId="0" borderId="15" xfId="1" applyNumberFormat="1" applyFont="1" applyBorder="1" applyProtection="1">
      <protection hidden="1"/>
    </xf>
    <xf numFmtId="166" fontId="27" fillId="0" borderId="1" xfId="1" applyNumberFormat="1" applyFont="1" applyBorder="1" applyProtection="1">
      <protection hidden="1"/>
    </xf>
    <xf numFmtId="166" fontId="27" fillId="0" borderId="13" xfId="1" applyNumberFormat="1" applyFont="1" applyBorder="1" applyProtection="1">
      <protection hidden="1"/>
    </xf>
    <xf numFmtId="166" fontId="27" fillId="0" borderId="7" xfId="1" applyNumberFormat="1" applyFont="1" applyBorder="1" applyProtection="1">
      <protection hidden="1"/>
    </xf>
    <xf numFmtId="166" fontId="27" fillId="0" borderId="27" xfId="1" applyNumberFormat="1" applyFont="1" applyBorder="1" applyProtection="1">
      <protection hidden="1"/>
    </xf>
    <xf numFmtId="0" fontId="27" fillId="0" borderId="57" xfId="0" applyFont="1" applyBorder="1" applyProtection="1">
      <protection hidden="1"/>
    </xf>
    <xf numFmtId="166" fontId="27" fillId="0" borderId="16" xfId="1" applyNumberFormat="1" applyFont="1" applyBorder="1" applyProtection="1">
      <protection hidden="1"/>
    </xf>
    <xf numFmtId="166" fontId="27" fillId="0" borderId="2" xfId="1" applyNumberFormat="1" applyFont="1" applyBorder="1" applyProtection="1">
      <protection hidden="1"/>
    </xf>
    <xf numFmtId="166" fontId="27" fillId="0" borderId="14" xfId="1" applyNumberFormat="1" applyFont="1" applyBorder="1" applyProtection="1">
      <protection hidden="1"/>
    </xf>
    <xf numFmtId="166" fontId="27" fillId="0" borderId="9" xfId="1" applyNumberFormat="1" applyFont="1" applyBorder="1" applyProtection="1">
      <protection hidden="1"/>
    </xf>
    <xf numFmtId="166" fontId="27" fillId="0" borderId="58" xfId="1" applyNumberFormat="1" applyFont="1" applyBorder="1" applyProtection="1">
      <protection hidden="1"/>
    </xf>
    <xf numFmtId="0" fontId="28" fillId="0" borderId="24" xfId="0" applyFont="1" applyBorder="1" applyAlignment="1" applyProtection="1">
      <alignment horizontal="center" vertical="center"/>
      <protection hidden="1"/>
    </xf>
    <xf numFmtId="0" fontId="28" fillId="0" borderId="3" xfId="0" applyFont="1" applyBorder="1" applyAlignment="1" applyProtection="1">
      <alignment horizontal="center" vertical="center"/>
      <protection hidden="1"/>
    </xf>
    <xf numFmtId="0" fontId="28" fillId="0" borderId="60" xfId="0" applyFont="1" applyBorder="1" applyAlignment="1" applyProtection="1">
      <alignment horizontal="center" vertical="center"/>
      <protection hidden="1"/>
    </xf>
    <xf numFmtId="166" fontId="27" fillId="0" borderId="8" xfId="1" applyNumberFormat="1" applyFont="1" applyBorder="1" applyProtection="1">
      <protection hidden="1"/>
    </xf>
    <xf numFmtId="166" fontId="27" fillId="0" borderId="10" xfId="1" applyNumberFormat="1" applyFont="1" applyBorder="1" applyProtection="1">
      <protection hidden="1"/>
    </xf>
    <xf numFmtId="0" fontId="28" fillId="0" borderId="11" xfId="0" applyFont="1" applyBorder="1" applyAlignment="1" applyProtection="1">
      <alignment horizontal="center" vertical="center"/>
      <protection hidden="1"/>
    </xf>
    <xf numFmtId="0" fontId="28" fillId="0" borderId="38" xfId="0" applyFont="1" applyBorder="1" applyAlignment="1" applyProtection="1">
      <alignment horizontal="center" vertical="center"/>
      <protection hidden="1"/>
    </xf>
    <xf numFmtId="0" fontId="27" fillId="0" borderId="8" xfId="0" applyFont="1" applyBorder="1" applyProtection="1">
      <protection hidden="1"/>
    </xf>
    <xf numFmtId="0" fontId="27" fillId="0" borderId="10" xfId="0" applyFont="1" applyBorder="1" applyProtection="1">
      <protection hidden="1"/>
    </xf>
    <xf numFmtId="0" fontId="29" fillId="0" borderId="0" xfId="0" applyFont="1"/>
    <xf numFmtId="166" fontId="29" fillId="0" borderId="0" xfId="0" applyNumberFormat="1" applyFont="1"/>
    <xf numFmtId="166" fontId="0" fillId="0" borderId="0" xfId="0" applyNumberFormat="1"/>
    <xf numFmtId="0" fontId="30" fillId="5" borderId="8" xfId="0" applyFont="1" applyFill="1" applyBorder="1" applyAlignment="1">
      <alignment vertical="center"/>
    </xf>
    <xf numFmtId="164" fontId="29" fillId="0" borderId="0" xfId="0" applyNumberFormat="1" applyFont="1"/>
    <xf numFmtId="0" fontId="19" fillId="5" borderId="11" xfId="0" applyFont="1" applyFill="1" applyBorder="1" applyAlignment="1">
      <alignment vertical="center"/>
    </xf>
    <xf numFmtId="0" fontId="29" fillId="0" borderId="8" xfId="0" applyFont="1" applyBorder="1"/>
    <xf numFmtId="0" fontId="19" fillId="5" borderId="17" xfId="0" applyFont="1" applyFill="1" applyBorder="1" applyAlignment="1">
      <alignment vertical="center"/>
    </xf>
    <xf numFmtId="0" fontId="29" fillId="0" borderId="7" xfId="0" applyFont="1" applyBorder="1"/>
    <xf numFmtId="0" fontId="29" fillId="0" borderId="9" xfId="0" applyFont="1" applyBorder="1"/>
    <xf numFmtId="0" fontId="29" fillId="0" borderId="12" xfId="0" applyFont="1" applyBorder="1"/>
    <xf numFmtId="0" fontId="25" fillId="0" borderId="0" xfId="0" applyFont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24" fillId="0" borderId="0" xfId="0" applyFont="1"/>
    <xf numFmtId="0" fontId="24" fillId="15" borderId="8" xfId="0" applyFont="1" applyFill="1" applyBorder="1" applyAlignment="1">
      <alignment vertical="center"/>
    </xf>
    <xf numFmtId="166" fontId="24" fillId="0" borderId="1" xfId="1" applyNumberFormat="1" applyFont="1" applyFill="1" applyBorder="1" applyProtection="1">
      <protection hidden="1"/>
    </xf>
    <xf numFmtId="166" fontId="24" fillId="0" borderId="1" xfId="0" applyNumberFormat="1" applyFont="1" applyBorder="1" applyProtection="1">
      <protection hidden="1"/>
    </xf>
    <xf numFmtId="166" fontId="24" fillId="21" borderId="101" xfId="1" applyNumberFormat="1" applyFont="1" applyFill="1" applyBorder="1" applyAlignment="1" applyProtection="1">
      <alignment horizontal="right" vertical="center"/>
      <protection hidden="1"/>
    </xf>
    <xf numFmtId="0" fontId="25" fillId="15" borderId="8" xfId="0" applyFont="1" applyFill="1" applyBorder="1" applyAlignment="1">
      <alignment vertical="center"/>
    </xf>
    <xf numFmtId="166" fontId="25" fillId="0" borderId="1" xfId="1" applyNumberFormat="1" applyFont="1" applyFill="1" applyBorder="1" applyProtection="1">
      <protection hidden="1"/>
    </xf>
    <xf numFmtId="0" fontId="24" fillId="0" borderId="0" xfId="0" applyFont="1" applyAlignment="1">
      <alignment vertical="center"/>
    </xf>
    <xf numFmtId="0" fontId="25" fillId="0" borderId="8" xfId="0" applyFont="1" applyBorder="1" applyAlignment="1">
      <alignment vertical="center"/>
    </xf>
    <xf numFmtId="0" fontId="24" fillId="0" borderId="17" xfId="0" applyFont="1" applyBorder="1" applyProtection="1">
      <protection hidden="1"/>
    </xf>
    <xf numFmtId="0" fontId="25" fillId="15" borderId="1" xfId="0" applyFont="1" applyFill="1" applyBorder="1" applyAlignment="1">
      <alignment vertical="center"/>
    </xf>
    <xf numFmtId="166" fontId="25" fillId="0" borderId="1" xfId="0" applyNumberFormat="1" applyFont="1" applyBorder="1" applyProtection="1">
      <protection hidden="1"/>
    </xf>
    <xf numFmtId="43" fontId="24" fillId="21" borderId="101" xfId="1" applyFont="1" applyFill="1" applyBorder="1" applyAlignment="1" applyProtection="1">
      <alignment horizontal="right" vertical="center"/>
      <protection hidden="1"/>
    </xf>
    <xf numFmtId="166" fontId="24" fillId="0" borderId="2" xfId="1" applyNumberFormat="1" applyFont="1" applyFill="1" applyBorder="1" applyProtection="1">
      <protection hidden="1"/>
    </xf>
    <xf numFmtId="0" fontId="24" fillId="0" borderId="2" xfId="0" applyFont="1" applyBorder="1" applyProtection="1">
      <protection hidden="1"/>
    </xf>
    <xf numFmtId="43" fontId="24" fillId="0" borderId="1" xfId="0" applyNumberFormat="1" applyFont="1" applyBorder="1" applyProtection="1">
      <protection hidden="1"/>
    </xf>
    <xf numFmtId="43" fontId="24" fillId="0" borderId="1" xfId="1" applyFont="1" applyFill="1" applyBorder="1" applyProtection="1">
      <protection hidden="1"/>
    </xf>
    <xf numFmtId="43" fontId="24" fillId="0" borderId="1" xfId="0" applyNumberFormat="1" applyFont="1" applyBorder="1" applyAlignment="1" applyProtection="1">
      <alignment vertical="center"/>
      <protection hidden="1"/>
    </xf>
    <xf numFmtId="166" fontId="24" fillId="0" borderId="1" xfId="0" applyNumberFormat="1" applyFont="1" applyBorder="1" applyAlignment="1" applyProtection="1">
      <alignment vertical="center"/>
      <protection hidden="1"/>
    </xf>
    <xf numFmtId="0" fontId="24" fillId="0" borderId="1" xfId="0" applyFont="1" applyBorder="1" applyProtection="1">
      <protection hidden="1"/>
    </xf>
    <xf numFmtId="1" fontId="0" fillId="0" borderId="0" xfId="0" applyNumberFormat="1"/>
    <xf numFmtId="43" fontId="0" fillId="0" borderId="0" xfId="0" applyNumberFormat="1"/>
    <xf numFmtId="166" fontId="24" fillId="0" borderId="0" xfId="1" applyNumberFormat="1" applyFont="1" applyFill="1" applyProtection="1">
      <protection hidden="1"/>
    </xf>
    <xf numFmtId="166" fontId="24" fillId="0" borderId="0" xfId="1" applyNumberFormat="1" applyFont="1" applyFill="1" applyAlignment="1" applyProtection="1">
      <alignment horizontal="left" vertical="top"/>
      <protection hidden="1"/>
    </xf>
    <xf numFmtId="164" fontId="24" fillId="0" borderId="0" xfId="0" applyNumberFormat="1" applyFont="1"/>
    <xf numFmtId="166" fontId="24" fillId="0" borderId="0" xfId="1" applyNumberFormat="1" applyFont="1" applyFill="1"/>
    <xf numFmtId="9" fontId="24" fillId="0" borderId="0" xfId="4" applyFont="1" applyFill="1"/>
    <xf numFmtId="167" fontId="24" fillId="0" borderId="0" xfId="1" applyNumberFormat="1" applyFont="1" applyFill="1"/>
    <xf numFmtId="1" fontId="24" fillId="0" borderId="0" xfId="0" applyNumberFormat="1" applyFont="1"/>
    <xf numFmtId="164" fontId="33" fillId="0" borderId="0" xfId="0" applyNumberFormat="1" applyFont="1"/>
    <xf numFmtId="0" fontId="26" fillId="0" borderId="23" xfId="0" applyFont="1" applyBorder="1" applyAlignment="1">
      <alignment horizontal="left" vertical="center"/>
    </xf>
    <xf numFmtId="0" fontId="36" fillId="0" borderId="44" xfId="0" applyFont="1" applyBorder="1" applyAlignment="1">
      <alignment horizontal="left" vertical="center"/>
    </xf>
    <xf numFmtId="164" fontId="37" fillId="0" borderId="19" xfId="0" applyNumberFormat="1" applyFont="1" applyBorder="1" applyAlignment="1" applyProtection="1">
      <alignment horizontal="center" vertical="center"/>
      <protection hidden="1"/>
    </xf>
    <xf numFmtId="0" fontId="34" fillId="0" borderId="19" xfId="0" applyFont="1" applyBorder="1" applyAlignment="1" applyProtection="1">
      <alignment horizontal="center" vertical="center"/>
      <protection hidden="1"/>
    </xf>
    <xf numFmtId="0" fontId="39" fillId="19" borderId="78" xfId="0" applyFont="1" applyFill="1" applyBorder="1" applyAlignment="1" applyProtection="1">
      <alignment horizontal="center" vertical="center"/>
      <protection locked="0"/>
    </xf>
    <xf numFmtId="0" fontId="37" fillId="0" borderId="8" xfId="0" applyFont="1" applyBorder="1" applyAlignment="1" applyProtection="1">
      <alignment vertical="center"/>
      <protection hidden="1"/>
    </xf>
    <xf numFmtId="166" fontId="36" fillId="0" borderId="8" xfId="1" applyNumberFormat="1" applyFont="1" applyBorder="1" applyAlignment="1" applyProtection="1">
      <alignment vertical="center"/>
      <protection hidden="1"/>
    </xf>
    <xf numFmtId="0" fontId="34" fillId="0" borderId="30" xfId="0" applyFont="1" applyBorder="1" applyAlignment="1" applyProtection="1">
      <alignment vertical="center"/>
      <protection hidden="1"/>
    </xf>
    <xf numFmtId="0" fontId="36" fillId="0" borderId="28" xfId="0" applyFont="1" applyBorder="1" applyAlignment="1">
      <alignment horizontal="left" vertical="center"/>
    </xf>
    <xf numFmtId="0" fontId="37" fillId="0" borderId="30" xfId="0" applyFont="1" applyBorder="1" applyAlignment="1" applyProtection="1">
      <alignment horizontal="center" vertical="center"/>
      <protection hidden="1"/>
    </xf>
    <xf numFmtId="0" fontId="36" fillId="0" borderId="28" xfId="0" applyFont="1" applyBorder="1" applyAlignment="1">
      <alignment vertical="center"/>
    </xf>
    <xf numFmtId="166" fontId="36" fillId="0" borderId="36" xfId="1" applyNumberFormat="1" applyFont="1" applyBorder="1" applyAlignment="1" applyProtection="1">
      <alignment vertical="center"/>
      <protection hidden="1"/>
    </xf>
    <xf numFmtId="0" fontId="26" fillId="2" borderId="65" xfId="0" applyFont="1" applyFill="1" applyBorder="1" applyAlignment="1">
      <alignment horizontal="center" vertical="center" wrapText="1"/>
    </xf>
    <xf numFmtId="0" fontId="26" fillId="2" borderId="61" xfId="0" applyFont="1" applyFill="1" applyBorder="1" applyAlignment="1">
      <alignment horizontal="center" vertical="center" wrapText="1"/>
    </xf>
    <xf numFmtId="0" fontId="26" fillId="2" borderId="63" xfId="0" applyFont="1" applyFill="1" applyBorder="1" applyAlignment="1">
      <alignment horizontal="center" vertical="center" wrapText="1"/>
    </xf>
    <xf numFmtId="0" fontId="26" fillId="2" borderId="104" xfId="0" applyFont="1" applyFill="1" applyBorder="1" applyAlignment="1">
      <alignment horizontal="center" vertical="center" wrapText="1"/>
    </xf>
    <xf numFmtId="0" fontId="26" fillId="2" borderId="66" xfId="0" applyFont="1" applyFill="1" applyBorder="1" applyAlignment="1">
      <alignment horizontal="center" vertical="center"/>
    </xf>
    <xf numFmtId="0" fontId="26" fillId="2" borderId="62" xfId="0" applyFont="1" applyFill="1" applyBorder="1" applyAlignment="1">
      <alignment horizontal="center" vertical="center" wrapText="1"/>
    </xf>
    <xf numFmtId="0" fontId="26" fillId="2" borderId="5" xfId="0" applyFont="1" applyFill="1" applyBorder="1" applyAlignment="1">
      <alignment horizontal="center" vertical="center" wrapText="1"/>
    </xf>
    <xf numFmtId="168" fontId="38" fillId="0" borderId="21" xfId="1" applyNumberFormat="1" applyFont="1" applyBorder="1" applyAlignment="1" applyProtection="1">
      <alignment vertical="center"/>
      <protection hidden="1"/>
    </xf>
    <xf numFmtId="168" fontId="38" fillId="5" borderId="21" xfId="1" applyNumberFormat="1" applyFont="1" applyFill="1" applyBorder="1" applyAlignment="1" applyProtection="1">
      <alignment vertical="center"/>
    </xf>
    <xf numFmtId="0" fontId="41" fillId="5" borderId="21" xfId="0" applyFont="1" applyFill="1" applyBorder="1"/>
    <xf numFmtId="166" fontId="38" fillId="0" borderId="22" xfId="1" applyNumberFormat="1" applyFont="1" applyBorder="1" applyAlignment="1" applyProtection="1">
      <alignment vertical="center"/>
      <protection hidden="1"/>
    </xf>
    <xf numFmtId="166" fontId="38" fillId="0" borderId="12" xfId="1" applyNumberFormat="1" applyFont="1" applyFill="1" applyBorder="1" applyAlignment="1" applyProtection="1">
      <alignment vertical="center"/>
      <protection hidden="1"/>
    </xf>
    <xf numFmtId="170" fontId="31" fillId="14" borderId="20" xfId="0" applyNumberFormat="1" applyFont="1" applyFill="1" applyBorder="1" applyAlignment="1">
      <alignment horizontal="center" vertical="center"/>
    </xf>
    <xf numFmtId="170" fontId="31" fillId="24" borderId="2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0" fillId="12" borderId="23" xfId="0" applyFont="1" applyFill="1" applyBorder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6" fillId="0" borderId="0" xfId="0" applyFont="1" applyProtection="1">
      <protection hidden="1"/>
    </xf>
    <xf numFmtId="0" fontId="32" fillId="0" borderId="0" xfId="0" applyFont="1" applyProtection="1">
      <protection hidden="1"/>
    </xf>
    <xf numFmtId="166" fontId="24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2" fillId="0" borderId="1" xfId="0" applyFont="1" applyBorder="1" applyProtection="1">
      <protection hidden="1"/>
    </xf>
    <xf numFmtId="0" fontId="2" fillId="0" borderId="50" xfId="0" applyFont="1" applyBorder="1"/>
    <xf numFmtId="0" fontId="2" fillId="0" borderId="48" xfId="0" applyFont="1" applyBorder="1"/>
    <xf numFmtId="164" fontId="0" fillId="0" borderId="1" xfId="0" applyNumberFormat="1" applyBorder="1" applyProtection="1">
      <protection locked="0"/>
    </xf>
    <xf numFmtId="172" fontId="0" fillId="0" borderId="0" xfId="0" applyNumberFormat="1"/>
    <xf numFmtId="164" fontId="0" fillId="0" borderId="1" xfId="0" applyNumberFormat="1" applyBorder="1"/>
    <xf numFmtId="166" fontId="26" fillId="20" borderId="1" xfId="1" applyNumberFormat="1" applyFont="1" applyFill="1" applyBorder="1" applyAlignment="1" applyProtection="1">
      <alignment vertical="center"/>
      <protection hidden="1"/>
    </xf>
    <xf numFmtId="0" fontId="25" fillId="15" borderId="11" xfId="0" applyFont="1" applyFill="1" applyBorder="1" applyAlignment="1" applyProtection="1">
      <alignment horizontal="center" vertical="center"/>
      <protection hidden="1"/>
    </xf>
    <xf numFmtId="166" fontId="25" fillId="20" borderId="100" xfId="1" applyNumberFormat="1" applyFont="1" applyFill="1" applyBorder="1" applyProtection="1">
      <protection hidden="1"/>
    </xf>
    <xf numFmtId="166" fontId="25" fillId="20" borderId="1" xfId="1" applyNumberFormat="1" applyFont="1" applyFill="1" applyBorder="1" applyProtection="1">
      <protection hidden="1"/>
    </xf>
    <xf numFmtId="166" fontId="25" fillId="20" borderId="38" xfId="1" applyNumberFormat="1" applyFont="1" applyFill="1" applyBorder="1" applyProtection="1">
      <protection hidden="1"/>
    </xf>
    <xf numFmtId="166" fontId="25" fillId="20" borderId="12" xfId="1" applyNumberFormat="1" applyFont="1" applyFill="1" applyBorder="1" applyProtection="1">
      <protection hidden="1"/>
    </xf>
    <xf numFmtId="0" fontId="25" fillId="15" borderId="59" xfId="0" applyFont="1" applyFill="1" applyBorder="1" applyAlignment="1" applyProtection="1">
      <alignment horizontal="center" vertical="center"/>
      <protection hidden="1"/>
    </xf>
    <xf numFmtId="166" fontId="25" fillId="20" borderId="45" xfId="1" applyNumberFormat="1" applyFont="1" applyFill="1" applyBorder="1" applyProtection="1">
      <protection hidden="1"/>
    </xf>
    <xf numFmtId="166" fontId="25" fillId="20" borderId="30" xfId="1" applyNumberFormat="1" applyFont="1" applyFill="1" applyBorder="1" applyProtection="1">
      <protection hidden="1"/>
    </xf>
    <xf numFmtId="166" fontId="25" fillId="20" borderId="29" xfId="1" applyNumberFormat="1" applyFont="1" applyFill="1" applyBorder="1" applyProtection="1">
      <protection hidden="1"/>
    </xf>
    <xf numFmtId="166" fontId="25" fillId="20" borderId="46" xfId="1" applyNumberFormat="1" applyFont="1" applyFill="1" applyBorder="1" applyProtection="1">
      <protection hidden="1"/>
    </xf>
    <xf numFmtId="166" fontId="25" fillId="20" borderId="47" xfId="1" applyNumberFormat="1" applyFont="1" applyFill="1" applyBorder="1" applyProtection="1">
      <protection hidden="1"/>
    </xf>
    <xf numFmtId="168" fontId="46" fillId="0" borderId="12" xfId="1" applyNumberFormat="1" applyFont="1" applyBorder="1" applyAlignment="1" applyProtection="1">
      <alignment vertical="center"/>
      <protection hidden="1"/>
    </xf>
    <xf numFmtId="0" fontId="12" fillId="20" borderId="111" xfId="0" applyFont="1" applyFill="1" applyBorder="1" applyAlignment="1">
      <alignment vertical="center" textRotation="90"/>
    </xf>
    <xf numFmtId="0" fontId="9" fillId="6" borderId="0" xfId="0" applyFont="1" applyFill="1" applyAlignment="1">
      <alignment vertical="center"/>
    </xf>
    <xf numFmtId="0" fontId="52" fillId="13" borderId="0" xfId="0" applyFont="1" applyFill="1" applyAlignment="1">
      <alignment vertical="center"/>
    </xf>
    <xf numFmtId="166" fontId="2" fillId="8" borderId="12" xfId="1" applyNumberFormat="1" applyFont="1" applyFill="1" applyBorder="1" applyAlignment="1">
      <alignment horizontal="center" vertical="center"/>
    </xf>
    <xf numFmtId="166" fontId="2" fillId="8" borderId="1" xfId="1" applyNumberFormat="1" applyFont="1" applyFill="1" applyBorder="1" applyAlignment="1">
      <alignment horizontal="center" vertical="center"/>
    </xf>
    <xf numFmtId="170" fontId="2" fillId="23" borderId="8" xfId="0" applyNumberFormat="1" applyFont="1" applyFill="1" applyBorder="1" applyAlignment="1">
      <alignment vertical="center"/>
    </xf>
    <xf numFmtId="170" fontId="2" fillId="23" borderId="39" xfId="0" applyNumberFormat="1" applyFont="1" applyFill="1" applyBorder="1" applyAlignment="1">
      <alignment vertical="center"/>
    </xf>
    <xf numFmtId="170" fontId="2" fillId="9" borderId="33" xfId="0" applyNumberFormat="1" applyFont="1" applyFill="1" applyBorder="1" applyAlignment="1">
      <alignment vertical="center"/>
    </xf>
    <xf numFmtId="170" fontId="2" fillId="9" borderId="34" xfId="0" applyNumberFormat="1" applyFont="1" applyFill="1" applyBorder="1" applyAlignment="1">
      <alignment vertical="center"/>
    </xf>
    <xf numFmtId="166" fontId="2" fillId="8" borderId="4" xfId="1" applyNumberFormat="1" applyFont="1" applyFill="1" applyBorder="1" applyAlignment="1">
      <alignment horizontal="center" vertical="center"/>
    </xf>
    <xf numFmtId="166" fontId="2" fillId="8" borderId="25" xfId="1" applyNumberFormat="1" applyFon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6" fillId="0" borderId="122" xfId="0" applyFont="1" applyBorder="1"/>
    <xf numFmtId="166" fontId="0" fillId="0" borderId="18" xfId="1" applyNumberFormat="1" applyFont="1" applyBorder="1"/>
    <xf numFmtId="166" fontId="0" fillId="0" borderId="0" xfId="1" applyNumberFormat="1" applyFont="1" applyBorder="1"/>
    <xf numFmtId="166" fontId="0" fillId="0" borderId="122" xfId="1" applyNumberFormat="1" applyFont="1" applyBorder="1"/>
    <xf numFmtId="166" fontId="0" fillId="0" borderId="54" xfId="1" applyNumberFormat="1" applyFont="1" applyBorder="1"/>
    <xf numFmtId="166" fontId="0" fillId="0" borderId="55" xfId="1" applyNumberFormat="1" applyFont="1" applyBorder="1"/>
    <xf numFmtId="166" fontId="2" fillId="8" borderId="7" xfId="1" applyNumberFormat="1" applyFont="1" applyFill="1" applyBorder="1" applyAlignment="1">
      <alignment horizontal="center" vertical="center"/>
    </xf>
    <xf numFmtId="170" fontId="2" fillId="9" borderId="64" xfId="0" applyNumberFormat="1" applyFont="1" applyFill="1" applyBorder="1" applyAlignment="1">
      <alignment vertical="center"/>
    </xf>
    <xf numFmtId="0" fontId="2" fillId="0" borderId="18" xfId="0" applyFont="1" applyBorder="1"/>
    <xf numFmtId="166" fontId="0" fillId="0" borderId="0" xfId="1" applyNumberFormat="1" applyFont="1" applyFill="1" applyBorder="1"/>
    <xf numFmtId="166" fontId="0" fillId="0" borderId="53" xfId="1" applyNumberFormat="1" applyFont="1" applyBorder="1"/>
    <xf numFmtId="170" fontId="2" fillId="2" borderId="123" xfId="0" applyNumberFormat="1" applyFont="1" applyFill="1" applyBorder="1" applyAlignment="1">
      <alignment vertical="center"/>
    </xf>
    <xf numFmtId="170" fontId="2" fillId="2" borderId="119" xfId="0" applyNumberFormat="1" applyFont="1" applyFill="1" applyBorder="1" applyAlignment="1">
      <alignment vertical="center"/>
    </xf>
    <xf numFmtId="170" fontId="2" fillId="2" borderId="124" xfId="0" applyNumberFormat="1" applyFont="1" applyFill="1" applyBorder="1" applyAlignment="1">
      <alignment vertical="center"/>
    </xf>
    <xf numFmtId="166" fontId="2" fillId="8" borderId="77" xfId="1" applyNumberFormat="1" applyFont="1" applyFill="1" applyBorder="1" applyAlignment="1">
      <alignment horizontal="center" vertical="center"/>
    </xf>
    <xf numFmtId="166" fontId="2" fillId="8" borderId="27" xfId="1" applyNumberFormat="1" applyFont="1" applyFill="1" applyBorder="1" applyAlignment="1">
      <alignment horizontal="center" vertical="center"/>
    </xf>
    <xf numFmtId="170" fontId="2" fillId="2" borderId="1" xfId="0" applyNumberFormat="1" applyFont="1" applyFill="1" applyBorder="1" applyAlignment="1">
      <alignment vertical="center"/>
    </xf>
    <xf numFmtId="0" fontId="16" fillId="0" borderId="1" xfId="0" applyFont="1" applyBorder="1"/>
    <xf numFmtId="0" fontId="17" fillId="0" borderId="1" xfId="0" applyFont="1" applyBorder="1"/>
    <xf numFmtId="0" fontId="17" fillId="5" borderId="1" xfId="0" applyFont="1" applyFill="1" applyBorder="1"/>
    <xf numFmtId="0" fontId="2" fillId="5" borderId="1" xfId="0" applyFont="1" applyFill="1" applyBorder="1"/>
    <xf numFmtId="166" fontId="0" fillId="19" borderId="1" xfId="1" applyNumberFormat="1" applyFont="1" applyFill="1" applyBorder="1"/>
    <xf numFmtId="170" fontId="2" fillId="2" borderId="15" xfId="0" applyNumberFormat="1" applyFont="1" applyFill="1" applyBorder="1" applyAlignment="1">
      <alignment vertical="center"/>
    </xf>
    <xf numFmtId="170" fontId="2" fillId="2" borderId="13" xfId="0" applyNumberFormat="1" applyFont="1" applyFill="1" applyBorder="1" applyAlignment="1">
      <alignment vertical="center"/>
    </xf>
    <xf numFmtId="166" fontId="2" fillId="8" borderId="15" xfId="1" applyNumberFormat="1" applyFont="1" applyFill="1" applyBorder="1" applyAlignment="1">
      <alignment horizontal="center" vertical="center"/>
    </xf>
    <xf numFmtId="166" fontId="2" fillId="8" borderId="13" xfId="1" applyNumberFormat="1" applyFont="1" applyFill="1" applyBorder="1" applyAlignment="1">
      <alignment horizontal="center" vertical="center"/>
    </xf>
    <xf numFmtId="0" fontId="16" fillId="0" borderId="15" xfId="0" applyFont="1" applyBorder="1"/>
    <xf numFmtId="0" fontId="16" fillId="0" borderId="13" xfId="0" applyFont="1" applyBorder="1"/>
    <xf numFmtId="166" fontId="0" fillId="0" borderId="15" xfId="1" applyNumberFormat="1" applyFont="1" applyBorder="1"/>
    <xf numFmtId="166" fontId="0" fillId="0" borderId="13" xfId="1" applyNumberFormat="1" applyFont="1" applyBorder="1"/>
    <xf numFmtId="166" fontId="0" fillId="19" borderId="15" xfId="1" applyNumberFormat="1" applyFont="1" applyFill="1" applyBorder="1"/>
    <xf numFmtId="166" fontId="57" fillId="0" borderId="14" xfId="1" applyNumberFormat="1" applyFont="1" applyBorder="1" applyProtection="1">
      <protection hidden="1"/>
    </xf>
    <xf numFmtId="0" fontId="34" fillId="0" borderId="19" xfId="0" applyFont="1" applyBorder="1" applyAlignment="1" applyProtection="1">
      <alignment vertical="center" wrapText="1"/>
      <protection hidden="1"/>
    </xf>
    <xf numFmtId="0" fontId="26" fillId="2" borderId="6" xfId="0" applyFont="1" applyFill="1" applyBorder="1" applyAlignment="1">
      <alignment horizontal="center" vertical="top" wrapText="1"/>
    </xf>
    <xf numFmtId="168" fontId="24" fillId="0" borderId="23" xfId="1" applyNumberFormat="1" applyFont="1" applyBorder="1" applyAlignment="1" applyProtection="1">
      <alignment horizontal="right" vertical="center"/>
      <protection hidden="1"/>
    </xf>
    <xf numFmtId="1" fontId="24" fillId="0" borderId="26" xfId="1" applyNumberFormat="1" applyFont="1" applyBorder="1" applyAlignment="1" applyProtection="1">
      <alignment horizontal="right" vertical="center"/>
      <protection hidden="1"/>
    </xf>
    <xf numFmtId="168" fontId="24" fillId="0" borderId="26" xfId="1" applyNumberFormat="1" applyFont="1" applyBorder="1" applyAlignment="1" applyProtection="1">
      <alignment horizontal="right" vertical="center"/>
      <protection hidden="1"/>
    </xf>
    <xf numFmtId="168" fontId="45" fillId="0" borderId="26" xfId="1" applyNumberFormat="1" applyFont="1" applyBorder="1" applyAlignment="1" applyProtection="1">
      <alignment horizontal="right" vertical="center"/>
      <protection hidden="1"/>
    </xf>
    <xf numFmtId="168" fontId="24" fillId="0" borderId="1" xfId="1" applyNumberFormat="1" applyFont="1" applyBorder="1" applyAlignment="1" applyProtection="1">
      <alignment horizontal="right" vertical="center"/>
      <protection hidden="1"/>
    </xf>
    <xf numFmtId="168" fontId="24" fillId="0" borderId="1" xfId="4" applyNumberFormat="1" applyFont="1" applyBorder="1" applyAlignment="1" applyProtection="1">
      <alignment horizontal="right" vertical="center"/>
      <protection hidden="1"/>
    </xf>
    <xf numFmtId="166" fontId="24" fillId="0" borderId="26" xfId="1" applyNumberFormat="1" applyFont="1" applyBorder="1" applyAlignment="1" applyProtection="1">
      <alignment horizontal="right" vertical="center"/>
      <protection hidden="1"/>
    </xf>
    <xf numFmtId="168" fontId="24" fillId="0" borderId="26" xfId="0" applyNumberFormat="1" applyFont="1" applyBorder="1" applyAlignment="1" applyProtection="1">
      <alignment horizontal="right" vertical="center"/>
      <protection hidden="1"/>
    </xf>
    <xf numFmtId="171" fontId="24" fillId="0" borderId="26" xfId="0" applyNumberFormat="1" applyFont="1" applyBorder="1" applyAlignment="1" applyProtection="1">
      <alignment horizontal="right" vertical="center"/>
      <protection hidden="1"/>
    </xf>
    <xf numFmtId="166" fontId="24" fillId="0" borderId="1" xfId="1" applyNumberFormat="1" applyFont="1" applyBorder="1" applyAlignment="1" applyProtection="1">
      <alignment horizontal="right" vertical="center"/>
      <protection hidden="1"/>
    </xf>
    <xf numFmtId="166" fontId="24" fillId="0" borderId="19" xfId="0" applyNumberFormat="1" applyFont="1" applyBorder="1" applyAlignment="1" applyProtection="1">
      <alignment horizontal="right" vertical="center"/>
      <protection hidden="1"/>
    </xf>
    <xf numFmtId="168" fontId="24" fillId="0" borderId="77" xfId="1" applyNumberFormat="1" applyFont="1" applyBorder="1" applyAlignment="1" applyProtection="1">
      <alignment horizontal="right" vertical="center"/>
      <protection hidden="1"/>
    </xf>
    <xf numFmtId="1" fontId="24" fillId="0" borderId="1" xfId="1" applyNumberFormat="1" applyFont="1" applyBorder="1" applyAlignment="1" applyProtection="1">
      <alignment horizontal="right" vertical="center"/>
      <protection hidden="1"/>
    </xf>
    <xf numFmtId="168" fontId="45" fillId="0" borderId="1" xfId="1" applyNumberFormat="1" applyFont="1" applyBorder="1" applyAlignment="1" applyProtection="1">
      <alignment horizontal="right" vertical="center"/>
      <protection hidden="1"/>
    </xf>
    <xf numFmtId="168" fontId="24" fillId="0" borderId="1" xfId="0" applyNumberFormat="1" applyFont="1" applyBorder="1" applyAlignment="1" applyProtection="1">
      <alignment horizontal="right" vertical="center"/>
      <protection hidden="1"/>
    </xf>
    <xf numFmtId="166" fontId="24" fillId="0" borderId="27" xfId="0" applyNumberFormat="1" applyFont="1" applyBorder="1" applyAlignment="1" applyProtection="1">
      <alignment horizontal="right" vertical="center"/>
      <protection hidden="1"/>
    </xf>
    <xf numFmtId="168" fontId="24" fillId="0" borderId="28" xfId="1" applyNumberFormat="1" applyFont="1" applyBorder="1" applyAlignment="1" applyProtection="1">
      <alignment horizontal="right" vertical="center"/>
      <protection hidden="1"/>
    </xf>
    <xf numFmtId="1" fontId="24" fillId="0" borderId="29" xfId="1" applyNumberFormat="1" applyFont="1" applyBorder="1" applyAlignment="1" applyProtection="1">
      <alignment horizontal="right" vertical="center"/>
      <protection hidden="1"/>
    </xf>
    <xf numFmtId="168" fontId="24" fillId="0" borderId="29" xfId="1" applyNumberFormat="1" applyFont="1" applyBorder="1" applyAlignment="1" applyProtection="1">
      <alignment horizontal="right" vertical="center"/>
      <protection hidden="1"/>
    </xf>
    <xf numFmtId="168" fontId="45" fillId="0" borderId="29" xfId="1" applyNumberFormat="1" applyFont="1" applyBorder="1" applyAlignment="1" applyProtection="1">
      <alignment horizontal="right" vertical="center"/>
      <protection hidden="1"/>
    </xf>
    <xf numFmtId="168" fontId="24" fillId="0" borderId="12" xfId="1" applyNumberFormat="1" applyFont="1" applyBorder="1" applyAlignment="1" applyProtection="1">
      <alignment horizontal="right" vertical="center"/>
      <protection hidden="1"/>
    </xf>
    <xf numFmtId="168" fontId="24" fillId="0" borderId="12" xfId="4" applyNumberFormat="1" applyFont="1" applyBorder="1" applyAlignment="1" applyProtection="1">
      <alignment horizontal="right" vertical="center"/>
      <protection hidden="1"/>
    </xf>
    <xf numFmtId="166" fontId="24" fillId="0" borderId="29" xfId="1" applyNumberFormat="1" applyFont="1" applyBorder="1" applyAlignment="1" applyProtection="1">
      <alignment horizontal="right" vertical="center"/>
      <protection hidden="1"/>
    </xf>
    <xf numFmtId="168" fontId="24" fillId="0" borderId="29" xfId="0" applyNumberFormat="1" applyFont="1" applyBorder="1" applyAlignment="1" applyProtection="1">
      <alignment horizontal="right" vertical="center"/>
      <protection hidden="1"/>
    </xf>
    <xf numFmtId="166" fontId="24" fillId="0" borderId="12" xfId="1" applyNumberFormat="1" applyFont="1" applyBorder="1" applyAlignment="1" applyProtection="1">
      <alignment horizontal="right" vertical="center"/>
      <protection hidden="1"/>
    </xf>
    <xf numFmtId="166" fontId="24" fillId="0" borderId="30" xfId="0" applyNumberFormat="1" applyFont="1" applyBorder="1" applyAlignment="1" applyProtection="1">
      <alignment horizontal="right" vertical="center"/>
      <protection hidden="1"/>
    </xf>
    <xf numFmtId="0" fontId="2" fillId="28" borderId="12" xfId="0" applyFont="1" applyFill="1" applyBorder="1"/>
    <xf numFmtId="0" fontId="59" fillId="20" borderId="12" xfId="0" applyFont="1" applyFill="1" applyBorder="1"/>
    <xf numFmtId="0" fontId="59" fillId="20" borderId="11" xfId="0" applyFont="1" applyFill="1" applyBorder="1"/>
    <xf numFmtId="0" fontId="2" fillId="14" borderId="20" xfId="0" applyFont="1" applyFill="1" applyBorder="1"/>
    <xf numFmtId="0" fontId="2" fillId="14" borderId="22" xfId="0" applyFont="1" applyFill="1" applyBorder="1"/>
    <xf numFmtId="166" fontId="0" fillId="19" borderId="0" xfId="1" applyNumberFormat="1" applyFont="1" applyFill="1"/>
    <xf numFmtId="0" fontId="0" fillId="22" borderId="0" xfId="0" applyFill="1"/>
    <xf numFmtId="166" fontId="0" fillId="0" borderId="1" xfId="0" pivotButton="1" applyNumberFormat="1" applyBorder="1"/>
    <xf numFmtId="166" fontId="0" fillId="0" borderId="1" xfId="0" applyNumberFormat="1" applyBorder="1" applyAlignment="1">
      <alignment horizontal="left"/>
    </xf>
    <xf numFmtId="0" fontId="2" fillId="3" borderId="3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0" borderId="1" xfId="1" applyNumberFormat="1" applyFont="1" applyBorder="1"/>
    <xf numFmtId="0" fontId="0" fillId="4" borderId="1" xfId="1" applyNumberFormat="1" applyFont="1" applyFill="1" applyBorder="1"/>
    <xf numFmtId="0" fontId="0" fillId="0" borderId="2" xfId="1" applyNumberFormat="1" applyFont="1" applyBorder="1"/>
    <xf numFmtId="0" fontId="26" fillId="0" borderId="0" xfId="0" applyFont="1" applyAlignment="1" applyProtection="1">
      <alignment horizontal="center" vertical="center"/>
      <protection locked="0"/>
    </xf>
    <xf numFmtId="0" fontId="12" fillId="0" borderId="0" xfId="0" applyFont="1"/>
    <xf numFmtId="164" fontId="31" fillId="29" borderId="0" xfId="0" applyNumberFormat="1" applyFont="1" applyFill="1" applyAlignment="1" applyProtection="1">
      <alignment horizontal="right" vertical="center"/>
      <protection locked="0"/>
    </xf>
    <xf numFmtId="166" fontId="31" fillId="30" borderId="8" xfId="1" applyNumberFormat="1" applyFont="1" applyFill="1" applyBorder="1" applyAlignment="1" applyProtection="1">
      <alignment vertical="center"/>
      <protection hidden="1"/>
    </xf>
    <xf numFmtId="166" fontId="31" fillId="30" borderId="7" xfId="1" applyNumberFormat="1" applyFont="1" applyFill="1" applyBorder="1" applyAlignment="1" applyProtection="1">
      <alignment vertical="center"/>
      <protection hidden="1"/>
    </xf>
    <xf numFmtId="166" fontId="26" fillId="20" borderId="2" xfId="1" applyNumberFormat="1" applyFont="1" applyFill="1" applyBorder="1" applyAlignment="1" applyProtection="1">
      <alignment vertical="center"/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23" fillId="0" borderId="0" xfId="0" applyFont="1" applyAlignment="1">
      <alignment horizontal="center" vertical="center" wrapText="1"/>
    </xf>
    <xf numFmtId="170" fontId="2" fillId="2" borderId="8" xfId="0" applyNumberFormat="1" applyFont="1" applyFill="1" applyBorder="1" applyAlignment="1">
      <alignment horizontal="center" vertical="center"/>
    </xf>
    <xf numFmtId="170" fontId="2" fillId="2" borderId="39" xfId="0" applyNumberFormat="1" applyFont="1" applyFill="1" applyBorder="1" applyAlignment="1">
      <alignment horizontal="center" vertical="center"/>
    </xf>
    <xf numFmtId="170" fontId="2" fillId="2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2" fillId="14" borderId="33" xfId="0" applyFont="1" applyFill="1" applyBorder="1" applyAlignment="1">
      <alignment horizontal="center"/>
    </xf>
    <xf numFmtId="0" fontId="2" fillId="14" borderId="34" xfId="0" applyFont="1" applyFill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36" fillId="8" borderId="78" xfId="0" applyFont="1" applyFill="1" applyBorder="1" applyAlignment="1">
      <alignment horizontal="center" vertical="center"/>
    </xf>
    <xf numFmtId="0" fontId="36" fillId="8" borderId="119" xfId="0" applyFont="1" applyFill="1" applyBorder="1" applyAlignment="1">
      <alignment horizontal="center" vertical="center"/>
    </xf>
    <xf numFmtId="0" fontId="36" fillId="8" borderId="44" xfId="0" applyFont="1" applyFill="1" applyBorder="1" applyAlignment="1">
      <alignment horizontal="center" vertical="center"/>
    </xf>
    <xf numFmtId="0" fontId="51" fillId="0" borderId="78" xfId="0" applyFont="1" applyBorder="1" applyAlignment="1">
      <alignment horizontal="center" vertical="center"/>
    </xf>
    <xf numFmtId="0" fontId="51" fillId="0" borderId="119" xfId="0" applyFont="1" applyBorder="1" applyAlignment="1">
      <alignment horizontal="center" vertical="center"/>
    </xf>
    <xf numFmtId="0" fontId="51" fillId="0" borderId="44" xfId="0" applyFont="1" applyBorder="1" applyAlignment="1">
      <alignment horizontal="center" vertical="center"/>
    </xf>
    <xf numFmtId="0" fontId="12" fillId="20" borderId="120" xfId="0" applyFont="1" applyFill="1" applyBorder="1" applyAlignment="1">
      <alignment horizontal="center" vertical="center" textRotation="180"/>
    </xf>
    <xf numFmtId="0" fontId="12" fillId="20" borderId="121" xfId="0" applyFont="1" applyFill="1" applyBorder="1" applyAlignment="1">
      <alignment horizontal="center" vertical="center" textRotation="180"/>
    </xf>
    <xf numFmtId="0" fontId="47" fillId="7" borderId="1" xfId="0" applyFont="1" applyFill="1" applyBorder="1" applyAlignment="1">
      <alignment horizontal="center" vertical="center"/>
    </xf>
    <xf numFmtId="0" fontId="38" fillId="9" borderId="11" xfId="0" applyFont="1" applyFill="1" applyBorder="1" applyAlignment="1">
      <alignment horizontal="center" vertical="center"/>
    </xf>
    <xf numFmtId="0" fontId="38" fillId="9" borderId="17" xfId="0" applyFont="1" applyFill="1" applyBorder="1" applyAlignment="1">
      <alignment horizontal="center" vertical="center"/>
    </xf>
    <xf numFmtId="0" fontId="38" fillId="9" borderId="4" xfId="0" applyFont="1" applyFill="1" applyBorder="1" applyAlignment="1">
      <alignment horizontal="center" vertical="center"/>
    </xf>
    <xf numFmtId="0" fontId="48" fillId="0" borderId="1" xfId="0" applyFont="1" applyBorder="1" applyAlignment="1" applyProtection="1">
      <alignment horizontal="center" vertical="center"/>
      <protection hidden="1"/>
    </xf>
    <xf numFmtId="0" fontId="31" fillId="11" borderId="20" xfId="0" applyFont="1" applyFill="1" applyBorder="1" applyAlignment="1">
      <alignment horizontal="center" vertical="center"/>
    </xf>
    <xf numFmtId="0" fontId="31" fillId="11" borderId="21" xfId="0" applyFont="1" applyFill="1" applyBorder="1" applyAlignment="1">
      <alignment horizontal="center" vertical="center"/>
    </xf>
    <xf numFmtId="168" fontId="38" fillId="11" borderId="21" xfId="1" applyNumberFormat="1" applyFont="1" applyFill="1" applyBorder="1" applyAlignment="1" applyProtection="1">
      <alignment horizontal="center" vertical="center"/>
    </xf>
    <xf numFmtId="166" fontId="38" fillId="0" borderId="12" xfId="1" applyNumberFormat="1" applyFont="1" applyFill="1" applyBorder="1" applyAlignment="1" applyProtection="1">
      <alignment horizontal="center" vertical="center"/>
      <protection hidden="1"/>
    </xf>
    <xf numFmtId="0" fontId="11" fillId="16" borderId="88" xfId="0" applyFont="1" applyFill="1" applyBorder="1" applyAlignment="1" applyProtection="1">
      <alignment horizontal="center" vertical="center"/>
      <protection hidden="1"/>
    </xf>
    <xf numFmtId="0" fontId="11" fillId="16" borderId="89" xfId="0" applyFont="1" applyFill="1" applyBorder="1" applyAlignment="1" applyProtection="1">
      <alignment horizontal="center" vertical="center"/>
      <protection hidden="1"/>
    </xf>
    <xf numFmtId="0" fontId="10" fillId="26" borderId="105" xfId="0" applyFont="1" applyFill="1" applyBorder="1" applyAlignment="1" applyProtection="1">
      <alignment horizontal="center" vertical="center"/>
      <protection hidden="1"/>
    </xf>
    <xf numFmtId="0" fontId="10" fillId="26" borderId="106" xfId="0" applyFont="1" applyFill="1" applyBorder="1" applyAlignment="1" applyProtection="1">
      <alignment horizontal="center" vertical="center"/>
      <protection hidden="1"/>
    </xf>
    <xf numFmtId="0" fontId="37" fillId="0" borderId="27" xfId="0" applyFont="1" applyBorder="1" applyAlignment="1" applyProtection="1">
      <alignment horizontal="center" vertical="center" wrapText="1"/>
      <protection hidden="1"/>
    </xf>
    <xf numFmtId="0" fontId="42" fillId="7" borderId="84" xfId="0" applyFont="1" applyFill="1" applyBorder="1" applyAlignment="1">
      <alignment horizontal="center" vertical="center"/>
    </xf>
    <xf numFmtId="0" fontId="42" fillId="7" borderId="85" xfId="0" applyFont="1" applyFill="1" applyBorder="1" applyAlignment="1">
      <alignment horizontal="center" vertical="center"/>
    </xf>
    <xf numFmtId="0" fontId="42" fillId="7" borderId="86" xfId="0" applyFont="1" applyFill="1" applyBorder="1" applyAlignment="1">
      <alignment horizontal="center" vertical="center"/>
    </xf>
    <xf numFmtId="0" fontId="44" fillId="0" borderId="63" xfId="0" applyFont="1" applyBorder="1" applyAlignment="1" applyProtection="1">
      <alignment horizontal="center" vertical="center"/>
      <protection hidden="1"/>
    </xf>
    <xf numFmtId="0" fontId="44" fillId="0" borderId="55" xfId="0" applyFont="1" applyBorder="1" applyAlignment="1" applyProtection="1">
      <alignment horizontal="center" vertical="center"/>
      <protection hidden="1"/>
    </xf>
    <xf numFmtId="0" fontId="43" fillId="15" borderId="5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center" vertical="center" wrapText="1"/>
    </xf>
    <xf numFmtId="0" fontId="26" fillId="0" borderId="28" xfId="0" applyFont="1" applyBorder="1" applyAlignment="1">
      <alignment horizontal="left" vertical="center"/>
    </xf>
    <xf numFmtId="0" fontId="26" fillId="0" borderId="29" xfId="0" applyFont="1" applyBorder="1" applyAlignment="1">
      <alignment horizontal="left" vertical="center"/>
    </xf>
    <xf numFmtId="0" fontId="26" fillId="0" borderId="23" xfId="0" applyFont="1" applyBorder="1" applyAlignment="1">
      <alignment horizontal="left" vertical="center"/>
    </xf>
    <xf numFmtId="0" fontId="26" fillId="0" borderId="26" xfId="0" applyFont="1" applyBorder="1" applyAlignment="1">
      <alignment horizontal="left" vertical="center"/>
    </xf>
    <xf numFmtId="0" fontId="34" fillId="0" borderId="27" xfId="0" applyFont="1" applyBorder="1" applyAlignment="1" applyProtection="1">
      <alignment horizontal="center" vertical="center" wrapText="1"/>
      <protection hidden="1"/>
    </xf>
    <xf numFmtId="0" fontId="26" fillId="0" borderId="77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0" borderId="81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top"/>
    </xf>
    <xf numFmtId="0" fontId="40" fillId="0" borderId="76" xfId="0" applyFont="1" applyBorder="1" applyAlignment="1">
      <alignment horizontal="center" vertical="top"/>
    </xf>
    <xf numFmtId="0" fontId="40" fillId="0" borderId="83" xfId="0" applyFont="1" applyBorder="1" applyAlignment="1">
      <alignment horizontal="center" vertical="top"/>
    </xf>
    <xf numFmtId="0" fontId="26" fillId="0" borderId="77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34" fillId="0" borderId="1" xfId="0" applyFont="1" applyBorder="1" applyAlignment="1" applyProtection="1">
      <alignment horizontal="left" vertical="center"/>
      <protection hidden="1"/>
    </xf>
    <xf numFmtId="0" fontId="34" fillId="0" borderId="8" xfId="0" applyFont="1" applyBorder="1" applyAlignment="1" applyProtection="1">
      <alignment horizontal="left" vertical="center"/>
      <protection hidden="1"/>
    </xf>
    <xf numFmtId="0" fontId="34" fillId="0" borderId="26" xfId="0" applyFont="1" applyBorder="1" applyAlignment="1" applyProtection="1">
      <alignment horizontal="left" vertical="center"/>
      <protection hidden="1"/>
    </xf>
    <xf numFmtId="0" fontId="34" fillId="0" borderId="78" xfId="0" applyFont="1" applyBorder="1" applyAlignment="1" applyProtection="1">
      <alignment horizontal="left" vertical="center"/>
      <protection hidden="1"/>
    </xf>
    <xf numFmtId="0" fontId="34" fillId="0" borderId="1" xfId="0" applyFont="1" applyBorder="1" applyAlignment="1" applyProtection="1">
      <alignment horizontal="left" vertical="center" wrapText="1"/>
      <protection hidden="1"/>
    </xf>
    <xf numFmtId="0" fontId="34" fillId="0" borderId="8" xfId="0" applyFont="1" applyBorder="1" applyAlignment="1" applyProtection="1">
      <alignment horizontal="left" vertical="center" wrapText="1"/>
      <protection hidden="1"/>
    </xf>
    <xf numFmtId="0" fontId="34" fillId="0" borderId="29" xfId="0" applyFont="1" applyBorder="1" applyAlignment="1" applyProtection="1">
      <alignment horizontal="left" vertical="center"/>
      <protection hidden="1"/>
    </xf>
    <xf numFmtId="0" fontId="34" fillId="0" borderId="30" xfId="0" applyFont="1" applyBorder="1" applyAlignment="1" applyProtection="1">
      <alignment horizontal="left" vertical="center"/>
      <protection hidden="1"/>
    </xf>
    <xf numFmtId="166" fontId="36" fillId="0" borderId="59" xfId="1" applyNumberFormat="1" applyFont="1" applyBorder="1" applyAlignment="1" applyProtection="1">
      <alignment horizontal="center" vertical="center"/>
      <protection hidden="1"/>
    </xf>
    <xf numFmtId="166" fontId="36" fillId="0" borderId="47" xfId="1" applyNumberFormat="1" applyFont="1" applyBorder="1" applyAlignment="1" applyProtection="1">
      <alignment horizontal="center" vertical="center"/>
      <protection hidden="1"/>
    </xf>
    <xf numFmtId="0" fontId="12" fillId="2" borderId="87" xfId="0" applyFont="1" applyFill="1" applyBorder="1" applyAlignment="1">
      <alignment horizontal="center" vertical="center"/>
    </xf>
    <xf numFmtId="0" fontId="12" fillId="2" borderId="88" xfId="0" applyFont="1" applyFill="1" applyBorder="1" applyAlignment="1">
      <alignment horizontal="center" vertical="center"/>
    </xf>
    <xf numFmtId="0" fontId="12" fillId="20" borderId="107" xfId="0" applyFont="1" applyFill="1" applyBorder="1" applyAlignment="1">
      <alignment horizontal="center" textRotation="90"/>
    </xf>
    <xf numFmtId="0" fontId="12" fillId="20" borderId="111" xfId="0" applyFont="1" applyFill="1" applyBorder="1" applyAlignment="1">
      <alignment horizontal="center" textRotation="90"/>
    </xf>
    <xf numFmtId="0" fontId="26" fillId="0" borderId="7" xfId="0" applyFont="1" applyBorder="1" applyAlignment="1">
      <alignment horizontal="left" vertical="center"/>
    </xf>
    <xf numFmtId="164" fontId="34" fillId="0" borderId="27" xfId="0" applyNumberFormat="1" applyFont="1" applyBorder="1" applyAlignment="1" applyProtection="1">
      <alignment horizontal="center" vertical="center"/>
      <protection hidden="1"/>
    </xf>
    <xf numFmtId="0" fontId="36" fillId="0" borderId="77" xfId="0" applyFont="1" applyBorder="1" applyAlignment="1">
      <alignment horizontal="left" vertical="center" wrapText="1"/>
    </xf>
    <xf numFmtId="0" fontId="36" fillId="0" borderId="56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77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49" fillId="0" borderId="48" xfId="0" applyFont="1" applyBorder="1" applyAlignment="1" applyProtection="1">
      <alignment horizontal="center" vertical="center"/>
      <protection hidden="1"/>
    </xf>
    <xf numFmtId="0" fontId="49" fillId="0" borderId="49" xfId="0" applyFont="1" applyBorder="1" applyAlignment="1" applyProtection="1">
      <alignment horizontal="center" vertical="center"/>
      <protection hidden="1"/>
    </xf>
    <xf numFmtId="0" fontId="58" fillId="27" borderId="50" xfId="0" applyFont="1" applyFill="1" applyBorder="1" applyAlignment="1" applyProtection="1">
      <alignment horizontal="center" vertical="center"/>
      <protection hidden="1"/>
    </xf>
    <xf numFmtId="0" fontId="58" fillId="27" borderId="51" xfId="0" applyFont="1" applyFill="1" applyBorder="1" applyAlignment="1" applyProtection="1">
      <alignment horizontal="center" vertical="center"/>
      <protection hidden="1"/>
    </xf>
    <xf numFmtId="0" fontId="58" fillId="27" borderId="52" xfId="0" applyFont="1" applyFill="1" applyBorder="1" applyAlignment="1" applyProtection="1">
      <alignment horizontal="center" vertical="center"/>
      <protection hidden="1"/>
    </xf>
    <xf numFmtId="0" fontId="58" fillId="27" borderId="53" xfId="0" applyFont="1" applyFill="1" applyBorder="1" applyAlignment="1" applyProtection="1">
      <alignment horizontal="center" vertical="center"/>
      <protection hidden="1"/>
    </xf>
    <xf numFmtId="0" fontId="58" fillId="27" borderId="54" xfId="0" applyFont="1" applyFill="1" applyBorder="1" applyAlignment="1" applyProtection="1">
      <alignment horizontal="center" vertical="center"/>
      <protection hidden="1"/>
    </xf>
    <xf numFmtId="0" fontId="58" fillId="27" borderId="55" xfId="0" applyFont="1" applyFill="1" applyBorder="1" applyAlignment="1" applyProtection="1">
      <alignment horizontal="center" vertical="center"/>
      <protection hidden="1"/>
    </xf>
    <xf numFmtId="0" fontId="28" fillId="15" borderId="23" xfId="0" applyFont="1" applyFill="1" applyBorder="1" applyAlignment="1" applyProtection="1">
      <alignment horizontal="center" vertical="center"/>
      <protection hidden="1"/>
    </xf>
    <xf numFmtId="0" fontId="28" fillId="15" borderId="26" xfId="0" applyFont="1" applyFill="1" applyBorder="1" applyAlignment="1" applyProtection="1">
      <alignment horizontal="center" vertical="center"/>
      <protection hidden="1"/>
    </xf>
    <xf numFmtId="0" fontId="28" fillId="15" borderId="42" xfId="0" applyFont="1" applyFill="1" applyBorder="1" applyAlignment="1" applyProtection="1">
      <alignment horizontal="center" vertical="center"/>
      <protection hidden="1"/>
    </xf>
    <xf numFmtId="0" fontId="28" fillId="15" borderId="43" xfId="0" applyFont="1" applyFill="1" applyBorder="1" applyAlignment="1" applyProtection="1">
      <alignment horizontal="center" vertical="center"/>
      <protection hidden="1"/>
    </xf>
    <xf numFmtId="164" fontId="28" fillId="15" borderId="28" xfId="0" applyNumberFormat="1" applyFont="1" applyFill="1" applyBorder="1" applyAlignment="1" applyProtection="1">
      <alignment horizontal="center" vertical="center"/>
      <protection hidden="1"/>
    </xf>
    <xf numFmtId="164" fontId="28" fillId="15" borderId="29" xfId="0" applyNumberFormat="1" applyFont="1" applyFill="1" applyBorder="1" applyAlignment="1" applyProtection="1">
      <alignment horizontal="center" vertical="center"/>
      <protection hidden="1"/>
    </xf>
    <xf numFmtId="164" fontId="28" fillId="15" borderId="45" xfId="0" applyNumberFormat="1" applyFont="1" applyFill="1" applyBorder="1" applyAlignment="1" applyProtection="1">
      <alignment horizontal="center" vertical="center"/>
      <protection hidden="1"/>
    </xf>
    <xf numFmtId="165" fontId="28" fillId="15" borderId="46" xfId="0" applyNumberFormat="1" applyFont="1" applyFill="1" applyBorder="1" applyAlignment="1" applyProtection="1">
      <alignment horizontal="center"/>
      <protection hidden="1"/>
    </xf>
    <xf numFmtId="165" fontId="28" fillId="15" borderId="29" xfId="0" applyNumberFormat="1" applyFont="1" applyFill="1" applyBorder="1" applyAlignment="1" applyProtection="1">
      <alignment horizontal="center"/>
      <protection hidden="1"/>
    </xf>
    <xf numFmtId="165" fontId="28" fillId="15" borderId="45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Alignment="1" applyProtection="1">
      <alignment horizontal="center"/>
      <protection hidden="1"/>
    </xf>
    <xf numFmtId="0" fontId="27" fillId="0" borderId="54" xfId="0" applyFont="1" applyBorder="1" applyAlignment="1" applyProtection="1">
      <alignment horizontal="center"/>
      <protection hidden="1"/>
    </xf>
    <xf numFmtId="0" fontId="27" fillId="0" borderId="34" xfId="0" applyFont="1" applyBorder="1" applyAlignment="1" applyProtection="1">
      <alignment horizontal="center"/>
      <protection hidden="1"/>
    </xf>
    <xf numFmtId="0" fontId="28" fillId="15" borderId="44" xfId="0" applyFont="1" applyFill="1" applyBorder="1" applyAlignment="1" applyProtection="1">
      <alignment horizontal="center"/>
      <protection hidden="1"/>
    </xf>
    <xf numFmtId="0" fontId="28" fillId="15" borderId="26" xfId="0" applyFont="1" applyFill="1" applyBorder="1" applyAlignment="1" applyProtection="1">
      <alignment horizontal="center"/>
      <protection hidden="1"/>
    </xf>
    <xf numFmtId="0" fontId="28" fillId="15" borderId="19" xfId="0" applyFont="1" applyFill="1" applyBorder="1" applyAlignment="1" applyProtection="1">
      <alignment horizontal="center"/>
      <protection hidden="1"/>
    </xf>
    <xf numFmtId="0" fontId="28" fillId="15" borderId="47" xfId="0" applyFont="1" applyFill="1" applyBorder="1" applyAlignment="1" applyProtection="1">
      <alignment horizontal="center"/>
      <protection hidden="1"/>
    </xf>
    <xf numFmtId="0" fontId="28" fillId="15" borderId="29" xfId="0" applyFont="1" applyFill="1" applyBorder="1" applyAlignment="1" applyProtection="1">
      <alignment horizontal="center"/>
      <protection hidden="1"/>
    </xf>
    <xf numFmtId="0" fontId="28" fillId="15" borderId="30" xfId="0" applyFont="1" applyFill="1" applyBorder="1" applyAlignment="1" applyProtection="1">
      <alignment horizontal="center"/>
      <protection hidden="1"/>
    </xf>
    <xf numFmtId="0" fontId="28" fillId="15" borderId="43" xfId="0" applyFont="1" applyFill="1" applyBorder="1" applyAlignment="1" applyProtection="1">
      <alignment horizontal="center"/>
      <protection hidden="1"/>
    </xf>
    <xf numFmtId="0" fontId="28" fillId="15" borderId="42" xfId="0" applyFont="1" applyFill="1" applyBorder="1" applyAlignment="1" applyProtection="1">
      <alignment horizontal="center"/>
      <protection hidden="1"/>
    </xf>
    <xf numFmtId="0" fontId="2" fillId="0" borderId="1" xfId="0" applyFont="1" applyBorder="1" applyAlignment="1">
      <alignment horizontal="center"/>
    </xf>
    <xf numFmtId="170" fontId="2" fillId="2" borderId="24" xfId="0" applyNumberFormat="1" applyFont="1" applyFill="1" applyBorder="1" applyAlignment="1">
      <alignment horizontal="center" vertical="center"/>
    </xf>
    <xf numFmtId="170" fontId="2" fillId="2" borderId="12" xfId="0" applyNumberFormat="1" applyFont="1" applyFill="1" applyBorder="1" applyAlignment="1">
      <alignment horizontal="center" vertical="center"/>
    </xf>
    <xf numFmtId="170" fontId="2" fillId="2" borderId="25" xfId="0" applyNumberFormat="1" applyFont="1" applyFill="1" applyBorder="1" applyAlignment="1">
      <alignment horizontal="center" vertical="center"/>
    </xf>
    <xf numFmtId="0" fontId="53" fillId="5" borderId="18" xfId="0" applyFont="1" applyFill="1" applyBorder="1" applyAlignment="1">
      <alignment horizontal="center" vertical="center"/>
    </xf>
    <xf numFmtId="0" fontId="53" fillId="5" borderId="0" xfId="0" applyFont="1" applyFill="1" applyAlignment="1">
      <alignment horizontal="center" vertical="center"/>
    </xf>
    <xf numFmtId="0" fontId="9" fillId="6" borderId="18" xfId="0" applyFont="1" applyFill="1" applyBorder="1" applyAlignment="1">
      <alignment horizontal="left" vertical="center"/>
    </xf>
    <xf numFmtId="0" fontId="9" fillId="6" borderId="0" xfId="0" applyFont="1" applyFill="1" applyAlignment="1">
      <alignment horizontal="left" vertical="center"/>
    </xf>
    <xf numFmtId="170" fontId="2" fillId="2" borderId="4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70" fontId="2" fillId="2" borderId="11" xfId="0" applyNumberFormat="1" applyFont="1" applyFill="1" applyBorder="1" applyAlignment="1">
      <alignment horizontal="center" vertical="center"/>
    </xf>
    <xf numFmtId="0" fontId="12" fillId="0" borderId="48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4" fillId="0" borderId="0" xfId="0" applyNumberFormat="1" applyFont="1" applyFill="1"/>
    <xf numFmtId="164" fontId="24" fillId="0" borderId="0" xfId="0" applyNumberFormat="1" applyFont="1" applyFill="1"/>
    <xf numFmtId="0" fontId="24" fillId="0" borderId="0" xfId="0" applyFont="1" applyFill="1"/>
    <xf numFmtId="0" fontId="24" fillId="0" borderId="0" xfId="0" pivotButton="1" applyFont="1" applyBorder="1"/>
    <xf numFmtId="0" fontId="24" fillId="0" borderId="0" xfId="0" pivotButton="1" applyFont="1"/>
    <xf numFmtId="0" fontId="25" fillId="0" borderId="1" xfId="0" pivotButton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8" xfId="0" applyFont="1" applyBorder="1" applyAlignment="1">
      <alignment horizontal="center"/>
    </xf>
    <xf numFmtId="0" fontId="25" fillId="0" borderId="27" xfId="0" pivotButton="1" applyFont="1" applyBorder="1" applyAlignment="1">
      <alignment horizontal="center" vertical="center"/>
    </xf>
    <xf numFmtId="166" fontId="24" fillId="0" borderId="67" xfId="0" applyNumberFormat="1" applyFont="1" applyBorder="1" applyAlignment="1">
      <alignment horizontal="right" vertical="center"/>
    </xf>
    <xf numFmtId="166" fontId="24" fillId="0" borderId="117" xfId="0" applyNumberFormat="1" applyFont="1" applyBorder="1" applyAlignment="1">
      <alignment horizontal="right" vertical="center"/>
    </xf>
    <xf numFmtId="166" fontId="24" fillId="0" borderId="68" xfId="0" applyNumberFormat="1" applyFont="1" applyBorder="1" applyAlignment="1">
      <alignment horizontal="right" vertical="center"/>
    </xf>
    <xf numFmtId="166" fontId="24" fillId="0" borderId="69" xfId="0" applyNumberFormat="1" applyFont="1" applyBorder="1" applyAlignment="1">
      <alignment horizontal="right" vertical="center"/>
    </xf>
    <xf numFmtId="166" fontId="24" fillId="0" borderId="116" xfId="0" applyNumberFormat="1" applyFont="1" applyBorder="1" applyAlignment="1">
      <alignment horizontal="right" vertical="center"/>
    </xf>
    <xf numFmtId="166" fontId="24" fillId="0" borderId="70" xfId="0" applyNumberFormat="1" applyFont="1" applyBorder="1" applyAlignment="1">
      <alignment horizontal="right" vertical="center"/>
    </xf>
    <xf numFmtId="166" fontId="24" fillId="0" borderId="71" xfId="0" applyNumberFormat="1" applyFont="1" applyBorder="1" applyAlignment="1">
      <alignment horizontal="right" vertical="center"/>
    </xf>
    <xf numFmtId="166" fontId="24" fillId="0" borderId="118" xfId="0" applyNumberFormat="1" applyFont="1" applyBorder="1" applyAlignment="1">
      <alignment horizontal="right" vertical="center"/>
    </xf>
    <xf numFmtId="166" fontId="24" fillId="0" borderId="72" xfId="0" applyNumberFormat="1" applyFont="1" applyBorder="1" applyAlignment="1">
      <alignment horizontal="right" vertical="center"/>
    </xf>
    <xf numFmtId="0" fontId="24" fillId="0" borderId="12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/>
    </xf>
    <xf numFmtId="0" fontId="24" fillId="0" borderId="12" xfId="0" applyFont="1" applyBorder="1" applyAlignment="1">
      <alignment horizontal="center" vertical="center" wrapText="1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0" borderId="74" xfId="0" applyFont="1" applyBorder="1" applyAlignment="1">
      <alignment horizontal="center"/>
    </xf>
    <xf numFmtId="0" fontId="24" fillId="0" borderId="75" xfId="0" applyFont="1" applyBorder="1" applyAlignment="1">
      <alignment horizontal="center"/>
    </xf>
    <xf numFmtId="0" fontId="24" fillId="0" borderId="73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0" xfId="0" pivotButton="1" applyFont="1" applyAlignment="1">
      <alignment horizontal="center"/>
    </xf>
    <xf numFmtId="0" fontId="24" fillId="0" borderId="125" xfId="0" applyFont="1" applyBorder="1" applyAlignment="1">
      <alignment horizontal="center"/>
    </xf>
  </cellXfs>
  <cellStyles count="6">
    <cellStyle name="Comma" xfId="1" builtinId="3"/>
    <cellStyle name="Comma 2" xfId="2" xr:uid="{0D7D6448-853E-40D7-9AE3-78DD92C2F39E}"/>
    <cellStyle name="Hyperlink" xfId="3" builtinId="8"/>
    <cellStyle name="Normal" xfId="0" builtinId="0"/>
    <cellStyle name="Normal 12" xfId="5" xr:uid="{624A224E-DD04-4ED9-A9A4-BD2FFC6E0B70}"/>
    <cellStyle name="Percent" xfId="4" builtinId="5"/>
  </cellStyles>
  <dxfs count="495"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border>
        <vertical style="dotted">
          <color rgb="FF7030A0"/>
        </vertical>
        <horizontal style="dotted">
          <color rgb="FF7030A0"/>
        </horizontal>
      </border>
    </dxf>
    <dxf>
      <numFmt numFmtId="166" formatCode="_(* #,##0_);_(* \(#,##0\);_(* &quot;-&quot;??_);_(@_)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dotted">
          <color auto="1"/>
        </vertical>
        <horizontal style="dotted">
          <color auto="1"/>
        </horizontal>
      </border>
    </dxf>
    <dxf>
      <border>
        <left/>
        <right/>
        <top/>
        <bottom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0"/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numFmt numFmtId="166" formatCode="_(* #,##0_);_(* \(#,##0\);_(* &quot;-&quot;??_);_(@_)"/>
    </dxf>
    <dxf>
      <border>
        <left/>
        <right/>
        <top/>
        <bottom/>
        <vertic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alignment horizontal="center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font>
        <b/>
      </font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font>
        <name val="Gill Sans MT"/>
        <scheme val="none"/>
      </font>
    </dxf>
    <dxf>
      <alignment textRotation="0"/>
    </dxf>
    <dxf>
      <alignment textRotation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0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9.9948118533890809E-2"/>
        </patternFill>
      </fill>
    </dxf>
    <dxf>
      <fill>
        <gradientFill type="path" left="0.5" right="0.5" top="0.5" bottom="0.5">
          <stop position="0">
            <color theme="5" tint="-0.25098422193060094"/>
          </stop>
          <stop position="1">
            <color theme="5" tint="-0.49803155613879818"/>
          </stop>
        </gradientFill>
      </fill>
    </dxf>
    <dxf>
      <fill>
        <gradientFill type="path" left="0.5" right="0.5" top="0.5" bottom="0.5">
          <stop position="0">
            <color rgb="FFFF0000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theme="5" tint="-0.25098422193060094"/>
          </stop>
          <stop position="1">
            <color theme="5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lightUp">
          <fgColor theme="1" tint="0.499984740745262"/>
          <bgColor theme="1"/>
        </patternFill>
      </fill>
    </dxf>
    <dxf>
      <font>
        <color theme="0"/>
      </font>
      <fill>
        <patternFill patternType="lightUp">
          <fgColor theme="1" tint="0.499984740745262"/>
          <bgColor theme="1"/>
        </patternFill>
      </fill>
    </dxf>
    <dxf>
      <font>
        <color theme="5" tint="-0.24994659260841701"/>
      </font>
      <fill>
        <gradientFill type="path" left="0.5" right="0.5" top="0.5" bottom="0.5">
          <stop position="0">
            <color rgb="FFFFFF00"/>
          </stop>
          <stop position="1">
            <color rgb="FFFFC000"/>
          </stop>
        </gradientFill>
      </fill>
    </dxf>
    <dxf>
      <font>
        <color rgb="FF632987"/>
      </font>
      <fill>
        <gradientFill type="path" left="0.5" right="0.5" top="0.5" bottom="0.5">
          <stop position="0">
            <color rgb="FFF0DDF3"/>
          </stop>
          <stop position="1">
            <color rgb="FF7030A0"/>
          </stop>
        </gradientFill>
      </fill>
    </dxf>
    <dxf>
      <font>
        <strike/>
        <color theme="5" tint="-0.24994659260841701"/>
      </font>
      <fill>
        <patternFill patternType="lightGray">
          <fgColor theme="4" tint="-0.24994659260841701"/>
          <bgColor auto="1"/>
        </patternFill>
      </fill>
    </dxf>
    <dxf>
      <font>
        <color theme="5" tint="-0.499984740745262"/>
      </font>
      <fill>
        <patternFill patternType="lightUp">
          <fgColor rgb="FF632987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7" formatCode="_(* #,##0.0_);_(* \(#,##0.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4" formatCode="[$-409]d\-mmm\-yyyy;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164" formatCode="[$-409]d\-mmm\-yyyy;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Gill Sans MT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fill>
        <patternFill patternType="solid">
          <fgColor indexed="64"/>
          <bgColor rgb="FFFF7C8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fill>
        <patternFill patternType="solid">
          <fgColor indexed="64"/>
          <bgColor rgb="FFFF7C8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Gill Sans MT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none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name val="Gill Sans MT"/>
        <family val="2"/>
        <scheme val="none"/>
      </font>
      <fill>
        <patternFill patternType="none">
          <fgColor indexed="64"/>
          <bgColor indexed="65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none"/>
      </font>
      <fill>
        <patternFill patternType="none">
          <fgColor indexed="64"/>
          <bgColor indexed="65"/>
        </patternFill>
      </fill>
      <protection locked="1" hidden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_(* #,##0_);_(* \(#,##0\);_(* &quot;-&quot;??_);_(@_)"/>
      <fill>
        <patternFill patternType="none">
          <fgColor indexed="64"/>
          <bgColor auto="1"/>
        </patternFill>
      </fill>
    </dxf>
    <dxf>
      <numFmt numFmtId="166" formatCode="_(* #,##0_);_(* \(#,##0\);_(* &quot;-&quot;??_);_(@_)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7C8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7C8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7C8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7C8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7C8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7C8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7C8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7C8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7C8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7C8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7C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protection locked="1" hidden="1"/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1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0"/>
      </font>
    </dxf>
    <dxf>
      <border outline="0">
        <right style="thin">
          <color indexed="64"/>
        </righ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0" formatCode="General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0" formatCode="General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numFmt numFmtId="166" formatCode="_(* #,##0_);_(* \(#,##0\);_(* &quot;-&quot;??_);_(@_)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Gill Sans MT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(* #,##0_);_(* \(#,##0\);_(* &quot;-&quot;??_);_(@_)"/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family val="2"/>
        <scheme val="minor"/>
      </font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darkHorizontal">
          <bgColor theme="2" tint="-0.499984740745262"/>
        </patternFill>
      </fill>
    </dxf>
  </dxfs>
  <tableStyles count="3" defaultTableStyle="TableStyleMedium15" defaultPivotStyle="PivotStyleLight16">
    <tableStyle name="PivotTable Style 1" table="0" count="1" xr9:uid="{4867C174-1EEF-4DF6-839F-8289C528C4D2}">
      <tableStyleElement type="firstColumnStripe" dxfId="494"/>
    </tableStyle>
    <tableStyle name="PivotTable Style 2" table="0" count="2" xr9:uid="{71631970-8D80-4FED-ABFA-A3762655F900}">
      <tableStyleElement type="wholeTable" dxfId="493"/>
      <tableStyleElement type="pageFieldLabels" dxfId="492"/>
    </tableStyle>
    <tableStyle name="PivotTable Style 3" table="0" count="1" xr9:uid="{9169F991-30E8-4B9A-BD6F-348B7DEE95C4}">
      <tableStyleElement type="firstColumnStripe" size="3"/>
    </tableStyle>
  </tableStyles>
  <colors>
    <mruColors>
      <color rgb="FFF0DDF3"/>
      <color rgb="FF632987"/>
      <color rgb="FFFEFED2"/>
      <color rgb="FFB998D4"/>
      <color rgb="FFF8F8F8"/>
      <color rgb="FFCC0000"/>
      <color rgb="FFF4BA28"/>
      <color rgb="FFDCF4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0</xdr:row>
      <xdr:rowOff>19050</xdr:rowOff>
    </xdr:from>
    <xdr:to>
      <xdr:col>3</xdr:col>
      <xdr:colOff>1816100</xdr:colOff>
      <xdr:row>2</xdr:row>
      <xdr:rowOff>165100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B62865-B60C-AA2F-5940-D65A34F32323}"/>
            </a:ext>
          </a:extLst>
        </xdr:cNvPr>
        <xdr:cNvSpPr/>
      </xdr:nvSpPr>
      <xdr:spPr>
        <a:xfrm>
          <a:off x="806450" y="19050"/>
          <a:ext cx="3175000" cy="52705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0</xdr:row>
          <xdr:rowOff>50800</xdr:rowOff>
        </xdr:from>
        <xdr:to>
          <xdr:col>3</xdr:col>
          <xdr:colOff>1758950</xdr:colOff>
          <xdr:row>2</xdr:row>
          <xdr:rowOff>101600</xdr:rowOff>
        </xdr:to>
        <xdr:sp macro="" textlink="">
          <xdr:nvSpPr>
            <xdr:cNvPr id="15361" name="Text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0</xdr:row>
      <xdr:rowOff>146050</xdr:rowOff>
    </xdr:from>
    <xdr:to>
      <xdr:col>1</xdr:col>
      <xdr:colOff>355600</xdr:colOff>
      <xdr:row>2</xdr:row>
      <xdr:rowOff>57150</xdr:rowOff>
    </xdr:to>
    <xdr:pic>
      <xdr:nvPicPr>
        <xdr:cNvPr id="4" name="Graphic 3" descr="Magnifying glass with solid fill">
          <a:extLst>
            <a:ext uri="{FF2B5EF4-FFF2-40B4-BE49-F238E27FC236}">
              <a16:creationId xmlns:a16="http://schemas.microsoft.com/office/drawing/2014/main" id="{4A93B5C0-7F76-9D45-2083-B3CBB83A3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0900" y="146050"/>
          <a:ext cx="317500" cy="31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0</xdr:row>
          <xdr:rowOff>0</xdr:rowOff>
        </xdr:from>
        <xdr:to>
          <xdr:col>17</xdr:col>
          <xdr:colOff>863600</xdr:colOff>
          <xdr:row>0</xdr:row>
          <xdr:rowOff>311150</xdr:rowOff>
        </xdr:to>
        <xdr:sp macro="" textlink="">
          <xdr:nvSpPr>
            <xdr:cNvPr id="18433" name="TextBox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4</xdr:row>
          <xdr:rowOff>127000</xdr:rowOff>
        </xdr:from>
        <xdr:to>
          <xdr:col>20</xdr:col>
          <xdr:colOff>628650</xdr:colOff>
          <xdr:row>4</xdr:row>
          <xdr:rowOff>584200</xdr:rowOff>
        </xdr:to>
        <xdr:sp macro="" textlink="">
          <xdr:nvSpPr>
            <xdr:cNvPr id="18453" name="TextBox2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6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0</xdr:row>
          <xdr:rowOff>82550</xdr:rowOff>
        </xdr:from>
        <xdr:to>
          <xdr:col>22</xdr:col>
          <xdr:colOff>660400</xdr:colOff>
          <xdr:row>0</xdr:row>
          <xdr:rowOff>355600</xdr:rowOff>
        </xdr:to>
        <xdr:sp macro="" textlink="">
          <xdr:nvSpPr>
            <xdr:cNvPr id="18454" name="TextBox3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6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1212850</xdr:colOff>
          <xdr:row>0</xdr:row>
          <xdr:rowOff>19050</xdr:rowOff>
        </xdr:from>
        <xdr:to>
          <xdr:col>15</xdr:col>
          <xdr:colOff>1485900</xdr:colOff>
          <xdr:row>0</xdr:row>
          <xdr:rowOff>444500</xdr:rowOff>
        </xdr:to>
        <xdr:sp macro="" textlink="">
          <xdr:nvSpPr>
            <xdr:cNvPr id="18457" name="SpinButton1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6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4</xdr:row>
          <xdr:rowOff>114300</xdr:rowOff>
        </xdr:from>
        <xdr:to>
          <xdr:col>19</xdr:col>
          <xdr:colOff>6350</xdr:colOff>
          <xdr:row>5</xdr:row>
          <xdr:rowOff>0</xdr:rowOff>
        </xdr:to>
        <xdr:sp macro="" textlink="">
          <xdr:nvSpPr>
            <xdr:cNvPr id="18458" name="SpinButton2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6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0</xdr:row>
      <xdr:rowOff>146050</xdr:rowOff>
    </xdr:from>
    <xdr:to>
      <xdr:col>1</xdr:col>
      <xdr:colOff>2209800</xdr:colOff>
      <xdr:row>2</xdr:row>
      <xdr:rowOff>51962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9F83A3AE-8C07-45A3-AED8-EB30FCC53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146050"/>
          <a:ext cx="2044700" cy="3313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749300</xdr:colOff>
      <xdr:row>0</xdr:row>
      <xdr:rowOff>69850</xdr:rowOff>
    </xdr:from>
    <xdr:to>
      <xdr:col>10</xdr:col>
      <xdr:colOff>838201</xdr:colOff>
      <xdr:row>2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9407178-0AAF-42FF-AA73-659DBDB21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8150" y="69850"/>
          <a:ext cx="3041651" cy="46990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</xdr:row>
          <xdr:rowOff>19050</xdr:rowOff>
        </xdr:from>
        <xdr:to>
          <xdr:col>6</xdr:col>
          <xdr:colOff>38100</xdr:colOff>
          <xdr:row>2</xdr:row>
          <xdr:rowOff>184150</xdr:rowOff>
        </xdr:to>
        <xdr:sp macro="" textlink="">
          <xdr:nvSpPr>
            <xdr:cNvPr id="19458" name="SpinButton1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82550</xdr:rowOff>
        </xdr:from>
        <xdr:to>
          <xdr:col>13</xdr:col>
          <xdr:colOff>228600</xdr:colOff>
          <xdr:row>12</xdr:row>
          <xdr:rowOff>38100</xdr:rowOff>
        </xdr:to>
        <xdr:sp macro="" textlink="">
          <xdr:nvSpPr>
            <xdr:cNvPr id="19462" name="Status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7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0</xdr:row>
          <xdr:rowOff>19050</xdr:rowOff>
        </xdr:from>
        <xdr:to>
          <xdr:col>1</xdr:col>
          <xdr:colOff>2266950</xdr:colOff>
          <xdr:row>0</xdr:row>
          <xdr:rowOff>241300</xdr:rowOff>
        </xdr:to>
        <xdr:sp macro="" textlink="">
          <xdr:nvSpPr>
            <xdr:cNvPr id="28673" name="Spin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D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urav Saha" refreshedDate="45775.76117164352" backgroundQuery="1" createdVersion="8" refreshedVersion="8" minRefreshableVersion="3" recordCount="0" supportSubquery="1" supportAdvancedDrill="1" xr:uid="{C01CB901-EC67-47F0-AC83-DA8BC769C0EC}">
  <cacheSource type="external" connectionId="51"/>
  <cacheFields count="6">
    <cacheField name="[Measures].[Sum of Total Current (Unit)]" caption="Sum of Total Current (Unit)" numFmtId="0" hierarchy="52" level="32767"/>
    <cacheField name="[Measures].[Sum of Total Current (Ltr)]" caption="Sum of Total Current (Ltr)" numFmtId="0" hierarchy="53" level="32767"/>
    <cacheField name="[Measures].[Sum of Total Current Value]" caption="Sum of Total Current Value" numFmtId="0" hierarchy="54" level="32767"/>
    <cacheField name="[Measures].[Sum of Remaining Damage Unit]" caption="Sum of Remaining Damage Unit" numFmtId="0" hierarchy="55" level="32767"/>
    <cacheField name="[Measures].[Sum of Total Price( Based on DP)]" caption="Sum of Total Price( Based on DP)" numFmtId="0" hierarchy="56" level="32767"/>
    <cacheField name="[Current_Stock].[Category].[Category]" caption="Category" numFmtId="0" hierarchy="2" level="1">
      <sharedItems count="5">
        <s v="Agri"/>
        <s v="Care Products"/>
        <s v="HDDO"/>
        <s v="MCO"/>
        <s v="PCMO"/>
      </sharedItems>
    </cacheField>
  </cacheFields>
  <cacheHierarchies count="57">
    <cacheHierarchy uniqueName="[Current_Stock].[SKU ID]" caption="SKU ID" attribute="1" defaultMemberUniqueName="[Current_Stock].[SKU ID].[All]" allUniqueName="[Current_Stock].[SKU ID].[All]" dimensionUniqueName="[Current_Stock]" displayFolder="" count="0" memberValueDatatype="130" unbalanced="0"/>
    <cacheHierarchy uniqueName="[Current_Stock].[Product Details]" caption="Product Details" attribute="1" defaultMemberUniqueName="[Current_Stock].[Product Details].[All]" allUniqueName="[Current_Stock].[Product Details].[All]" dimensionUniqueName="[Current_Stock]" displayFolder="" count="0" memberValueDatatype="130" unbalanced="0"/>
    <cacheHierarchy uniqueName="[Current_Stock].[Category]" caption="Category" attribute="1" defaultMemberUniqueName="[Current_Stock].[Category].[All]" allUniqueName="[Current_Stock].[Category].[All]" dimensionUniqueName="[Current_Stock]" displayFolder="" count="2" memberValueDatatype="130" unbalanced="0">
      <fieldsUsage count="2">
        <fieldUsage x="-1"/>
        <fieldUsage x="5"/>
      </fieldsUsage>
    </cacheHierarchy>
    <cacheHierarchy uniqueName="[Current_Stock].[Cost]" caption="Cost" attribute="1" defaultMemberUniqueName="[Current_Stock].[Cost].[All]" allUniqueName="[Current_Stock].[Cost].[All]" dimensionUniqueName="[Current_Stock]" displayFolder="" count="0" memberValueDatatype="5" unbalanced="0"/>
    <cacheHierarchy uniqueName="[Current_Stock].[DP Price]" caption="DP Price" attribute="1" defaultMemberUniqueName="[Current_Stock].[DP Price].[All]" allUniqueName="[Current_Stock].[DP Price].[All]" dimensionUniqueName="[Current_Stock]" displayFolder="" count="0" memberValueDatatype="5" unbalanced="0"/>
    <cacheHierarchy uniqueName="[Current_Stock].[Vobanipur opening units]" caption="Vobanipur opening units" attribute="1" defaultMemberUniqueName="[Current_Stock].[Vobanipur opening units].[All]" allUniqueName="[Current_Stock].[Vobanipur opening units].[All]" dimensionUniqueName="[Current_Stock]" displayFolder="" count="0" memberValueDatatype="20" unbalanced="0"/>
    <cacheHierarchy uniqueName="[Current_Stock].[Ulukhola opening units]" caption="Ulukhola opening units" attribute="1" defaultMemberUniqueName="[Current_Stock].[Ulukhola opening units].[All]" allUniqueName="[Current_Stock].[Ulukhola opening units].[All]" dimensionUniqueName="[Current_Stock]" displayFolder="" count="0" memberValueDatatype="20" unbalanced="0"/>
    <cacheHierarchy uniqueName="[Current_Stock].[Total Opening Unit]" caption="Total Opening Unit" attribute="1" defaultMemberUniqueName="[Current_Stock].[Total Opening Unit].[All]" allUniqueName="[Current_Stock].[Total Opening Unit].[All]" dimensionUniqueName="[Current_Stock]" displayFolder="" count="0" memberValueDatatype="20" unbalanced="0"/>
    <cacheHierarchy uniqueName="[Current_Stock].[Total Opening (ltr)]" caption="Total Opening (ltr)" attribute="1" defaultMemberUniqueName="[Current_Stock].[Total Opening (ltr)].[All]" allUniqueName="[Current_Stock].[Total Opening (ltr)].[All]" dimensionUniqueName="[Current_Stock]" displayFolder="" count="0" memberValueDatatype="5" unbalanced="0"/>
    <cacheHierarchy uniqueName="[Current_Stock].[Ulukhola to vobanipur transfer]" caption="Ulukhola to vobanipur transfer" attribute="1" defaultMemberUniqueName="[Current_Stock].[Ulukhola to vobanipur transfer].[All]" allUniqueName="[Current_Stock].[Ulukhola to vobanipur transfer].[All]" dimensionUniqueName="[Current_Stock]" displayFolder="" count="0" memberValueDatatype="20" unbalanced="0"/>
    <cacheHierarchy uniqueName="[Current_Stock].[New Arrival Vobanipur]" caption="New Arrival Vobanipur" attribute="1" defaultMemberUniqueName="[Current_Stock].[New Arrival Vobanipur].[All]" allUniqueName="[Current_Stock].[New Arrival Vobanipur].[All]" dimensionUniqueName="[Current_Stock]" displayFolder="" count="0" memberValueDatatype="20" unbalanced="0"/>
    <cacheHierarchy uniqueName="[Current_Stock].[New Arrival Ulukhola]" caption="New Arrival Ulukhola" attribute="1" defaultMemberUniqueName="[Current_Stock].[New Arrival Ulukhola].[All]" allUniqueName="[Current_Stock].[New Arrival Ulukhola].[All]" dimensionUniqueName="[Current_Stock]" displayFolder="" count="0" memberValueDatatype="20" unbalanced="0"/>
    <cacheHierarchy uniqueName="[Current_Stock].[Vobaipur total]" caption="Vobaipur total" attribute="1" defaultMemberUniqueName="[Current_Stock].[Vobaipur total].[All]" allUniqueName="[Current_Stock].[Vobaipur total].[All]" dimensionUniqueName="[Current_Stock]" displayFolder="" count="0" memberValueDatatype="20" unbalanced="0"/>
    <cacheHierarchy uniqueName="[Current_Stock].[Ulukhola Current]" caption="Ulukhola Current" attribute="1" defaultMemberUniqueName="[Current_Stock].[Ulukhola Current].[All]" allUniqueName="[Current_Stock].[Ulukhola Current].[All]" dimensionUniqueName="[Current_Stock]" displayFolder="" count="0" memberValueDatatype="20" unbalanced="0"/>
    <cacheHierarchy uniqueName="[Current_Stock].[Total Unit]" caption="Total Unit" attribute="1" defaultMemberUniqueName="[Current_Stock].[Total Unit].[All]" allUniqueName="[Current_Stock].[Total Unit].[All]" dimensionUniqueName="[Current_Stock]" displayFolder="" count="0" memberValueDatatype="20" unbalanced="0"/>
    <cacheHierarchy uniqueName="[Current_Stock].[Sold Qty(Unit)]" caption="Sold Qty(Unit)" attribute="1" defaultMemberUniqueName="[Current_Stock].[Sold Qty(Unit)].[All]" allUniqueName="[Current_Stock].[Sold Qty(Unit)].[All]" dimensionUniqueName="[Current_Stock]" displayFolder="" count="0" memberValueDatatype="20" unbalanced="0"/>
    <cacheHierarchy uniqueName="[Current_Stock].[Sales Value]" caption="Sales Value" attribute="1" defaultMemberUniqueName="[Current_Stock].[Sales Value].[All]" allUniqueName="[Current_Stock].[Sales Value].[All]" dimensionUniqueName="[Current_Stock]" displayFolder="" count="0" memberValueDatatype="5" unbalanced="0"/>
    <cacheHierarchy uniqueName="[Current_Stock].[Vobanipur Current units]" caption="Vobanipur Current units" attribute="1" defaultMemberUniqueName="[Current_Stock].[Vobanipur Current units].[All]" allUniqueName="[Current_Stock].[Vobanipur Current units].[All]" dimensionUniqueName="[Current_Stock]" displayFolder="" count="0" memberValueDatatype="20" unbalanced="0"/>
    <cacheHierarchy uniqueName="[Current_Stock].[Total Current (Unit)]" caption="Total Current (Unit)" attribute="1" defaultMemberUniqueName="[Current_Stock].[Total Current (Unit)].[All]" allUniqueName="[Current_Stock].[Total Current (Unit)].[All]" dimensionUniqueName="[Current_Stock]" displayFolder="" count="0" memberValueDatatype="20" unbalanced="0"/>
    <cacheHierarchy uniqueName="[Current_Stock].[Total Current (Ltr)]" caption="Total Current (Ltr)" attribute="1" defaultMemberUniqueName="[Current_Stock].[Total Current (Ltr)].[All]" allUniqueName="[Current_Stock].[Total Current (Ltr)].[All]" dimensionUniqueName="[Current_Stock]" displayFolder="" count="0" memberValueDatatype="5" unbalanced="0"/>
    <cacheHierarchy uniqueName="[Current_Stock].[Total Current Value]" caption="Total Current Value" attribute="1" defaultMemberUniqueName="[Current_Stock].[Total Current Value].[All]" allUniqueName="[Current_Stock].[Total Current Value].[All]" dimensionUniqueName="[Current_Stock]" displayFolder="" count="0" memberValueDatatype="5" unbalanced="0"/>
    <cacheHierarchy uniqueName="[Current_Stock].[Current Stock(Cartoon)]" caption="Current Stock(Cartoon)" attribute="1" defaultMemberUniqueName="[Current_Stock].[Current Stock(Cartoon)].[All]" allUniqueName="[Current_Stock].[Current Stock(Cartoon)].[All]" dimensionUniqueName="[Current_Stock]" displayFolder="" count="0" memberValueDatatype="20" unbalanced="0"/>
    <cacheHierarchy uniqueName="[Current_Stock].[RO units]" caption="RO units" attribute="1" defaultMemberUniqueName="[Current_Stock].[RO units].[All]" allUniqueName="[Current_Stock].[RO units].[All]" dimensionUniqueName="[Current_Stock]" displayFolder="" count="0" memberValueDatatype="20" unbalanced="0"/>
    <cacheHierarchy uniqueName="[Current_Stock].[Opening Damage Unit]" caption="Opening Damage Unit" attribute="1" defaultMemberUniqueName="[Current_Stock].[Opening Damage Unit].[All]" allUniqueName="[Current_Stock].[Opening Damage Unit].[All]" dimensionUniqueName="[Current_Stock]" displayFolder="" count="0" memberValueDatatype="20" unbalanced="0"/>
    <cacheHierarchy uniqueName="[Current_Stock].[Damage Sold unit]" caption="Damage Sold unit" attribute="1" defaultMemberUniqueName="[Current_Stock].[Damage Sold unit].[All]" allUniqueName="[Current_Stock].[Damage Sold unit].[All]" dimensionUniqueName="[Current_Stock]" displayFolder="" count="0" memberValueDatatype="20" unbalanced="0"/>
    <cacheHierarchy uniqueName="[Current_Stock].[Remaining Damage Unit]" caption="Remaining Damage Unit" attribute="1" defaultMemberUniqueName="[Current_Stock].[Remaining Damage Unit].[All]" allUniqueName="[Current_Stock].[Remaining Damage Unit].[All]" dimensionUniqueName="[Current_Stock]" displayFolder="" count="0" memberValueDatatype="20" unbalanced="0"/>
    <cacheHierarchy uniqueName="[Current_Stock].[Total Price( Based on DP)]" caption="Total Price( Based on DP)" attribute="1" defaultMemberUniqueName="[Current_Stock].[Total Price( Based on DP)].[All]" allUniqueName="[Current_Stock].[Total Price( Based on DP)].[All]" dimensionUniqueName="[Current_Stock]" displayFolder="" count="0" memberValueDatatype="5" unbalanced="0"/>
    <cacheHierarchy uniqueName="[Current_Stock].[Total Unit with Damage]" caption="Total Unit with Damage" attribute="1" defaultMemberUniqueName="[Current_Stock].[Total Unit with Damage].[All]" allUniqueName="[Current_Stock].[Total Unit with Damage].[All]" dimensionUniqueName="[Current_Stock]" displayFolder="" count="0" memberValueDatatype="20" unbalanced="0"/>
    <cacheHierarchy uniqueName="[Current_Stock].[Total Value with Damage]" caption="Total Value with Damage" attribute="1" defaultMemberUniqueName="[Current_Stock].[Total Value with Damage].[All]" allUniqueName="[Current_Stock].[Total Value with Damage].[All]" dimensionUniqueName="[Current_Stock]" displayFolder="" count="0" memberValueDatatype="5" unbalanced="0"/>
    <cacheHierarchy uniqueName="[Current_Stock].[Blocked Stock(unit)]" caption="Blocked Stock(unit)" attribute="1" defaultMemberUniqueName="[Current_Stock].[Blocked Stock(unit)].[All]" allUniqueName="[Current_Stock].[Blocked Stock(unit)].[All]" dimensionUniqueName="[Current_Stock]" displayFolder="" count="0" memberValueDatatype="20" unbalanced="0"/>
    <cacheHierarchy uniqueName="[Current_Stock].[Final Qty]" caption="Final Qty" attribute="1" defaultMemberUniqueName="[Current_Stock].[Final Qty].[All]" allUniqueName="[Current_Stock].[Final Qty].[All]" dimensionUniqueName="[Current_Stock]" displayFolder="" count="0" memberValueDatatype="20" unbalanced="0"/>
    <cacheHierarchy uniqueName="[Current_Stock].[Ageing(M)]" caption="Ageing(M)" attribute="1" defaultMemberUniqueName="[Current_Stock].[Ageing(M)].[All]" allUniqueName="[Current_Stock].[Ageing(M)].[All]" dimensionUniqueName="[Current_Stock]" displayFolder="" count="0" memberValueDatatype="5" unbalanced="0"/>
    <cacheHierarchy uniqueName="[Current_Stock].[Ageing till Sep'24 (D)]" caption="Ageing till Sep'24 (D)" attribute="1" defaultMemberUniqueName="[Current_Stock].[Ageing till Sep'24 (D)].[All]" allUniqueName="[Current_Stock].[Ageing till Sep'24 (D)].[All]" dimensionUniqueName="[Current_Stock]" displayFolder="" count="0" memberValueDatatype="5" unbalanced="0"/>
    <cacheHierarchy uniqueName="[SKU].[SKU ID]" caption="SKU ID" attribute="1" defaultMemberUniqueName="[SKU].[SKU ID].[All]" allUniqueName="[SKU].[SKU ID].[All]" dimensionUniqueName="[SKU]" displayFolder="" count="0" memberValueDatatype="130" unbalanced="0"/>
    <cacheHierarchy uniqueName="[SKU].[Product with Pack Size]" caption="Product with Pack Size" attribute="1" defaultMemberUniqueName="[SKU].[Product with Pack Size].[All]" allUniqueName="[SKU].[Product with Pack Size].[All]" dimensionUniqueName="[SKU]" displayFolder="" count="0" memberValueDatatype="130" unbalanced="0"/>
    <cacheHierarchy uniqueName="[SKU].[SKU]" caption="SKU" attribute="1" defaultMemberUniqueName="[SKU].[SKU].[All]" allUniqueName="[SKU].[SKU].[All]" dimensionUniqueName="[SKU]" displayFolder="" count="0" memberValueDatatype="130" unbalanced="0"/>
    <cacheHierarchy uniqueName="[SKU].[PackSize]" caption="PackSize" attribute="1" defaultMemberUniqueName="[SKU].[PackSize].[All]" allUniqueName="[SKU].[PackSize].[All]" dimensionUniqueName="[SKU]" displayFolder="" count="0" memberValueDatatype="130" unbalanced="0"/>
    <cacheHierarchy uniqueName="[SKU].[Cartoon Size]" caption="Cartoon Size" attribute="1" defaultMemberUniqueName="[SKU].[Cartoon Size].[All]" allUniqueName="[SKU].[Cartoon Size].[All]" dimensionUniqueName="[SKU]" displayFolder="" count="0" memberValueDatatype="20" unbalanced="0"/>
    <cacheHierarchy uniqueName="[SKU].[Bottle Size(Ltr)]" caption="Bottle Size(Ltr)" attribute="1" defaultMemberUniqueName="[SKU].[Bottle Size(Ltr)].[All]" allUniqueName="[SKU].[Bottle Size(Ltr)].[All]" dimensionUniqueName="[SKU]" displayFolder="" count="0" memberValueDatatype="5" unbalanced="0"/>
    <cacheHierarchy uniqueName="[SKU].[Price/Pack]" caption="Price/Pack" attribute="1" defaultMemberUniqueName="[SKU].[Price/Pack].[All]" allUniqueName="[SKU].[Price/Pack].[All]" dimensionUniqueName="[SKU]" displayFolder="" count="0" memberValueDatatype="20" unbalanced="0"/>
    <cacheHierarchy uniqueName="[SKU].[Price/L]" caption="Price/L" attribute="1" defaultMemberUniqueName="[SKU].[Price/L].[All]" allUniqueName="[SKU].[Price/L].[All]" dimensionUniqueName="[SKU]" displayFolder="" count="0" memberValueDatatype="5" unbalanced="0"/>
    <cacheHierarchy uniqueName="[SKU].[Category]" caption="Category" attribute="1" defaultMemberUniqueName="[SKU].[Category].[All]" allUniqueName="[SKU].[Category].[All]" dimensionUniqueName="[SKU]" displayFolder="" count="0" memberValueDatatype="130" unbalanced="0"/>
    <cacheHierarchy uniqueName="[SKU].[Grade Type]" caption="Grade Type" attribute="1" defaultMemberUniqueName="[SKU].[Grade Type].[All]" allUniqueName="[SKU].[Grade Type].[All]" dimensionUniqueName="[SKU]" displayFolder="" count="0" memberValueDatatype="130" unbalanced="0"/>
    <cacheHierarchy uniqueName="[SKU].[RMBL Price]" caption="RMBL Price" attribute="1" defaultMemberUniqueName="[SKU].[RMBL Price].[All]" allUniqueName="[SKU].[RMBL Price].[All]" dimensionUniqueName="[SKU]" displayFolder="" count="0" memberValueDatatype="20" unbalanced="0"/>
    <cacheHierarchy uniqueName="[SKU].[Grade number]" caption="Grade number" attribute="1" defaultMemberUniqueName="[SKU].[Grade number].[All]" allUniqueName="[SKU].[Grade number].[All]" dimensionUniqueName="[SKU]" displayFolder="" count="0" memberValueDatatype="130" unbalanced="0"/>
    <cacheHierarchy uniqueName="[SKU].[Model]" caption="Model" attribute="1" defaultMemberUniqueName="[SKU].[Model].[All]" allUniqueName="[SKU].[Model].[All]" dimensionUniqueName="[SKU]" displayFolder="" count="0" memberValueDatatype="130" unbalanced="0"/>
    <cacheHierarchy uniqueName="[SKU].[Cost]" caption="Cost" attribute="1" defaultMemberUniqueName="[SKU].[Cost].[All]" allUniqueName="[SKU].[Cost].[All]" dimensionUniqueName="[SKU]" displayFolder="" count="0" memberValueDatatype="5" unbalanced="0"/>
    <cacheHierarchy uniqueName="[SKU].[DP]" caption="DP" attribute="1" defaultMemberUniqueName="[SKU].[DP].[All]" allUniqueName="[SKU].[DP].[All]" dimensionUniqueName="[SKU]" displayFolder="" count="0" memberValueDatatype="5" unbalanced="0"/>
    <cacheHierarchy uniqueName="[SKU].[AIT]" caption="AIT" attribute="1" defaultMemberUniqueName="[SKU].[AIT].[All]" allUniqueName="[SKU].[AIT].[All]" dimensionUniqueName="[SKU]" displayFolder="" count="0" memberValueDatatype="5" unbalanced="0"/>
    <cacheHierarchy uniqueName="[Measures].[__XL_Count Current_Stock]" caption="__XL_Count Current_Stock" measure="1" displayFolder="" measureGroup="Current_Stock" count="0" hidden="1"/>
    <cacheHierarchy uniqueName="[Measures].[__XL_Count SKU]" caption="__XL_Count SKU" measure="1" displayFolder="" measureGroup="SKU" count="0" hidden="1"/>
    <cacheHierarchy uniqueName="[Measures].[__No measures defined]" caption="__No measures defined" measure="1" displayFolder="" count="0" hidden="1"/>
    <cacheHierarchy uniqueName="[Measures].[Sum of Total Current (Unit)]" caption="Sum of Total Current (Unit)" measure="1" displayFolder="" measureGroup="Current_Stock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urrent (Ltr)]" caption="Sum of Total Current (Ltr)" measure="1" displayFolder="" measureGroup="Current_Stock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otal Current Value]" caption="Sum of Total Current Value" measure="1" displayFolder="" measureGroup="Current_Stock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maining Damage Unit]" caption="Sum of Remaining Damage Unit" measure="1" displayFolder="" measureGroup="Current_Stock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( Based on DP)]" caption="Sum of Total Price( Based on DP)" measure="1" displayFolder="" measureGroup="Current_Stock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3">
    <dimension name="Current_Stock" uniqueName="[Current_Stock]" caption="Current_Stock"/>
    <dimension measure="1" name="Measures" uniqueName="[Measures]" caption="Measures"/>
    <dimension name="SKU" uniqueName="[SKU]" caption="SKU"/>
  </dimensions>
  <measureGroups count="2">
    <measureGroup name="Current_Stock" caption="Current_Stock"/>
    <measureGroup name="SKU" caption="SKU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urav Saha" refreshedDate="45777.682015856481" missingItemsLimit="0" createdVersion="8" refreshedVersion="8" minRefreshableVersion="3" recordCount="588" xr:uid="{7DAD8721-2211-470E-B1BB-E84536696A70}">
  <cacheSource type="worksheet">
    <worksheetSource name="Primary_Order"/>
  </cacheSource>
  <cacheFields count="43">
    <cacheField name="Sales Reciept" numFmtId="0">
      <sharedItems/>
    </cacheField>
    <cacheField name="Date" numFmtId="164">
      <sharedItems containsSemiMixedTypes="0" containsNonDate="0" containsDate="1" containsString="0" minDate="2025-01-01T00:00:00" maxDate="2031-01-01T00:00:00" count="64">
        <d v="2025-01-05T00:00:00"/>
        <d v="2025-01-01T00:00:00"/>
        <d v="2025-01-06T00:00:00"/>
        <d v="2025-01-07T00:00:00"/>
        <d v="2025-01-09T00:00:00"/>
        <d v="2025-01-12T00:00:00"/>
        <d v="2025-01-14T00:00:00"/>
        <d v="2025-01-15T00:00:00"/>
        <d v="2025-01-13T00:00:00"/>
        <d v="2025-01-16T00:00:00"/>
        <d v="2025-01-20T00:00:00"/>
        <d v="2025-01-21T00:00:00"/>
        <d v="2025-01-22T00:00:00"/>
        <d v="2025-01-23T00:00:00"/>
        <d v="2025-01-26T00:00:00"/>
        <d v="2025-01-27T00:00:00"/>
        <d v="2025-01-28T00:00:00"/>
        <d v="2025-01-29T00:00:00"/>
        <d v="2025-01-30T00:00:00"/>
        <d v="2025-02-02T00:00:00"/>
        <d v="2025-02-06T00:00:00"/>
        <d v="2025-02-10T00:00:00"/>
        <d v="2025-02-09T00:00:00"/>
        <d v="2025-02-13T00:00:00"/>
        <d v="2025-02-14T00:00:00"/>
        <d v="2025-02-19T00:00:00"/>
        <d v="2025-02-16T00:00:00"/>
        <d v="2025-02-18T00:00:00"/>
        <d v="2025-02-20T00:00:00"/>
        <d v="2025-02-24T00:00:00"/>
        <d v="2025-02-25T00:00:00"/>
        <d v="2025-02-26T00:00:00"/>
        <d v="2025-02-27T00:00:00"/>
        <d v="2025-03-02T00:00:00"/>
        <d v="2025-03-04T00:00:00"/>
        <d v="2025-03-05T00:00:00"/>
        <d v="2030-12-30T00:00:00"/>
        <d v="2030-12-31T00:00:00"/>
        <d v="2025-03-10T00:00:00"/>
        <d v="2025-03-06T00:00:00"/>
        <d v="2025-03-11T00:00:00"/>
        <d v="2025-03-12T00:00:00"/>
        <d v="2025-03-13T00:00:00"/>
        <d v="2025-03-17T00:00:00"/>
        <d v="2025-03-16T00:00:00"/>
        <d v="2025-03-19T00:00:00"/>
        <d v="2025-03-24T00:00:00"/>
        <d v="2025-03-23T00:00:00"/>
        <d v="2025-03-25T00:00:00"/>
        <d v="2025-04-07T00:00:00"/>
        <d v="2025-04-09T00:00:00"/>
        <d v="2025-04-15T00:00:00"/>
        <d v="2025-04-10T00:00:00"/>
        <d v="2025-04-13T00:00:00"/>
        <d v="2025-04-20T00:00:00"/>
        <d v="2025-04-21T00:00:00"/>
        <d v="2025-04-22T00:00:00"/>
        <d v="2025-04-24T00:00:00"/>
        <d v="2025-04-26T00:00:00"/>
        <d v="2025-04-27T00:00:00"/>
        <d v="2025-04-23T00:00:00"/>
        <d v="2025-04-28T00:00:00"/>
        <d v="2025-04-29T00:00:00"/>
        <d v="2025-04-30T00:00:00"/>
      </sharedItems>
      <fieldGroup par="42"/>
    </cacheField>
    <cacheField name="MMD ID" numFmtId="0">
      <sharedItems containsBlank="1"/>
    </cacheField>
    <cacheField name="Retailer" numFmtId="0">
      <sharedItems count="95">
        <s v="Lube &amp; Gear"/>
        <s v="Auto Museum "/>
        <s v="J S Traders"/>
        <s v="Rehena Distribution "/>
        <s v="Sleeper Clutch "/>
        <s v="DHS Motors Limited"/>
        <s v="Biker Choice"/>
        <s v="M.R Enterprise "/>
        <s v="Kushiara Auto"/>
        <s v="Hazipur Traders"/>
        <s v="Polash Automobile "/>
        <s v="Al Bari Enterprise"/>
        <s v="Md. Mahbubur Rahman"/>
        <s v="Irma Motors"/>
        <s v="Bike Fashion"/>
        <s v="New Bishass Enterprise "/>
        <s v="B S Motor’s "/>
        <s v="Hasan Traders "/>
        <s v="Maliha Enterprise"/>
        <s v="Fair Auto"/>
        <s v="Bajaj Parts Center"/>
        <s v="R. Hossain Motors "/>
        <s v="Probir Auto Mobile "/>
        <s v="Surma Trading Agency"/>
        <s v="Talukder Enterprise "/>
        <s v="Rancon Motor Bikes Ltd"/>
        <s v="Shohag Servicing Centre"/>
        <s v="Bikers Club"/>
        <s v="Bishass Mobil House "/>
        <s v="Reliant Trading "/>
        <s v="Bondhu Motors &amp;Mobil Ghor"/>
        <s v="Tamanna Motors"/>
        <s v="Banoful Traders "/>
        <s v="Rangs Motors Workshop limited"/>
        <s v="Riters Enterprise"/>
        <s v="Alam Traders"/>
        <s v="A B M Motors"/>
        <s v="Probir Automobile "/>
        <s v="SS LUB MART"/>
        <s v="Mohammad Lube House"/>
        <s v="DHS motors"/>
        <s v="m/s star machineries "/>
        <s v="Roni Enterprise "/>
        <s v="Mayer Dowa Motors "/>
        <s v="Star Bikers"/>
        <s v="Robel motors"/>
        <s v="Magha Auto"/>
        <s v="Zam Zam Traders "/>
        <s v="R.Hossain Motors"/>
        <s v="Bike Bits "/>
        <s v="Boundhu Motors &amp; Mobil Ghor"/>
        <s v="MK Trading Corporation"/>
        <s v="B S Motors"/>
        <s v="K B Lubricant "/>
        <s v="Shatota Lubricants"/>
        <s v="Sk Corporation"/>
        <s v="m/s energy trading"/>
        <s v="Mid Bangal Private ltd"/>
        <s v="Vehicle Solution"/>
        <s v="Head office"/>
        <s v="Rangpur Mobil House"/>
        <s v="Dr. Jesika Rezvi Tamanna"/>
        <s v="M/S Hasan traders "/>
        <s v="Connect Motors "/>
        <s v="Rancon Agro Machinery Limited"/>
        <s v="Bhuiyan Corporation"/>
        <s v="Ashik Motors"/>
        <s v="Global trading"/>
        <s v="Parts Gallery"/>
        <s v="Bondhu Motors and Mobil Ghor "/>
        <s v="Rangs Workshop Limited"/>
        <s v="New Bishass Enterprises "/>
        <s v="Uttara auto Eng Ltd"/>
        <s v="Surma Trading"/>
        <s v="Jantrik Autoj  "/>
        <s v="SS Lube Mart"/>
        <s v="Patowary Motors"/>
        <s v="RS Hossain Motors"/>
        <s v="Megha Auto"/>
        <s v="Jantrik Auto"/>
        <s v="Uttara Auto Parts"/>
        <s v="Noman"/>
        <s v="MK Trading"/>
        <s v="Bismillah Servicing &amp; Auto Parts"/>
        <s v="Sunrise autos"/>
        <s v="Maa Auto"/>
        <s v="Mohammad Lub House "/>
        <s v="B S Motor’s  "/>
        <s v="Rancon Industrial Park"/>
        <s v="DHS Motors Limited "/>
        <s v="Ranks Motor Workshop Limited"/>
        <s v="Imran Motor"/>
        <s v="M R Enterprise "/>
        <s v="Rancon Motor Ltd"/>
        <s v="M/S Hasan Traders"/>
      </sharedItems>
    </cacheField>
    <cacheField name="Delvery Address" numFmtId="0">
      <sharedItems/>
    </cacheField>
    <cacheField name="To Dealer(Contact no)" numFmtId="0">
      <sharedItems containsBlank="1" containsMixedTypes="1" containsNumber="1" containsInteger="1" minValue="1521308494" maxValue="8801711584594"/>
    </cacheField>
    <cacheField name="TSM/TSE" numFmtId="0">
      <sharedItems count="9">
        <s v="Sayed Al Amin Apu"/>
        <s v="Sultan Anisul Islam"/>
        <s v="Captive Sales"/>
        <s v="Md. Robin Sheikh"/>
        <s v="Md.Mahfuzur Rahman"/>
        <s v="Mahamudul Hasan Milon"/>
        <s v="Monirul Islam"/>
        <s v="Md. Hasemi Rafsan"/>
        <s v="Md. Mafsidul Haque(Rana)"/>
      </sharedItems>
    </cacheField>
    <cacheField name="AM" numFmtId="0">
      <sharedItems/>
    </cacheField>
    <cacheField name="MMD" numFmtId="0">
      <sharedItems count="32">
        <s v="Lube &amp; Gear"/>
        <s v="KB Lubricants"/>
        <s v="DHS Motors Limited"/>
        <s v="City Lubricants"/>
        <s v="City Trading"/>
        <s v="Al Bari Enterprise"/>
        <s v="MK Trading Corporation"/>
        <s v="Maliha Enterprise"/>
        <s v="Bajaj Parts Center"/>
        <s v="Bondhu Motors"/>
        <s v="M/S Hasan Traders"/>
        <s v="Tuba Motors"/>
        <s v="Surma trading"/>
        <s v="Rancon Motor Bikes Ltd"/>
        <s v="Reliant Trading"/>
        <s v="Rehana Distribution"/>
        <s v="Banoful Traders"/>
        <s v="Ranks Motor Workshop limited"/>
        <s v="Riters Enterprise"/>
        <s v="Alam Traders"/>
        <s v="SS Lub Mart"/>
        <s v="DHS Motors Limited "/>
        <s v="SK Corporation"/>
        <s v="Mid Bangal Private ltd"/>
        <s v="Vehicle Solution"/>
        <s v="Head office"/>
        <s v="Rancon Agro Machinery Limited"/>
        <s v="Bhuiyan Corporation"/>
        <s v="Global Trading"/>
        <s v="Rangs Workshop Limited"/>
        <s v="Mahim Motors"/>
        <s v="Maa Auto"/>
      </sharedItems>
    </cacheField>
    <cacheField name="Location" numFmtId="0">
      <sharedItems/>
    </cacheField>
    <cacheField name="Product ID" numFmtId="0">
      <sharedItems count="56">
        <s v="LO00041"/>
        <s v="LO00042"/>
        <s v="LO00043"/>
        <s v="LO00073"/>
        <s v="LO00096"/>
        <s v="LO00044"/>
        <s v="LO00046"/>
        <s v="LO00074"/>
        <s v="LO00047"/>
        <s v="LO00048"/>
        <s v="LO00072"/>
        <s v="LO00104"/>
        <s v="LO00119"/>
        <s v="LO00117"/>
        <s v="LO00062"/>
        <s v="LO00120"/>
        <s v="LO00064"/>
        <s v="LO00116"/>
        <s v="LO00076"/>
        <s v="LO00045"/>
        <s v="LO00097"/>
        <s v="LO00071"/>
        <s v="LO00118"/>
        <s v="LO00075"/>
        <s v="LO00087"/>
        <s v="LO00108"/>
        <s v="LO00103"/>
        <s v="LO00061"/>
        <s v="LO00086"/>
        <s v="LO00065"/>
        <s v="LO00067"/>
        <s v="LO00068"/>
        <s v="LO00069"/>
        <s v="LO00089"/>
        <s v="LO00090"/>
        <s v="LO00093"/>
        <s v="LO00121"/>
        <s v="LO00122"/>
        <s v="LO00127"/>
        <s v="LO00128"/>
        <s v="LO00101"/>
        <s v="LO00102"/>
        <s v="LO00110"/>
        <s v="LO00111"/>
        <s v="LO00112"/>
        <s v="LO00113"/>
        <s v="LO00114"/>
        <s v="LO00115"/>
        <s v="LO00123"/>
        <s v="LO00124"/>
        <s v="LO00107"/>
        <s v="LO00109"/>
        <s v="LO00125"/>
        <s v="LO00126"/>
        <s v="LO00088"/>
        <s v="LO00099"/>
      </sharedItems>
    </cacheField>
    <cacheField name="Product Name" numFmtId="0">
      <sharedItems/>
    </cacheField>
    <cacheField name="Order Qty(Piece)" numFmtId="166">
      <sharedItems containsString="0" containsBlank="1" containsNumber="1" containsInteger="1" minValue="1" maxValue="27000"/>
    </cacheField>
    <cacheField name="Price/Piece" numFmtId="166">
      <sharedItems containsString="0" containsBlank="1" containsNumber="1" minValue="0" maxValue="6100"/>
    </cacheField>
    <cacheField name="Order Volume(ltr)" numFmtId="166">
      <sharedItems containsString="0" containsBlank="1" containsNumber="1" minValue="0" maxValue="27000"/>
    </cacheField>
    <cacheField name="Discount Percentage" numFmtId="9">
      <sharedItems containsBlank="1" containsMixedTypes="1" containsNumber="1" minValue="-2.2204460492503131E-16" maxValue="1"/>
    </cacheField>
    <cacheField name="Free Quantity" numFmtId="166">
      <sharedItems containsSemiMixedTypes="0" containsString="0" containsNumber="1" containsInteger="1" minValue="0" maxValue="12"/>
    </cacheField>
    <cacheField name="After Discount Price/Piece" numFmtId="166">
      <sharedItems containsString="0" containsBlank="1" containsNumber="1" minValue="0" maxValue="6000"/>
    </cacheField>
    <cacheField name="Total Qty" numFmtId="166">
      <sharedItems containsSemiMixedTypes="0" containsString="0" containsNumber="1" containsInteger="1" minValue="1" maxValue="27000"/>
    </cacheField>
    <cacheField name="Total Volume" numFmtId="166">
      <sharedItems containsSemiMixedTypes="0" containsString="0" containsNumber="1" minValue="0.60000000000000009" maxValue="27000"/>
    </cacheField>
    <cacheField name="Gross Price" numFmtId="166">
      <sharedItems containsString="0" containsBlank="1" containsNumber="1" minValue="0" maxValue="14850000"/>
    </cacheField>
    <cacheField name="Transport Discount" numFmtId="166">
      <sharedItems containsSemiMixedTypes="0" containsString="0" containsNumber="1" containsInteger="1" minValue="0" maxValue="30000"/>
    </cacheField>
    <cacheField name="Final Price" numFmtId="166">
      <sharedItems containsString="0" containsBlank="1" containsNumber="1" minValue="0" maxValue="14175000"/>
    </cacheField>
    <cacheField name="Vat(15%)" numFmtId="166">
      <sharedItems containsString="0" containsBlank="1" containsNumber="1" minValue="0" maxValue="1848913.043478261"/>
    </cacheField>
    <cacheField name="Net Total(-15%)" numFmtId="166">
      <sharedItems containsString="0" containsBlank="1" containsNumber="1" minValue="0" maxValue="12326086.956521738"/>
    </cacheField>
    <cacheField name="Payment Type" numFmtId="0">
      <sharedItems containsBlank="1"/>
    </cacheField>
    <cacheField name="Mushok" numFmtId="0">
      <sharedItems containsMixedTypes="1" containsNumber="1" containsInteger="1" minValue="572" maxValue="717"/>
    </cacheField>
    <cacheField name="Order Type" numFmtId="0">
      <sharedItems/>
    </cacheField>
    <cacheField name="Delivery Date" numFmtId="164">
      <sharedItems containsDate="1" containsBlank="1" containsMixedTypes="1" minDate="2025-01-05T00:00:00" maxDate="2025-04-30T00:00:00"/>
    </cacheField>
    <cacheField name="Remarks" numFmtId="0">
      <sharedItems/>
    </cacheField>
    <cacheField name="Area" numFmtId="0">
      <sharedItems count="4">
        <s v="Central"/>
        <s v="Eastern"/>
        <s v="Captive Sales"/>
        <s v="Northern"/>
      </sharedItems>
    </cacheField>
    <cacheField name="SKU Grade Tpye" numFmtId="0">
      <sharedItems/>
    </cacheField>
    <cacheField name="SKU Category" numFmtId="0">
      <sharedItems count="5">
        <s v="MCO"/>
        <s v="Care Products"/>
        <s v="PCMO"/>
        <s v="HDDO"/>
        <s v="Agri"/>
      </sharedItems>
    </cacheField>
    <cacheField name="SKU Grade number" numFmtId="0">
      <sharedItems count="9">
        <s v="10W30"/>
        <s v="20W40"/>
        <s v="10W40"/>
        <s v="20W50"/>
        <s v="Care Products"/>
        <s v="0W40"/>
        <s v="15W40"/>
        <s v="0W20"/>
        <s v="5W30"/>
      </sharedItems>
    </cacheField>
    <cacheField name="SKU Model" numFmtId="0">
      <sharedItems count="22">
        <s v="3000"/>
        <s v="3100"/>
        <s v="5100"/>
        <s v="7100"/>
        <s v="Scooter"/>
        <s v="Brake"/>
        <s v="8100"/>
        <s v="Fork Oil"/>
        <s v="Clean"/>
        <s v="Coolant"/>
        <s v="2000"/>
        <s v="4000"/>
        <s v="ECO "/>
        <s v="300V"/>
        <s v="Chain"/>
        <s v="Helmet"/>
        <s v="Tire"/>
        <s v="Lube"/>
        <s v="Tekma"/>
        <s v="Agri"/>
        <s v="Grease"/>
        <s v="Run "/>
      </sharedItems>
    </cacheField>
    <cacheField name="Free Ltr" numFmtId="167">
      <sharedItems containsSemiMixedTypes="0" containsString="0" containsNumber="1" minValue="0" maxValue="60"/>
    </cacheField>
    <cacheField name="Pack Size" numFmtId="0">
      <sharedItems count="23">
        <s v="20x1L"/>
        <s v="20x1.2L"/>
        <s v="12x1L"/>
        <s v="20x0.8L"/>
        <s v="40x0.1L"/>
        <s v="4x4L"/>
        <s v="20x0.35L"/>
        <s v="24x0.05L"/>
        <s v="40x0.175L"/>
        <s v="12x0.4L"/>
        <s v="20x0.15L"/>
        <s v="12x0.25L"/>
        <s v="12x0.3L"/>
        <s v="24x0.25L"/>
        <s v="24x0.20L"/>
        <s v="36X0.075L"/>
        <s v="11L"/>
        <s v="15L"/>
        <s v="4x5L"/>
        <s v="18L"/>
        <s v="20x0.5L"/>
        <s v="7.5L"/>
        <s v="10L"/>
      </sharedItems>
    </cacheField>
    <cacheField name="Cost" numFmtId="166">
      <sharedItems containsSemiMixedTypes="0" containsString="0" containsNumber="1" minValue="230.64" maxValue="10390950"/>
    </cacheField>
    <cacheField name="Profit" numFmtId="166">
      <sharedItems containsSemiMixedTypes="0" containsString="0" containsNumber="1" minValue="-1699097.1847826086" maxValue="1935136.9565217383"/>
    </cacheField>
    <cacheField name="Order Search" numFmtId="0">
      <sharedItems/>
    </cacheField>
    <cacheField name="Status" numFmtId="0">
      <sharedItems count="4">
        <s v="Delivered"/>
        <s v="Pending"/>
        <s v="DMG-Sold"/>
        <s v="Replaced"/>
      </sharedItems>
    </cacheField>
    <cacheField name="Days (Date)" numFmtId="0" databaseField="0">
      <fieldGroup base="1">
        <rangePr groupBy="days" startDate="2025-01-01T00:00:00" endDate="2031-01-01T00:00:00"/>
        <groupItems count="368">
          <s v="&lt;1/1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/2031"/>
        </groupItems>
      </fieldGroup>
    </cacheField>
    <cacheField name="Months (Date)" numFmtId="0" databaseField="0">
      <fieldGroup base="1">
        <rangePr groupBy="months" startDate="2025-01-01T00:00:00" endDate="2031-01-01T00:00:00"/>
        <groupItems count="14">
          <s v="&lt;1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31"/>
        </groupItems>
      </fieldGroup>
    </cacheField>
  </cacheFields>
  <extLst>
    <ext xmlns:x14="http://schemas.microsoft.com/office/spreadsheetml/2009/9/main" uri="{725AE2AE-9491-48be-B2B4-4EB974FC3084}">
      <x14:pivotCacheDefinition pivotCacheId="18167365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">
  <r>
    <s v="F-103"/>
    <x v="0"/>
    <s v="D-0004"/>
    <x v="0"/>
    <s v="Konabari Gazipur "/>
    <s v="01711784707"/>
    <x v="0"/>
    <s v="Abdul Matin"/>
    <x v="0"/>
    <s v="Konabari"/>
    <x v="0"/>
    <s v="3000 4T PLUS 10W30"/>
    <n v="400"/>
    <n v="525"/>
    <n v="400"/>
    <n v="0"/>
    <n v="0"/>
    <n v="525"/>
    <n v="400"/>
    <n v="400"/>
    <n v="210000"/>
    <n v="0"/>
    <n v="210000"/>
    <n v="27391.304347826088"/>
    <n v="182608.69565217392"/>
    <s v="Cash"/>
    <n v="572"/>
    <s v="Flat Discount"/>
    <d v="2025-01-05T00:00:00"/>
    <s v=""/>
    <x v="0"/>
    <s v="Mineral"/>
    <x v="0"/>
    <x v="0"/>
    <x v="0"/>
    <n v="0"/>
    <x v="0"/>
    <n v="151732"/>
    <n v="30876.695652173919"/>
    <s v="O-45662-D-0004"/>
    <x v="0"/>
  </r>
  <r>
    <s v="F-103"/>
    <x v="0"/>
    <s v="D-0004"/>
    <x v="0"/>
    <s v="Konabari Gazipur "/>
    <s v="01711784707"/>
    <x v="0"/>
    <s v="Abdul Matin"/>
    <x v="0"/>
    <s v="Konabari"/>
    <x v="1"/>
    <s v="3000 4T PLUS 20W40"/>
    <n v="300"/>
    <n v="525"/>
    <n v="300"/>
    <n v="0"/>
    <n v="0"/>
    <n v="525"/>
    <n v="300"/>
    <n v="300"/>
    <n v="157500"/>
    <n v="0"/>
    <n v="157500"/>
    <n v="20543.478260869564"/>
    <n v="136956.52173913043"/>
    <s v="Cash"/>
    <n v="572"/>
    <s v="Flat Discount"/>
    <d v="2025-01-05T00:00:00"/>
    <s v=""/>
    <x v="0"/>
    <s v="Mineral"/>
    <x v="0"/>
    <x v="1"/>
    <x v="0"/>
    <n v="0"/>
    <x v="0"/>
    <n v="123828"/>
    <n v="13128.521739130432"/>
    <s v="O-45662-D-0004"/>
    <x v="0"/>
  </r>
  <r>
    <s v="F-103"/>
    <x v="0"/>
    <s v="D-0004"/>
    <x v="0"/>
    <s v="Konabari Gazipur "/>
    <s v="01711784707"/>
    <x v="0"/>
    <s v="Abdul Matin"/>
    <x v="0"/>
    <s v="Konabari"/>
    <x v="2"/>
    <s v="3000 4T PLUS 10W40"/>
    <n v="1600"/>
    <n v="525"/>
    <n v="1600"/>
    <n v="0"/>
    <n v="0"/>
    <n v="525"/>
    <n v="1600"/>
    <n v="1600"/>
    <n v="840000"/>
    <n v="0"/>
    <n v="840000"/>
    <n v="109565.21739130435"/>
    <n v="730434.78260869568"/>
    <s v="Cash"/>
    <n v="572"/>
    <s v="Flat Discount"/>
    <d v="2025-01-05T00:00:00"/>
    <s v=""/>
    <x v="0"/>
    <s v="Mineral"/>
    <x v="0"/>
    <x v="2"/>
    <x v="0"/>
    <n v="0"/>
    <x v="0"/>
    <n v="615760"/>
    <n v="114674.78260869568"/>
    <s v="O-45662-D-0004"/>
    <x v="0"/>
  </r>
  <r>
    <s v="F-103"/>
    <x v="0"/>
    <s v="D-0004"/>
    <x v="0"/>
    <s v="Konabari Gazipur "/>
    <s v="01711784707"/>
    <x v="0"/>
    <s v="Abdul Matin"/>
    <x v="0"/>
    <s v="Konabari"/>
    <x v="3"/>
    <s v="3000 4T PLUS 10W30"/>
    <n v="300"/>
    <n v="640"/>
    <n v="360"/>
    <n v="0"/>
    <n v="0"/>
    <n v="640"/>
    <n v="300"/>
    <n v="360"/>
    <n v="192000"/>
    <n v="0"/>
    <n v="192000"/>
    <n v="25043.478260869564"/>
    <n v="166956.52173913043"/>
    <s v="Cash"/>
    <n v="572"/>
    <s v="Flat Discount"/>
    <d v="2025-01-05T00:00:00"/>
    <s v=""/>
    <x v="0"/>
    <s v="Mineral"/>
    <x v="0"/>
    <x v="0"/>
    <x v="0"/>
    <n v="0"/>
    <x v="1"/>
    <n v="131670"/>
    <n v="35286.521739130432"/>
    <s v="O-45662-D-0004"/>
    <x v="0"/>
  </r>
  <r>
    <s v="F-103"/>
    <x v="0"/>
    <s v="D-0004"/>
    <x v="0"/>
    <s v="Konabari Gazipur "/>
    <s v="01711784707"/>
    <x v="0"/>
    <s v="Abdul Matin"/>
    <x v="0"/>
    <s v="Konabari"/>
    <x v="4"/>
    <s v="3000 4T PLUS 20W40"/>
    <n v="240"/>
    <n v="640"/>
    <n v="288"/>
    <n v="0"/>
    <n v="0"/>
    <n v="640"/>
    <n v="240"/>
    <n v="288"/>
    <n v="153600"/>
    <n v="0"/>
    <n v="153600"/>
    <n v="20034.782608695652"/>
    <n v="133565.21739130435"/>
    <s v="Cash"/>
    <n v="572"/>
    <s v="Flat Discount"/>
    <d v="2025-01-05T00:00:00"/>
    <s v=""/>
    <x v="0"/>
    <s v="Mineral"/>
    <x v="0"/>
    <x v="1"/>
    <x v="0"/>
    <n v="0"/>
    <x v="1"/>
    <n v="112775.47088414633"/>
    <n v="20789.746507158023"/>
    <s v="O-45662-D-0004"/>
    <x v="0"/>
  </r>
  <r>
    <s v="F-103"/>
    <x v="0"/>
    <s v="D-0004"/>
    <x v="0"/>
    <s v="Konabari Gazipur "/>
    <s v="01711784707"/>
    <x v="0"/>
    <s v="Abdul Matin"/>
    <x v="0"/>
    <s v="Konabari"/>
    <x v="5"/>
    <s v="31004T GOLD 20W50"/>
    <n v="80"/>
    <n v="595"/>
    <n v="80"/>
    <n v="0"/>
    <n v="0"/>
    <n v="595"/>
    <n v="80"/>
    <n v="80"/>
    <n v="47600"/>
    <n v="0"/>
    <n v="47600"/>
    <n v="6208.695652173913"/>
    <n v="41391.304347826088"/>
    <s v="Cash"/>
    <n v="572"/>
    <s v="Flat Discount"/>
    <d v="2025-01-05T00:00:00"/>
    <s v=""/>
    <x v="0"/>
    <s v="Technosynthese"/>
    <x v="0"/>
    <x v="3"/>
    <x v="1"/>
    <n v="0"/>
    <x v="0"/>
    <n v="37551.199999999997"/>
    <n v="3840.1043478260908"/>
    <s v="O-45662-D-0004"/>
    <x v="0"/>
  </r>
  <r>
    <s v="F-103"/>
    <x v="0"/>
    <s v="D-0004"/>
    <x v="0"/>
    <s v="Konabari Gazipur "/>
    <s v="01711784707"/>
    <x v="0"/>
    <s v="Abdul Matin"/>
    <x v="0"/>
    <s v="Konabari"/>
    <x v="6"/>
    <s v="51004T 10W40 ESTER"/>
    <n v="84"/>
    <n v="850"/>
    <n v="84"/>
    <n v="0"/>
    <n v="0"/>
    <n v="850"/>
    <n v="84"/>
    <n v="84"/>
    <n v="71400"/>
    <n v="0"/>
    <n v="71400"/>
    <n v="9313.04347826087"/>
    <n v="62086.956521739128"/>
    <s v="Cash"/>
    <n v="572"/>
    <s v="Flat Discount"/>
    <d v="2025-01-05T00:00:00"/>
    <s v=""/>
    <x v="0"/>
    <s v="Technosynthese"/>
    <x v="0"/>
    <x v="2"/>
    <x v="2"/>
    <n v="0"/>
    <x v="2"/>
    <n v="51099.72"/>
    <n v="10987.236521739127"/>
    <s v="O-45662-D-0004"/>
    <x v="0"/>
  </r>
  <r>
    <s v="F-103"/>
    <x v="0"/>
    <s v="D-0004"/>
    <x v="0"/>
    <s v="Konabari Gazipur "/>
    <s v="01711784707"/>
    <x v="0"/>
    <s v="Abdul Matin"/>
    <x v="0"/>
    <s v="Konabari"/>
    <x v="7"/>
    <s v="7100 4T 10W30 ESTER CORE®"/>
    <n v="120"/>
    <n v="1050"/>
    <n v="120"/>
    <n v="0"/>
    <n v="0"/>
    <n v="1050"/>
    <n v="120"/>
    <n v="120"/>
    <n v="126000"/>
    <n v="0"/>
    <n v="126000"/>
    <n v="16434.782608695652"/>
    <n v="109565.21739130435"/>
    <s v="Cash"/>
    <n v="572"/>
    <s v="Flat Discount"/>
    <d v="2025-01-05T00:00:00"/>
    <s v=""/>
    <x v="0"/>
    <s v="Synthetic"/>
    <x v="0"/>
    <x v="0"/>
    <x v="3"/>
    <n v="0"/>
    <x v="2"/>
    <n v="82783.199999999997"/>
    <n v="26782.017391304355"/>
    <s v="O-45662-D-0004"/>
    <x v="0"/>
  </r>
  <r>
    <s v="F-103"/>
    <x v="0"/>
    <s v="D-0004"/>
    <x v="0"/>
    <s v="Konabari Gazipur "/>
    <s v="01711784707"/>
    <x v="0"/>
    <s v="Abdul Matin"/>
    <x v="0"/>
    <s v="Konabari"/>
    <x v="8"/>
    <s v="7100 4T 10W40 ESTER CORE®"/>
    <n v="600"/>
    <n v="1050"/>
    <n v="600"/>
    <n v="0"/>
    <n v="0"/>
    <n v="1050"/>
    <n v="600"/>
    <n v="600"/>
    <n v="630000"/>
    <n v="0"/>
    <n v="630000"/>
    <n v="82173.913043478256"/>
    <n v="547826.08695652173"/>
    <s v="Cash"/>
    <n v="572"/>
    <s v="Flat Discount"/>
    <d v="2025-01-05T00:00:00"/>
    <s v=""/>
    <x v="0"/>
    <s v="Synthetic"/>
    <x v="0"/>
    <x v="2"/>
    <x v="3"/>
    <n v="0"/>
    <x v="2"/>
    <n v="416394"/>
    <n v="131432.08695652173"/>
    <s v="O-45662-D-0004"/>
    <x v="0"/>
  </r>
  <r>
    <s v="F-103"/>
    <x v="0"/>
    <s v="D-0004"/>
    <x v="0"/>
    <s v="Konabari Gazipur "/>
    <s v="01711784707"/>
    <x v="0"/>
    <s v="Abdul Matin"/>
    <x v="0"/>
    <s v="Konabari"/>
    <x v="9"/>
    <s v="7100 4T 20W50 ESTER CORE®"/>
    <n v="96"/>
    <n v="1050"/>
    <n v="96"/>
    <n v="0"/>
    <n v="0"/>
    <n v="1050"/>
    <n v="96"/>
    <n v="96"/>
    <n v="100800"/>
    <n v="0"/>
    <n v="100800"/>
    <n v="13147.826086956522"/>
    <n v="87652.173913043473"/>
    <s v="Cash"/>
    <n v="572"/>
    <s v="Flat Discount"/>
    <d v="2025-01-05T00:00:00"/>
    <s v=""/>
    <x v="0"/>
    <s v="Synthetic"/>
    <x v="0"/>
    <x v="3"/>
    <x v="3"/>
    <n v="0"/>
    <x v="2"/>
    <n v="73315.046399999992"/>
    <n v="14337.127513043481"/>
    <s v="O-45662-D-0004"/>
    <x v="0"/>
  </r>
  <r>
    <s v="F-103"/>
    <x v="0"/>
    <s v="D-0004"/>
    <x v="0"/>
    <s v="Konabari Gazipur "/>
    <s v="01711784707"/>
    <x v="0"/>
    <s v="Abdul Matin"/>
    <x v="0"/>
    <s v="Konabari"/>
    <x v="10"/>
    <s v="Scooter LE 4T 10W30 HC-TECH®"/>
    <n v="20"/>
    <n v="483"/>
    <n v="16"/>
    <n v="0"/>
    <n v="0"/>
    <n v="483"/>
    <n v="20"/>
    <n v="16"/>
    <n v="9660"/>
    <n v="0"/>
    <n v="9660"/>
    <n v="1260"/>
    <n v="8400"/>
    <s v="Cash"/>
    <n v="572"/>
    <s v="Flat Discount"/>
    <d v="2025-01-05T00:00:00"/>
    <s v=""/>
    <x v="0"/>
    <s v="Mineral"/>
    <x v="0"/>
    <x v="0"/>
    <x v="4"/>
    <n v="0"/>
    <x v="3"/>
    <n v="6666.5999999999995"/>
    <n v="1733.4000000000005"/>
    <s v="O-45662-D-0004"/>
    <x v="0"/>
  </r>
  <r>
    <s v="F-103"/>
    <x v="0"/>
    <s v="D-0004"/>
    <x v="0"/>
    <s v="Konabari Gazipur "/>
    <s v="01711784707"/>
    <x v="0"/>
    <s v="Abdul Matin"/>
    <x v="0"/>
    <s v="Konabari"/>
    <x v="11"/>
    <s v="7100 4T 10W30 ESTER CORE®"/>
    <n v="40"/>
    <n v="1260"/>
    <n v="48"/>
    <n v="0"/>
    <n v="0"/>
    <n v="1260"/>
    <n v="40"/>
    <n v="48"/>
    <n v="50400"/>
    <n v="0"/>
    <n v="50400"/>
    <n v="6573.913043478261"/>
    <n v="43826.086956521736"/>
    <s v="Cash"/>
    <n v="572"/>
    <s v="Flat Discount"/>
    <d v="2025-01-05T00:00:00"/>
    <s v=""/>
    <x v="0"/>
    <s v="Synthetic"/>
    <x v="0"/>
    <x v="0"/>
    <x v="3"/>
    <n v="0"/>
    <x v="1"/>
    <n v="31092"/>
    <n v="12734.086956521736"/>
    <s v="O-45662-D-0004"/>
    <x v="0"/>
  </r>
  <r>
    <s v="F-103"/>
    <x v="0"/>
    <s v="D-0004"/>
    <x v="0"/>
    <s v="Konabari Gazipur "/>
    <s v="01711784707"/>
    <x v="0"/>
    <s v="Abdul Matin"/>
    <x v="0"/>
    <s v="Konabari"/>
    <x v="12"/>
    <s v="3000 4T 20W50"/>
    <n v="100"/>
    <n v="480"/>
    <n v="100"/>
    <n v="0"/>
    <n v="0"/>
    <n v="480"/>
    <n v="100"/>
    <n v="100"/>
    <n v="48000"/>
    <n v="0"/>
    <n v="48000"/>
    <n v="6260.869565217391"/>
    <n v="41739.130434782608"/>
    <s v="Cash"/>
    <n v="572"/>
    <s v="Flat Discount"/>
    <d v="2025-01-05T00:00:00"/>
    <s v=""/>
    <x v="0"/>
    <s v="Mineral"/>
    <x v="0"/>
    <x v="3"/>
    <x v="0"/>
    <n v="0"/>
    <x v="0"/>
    <n v="36492"/>
    <n v="5247.1304347826081"/>
    <s v="O-45662-D-0004"/>
    <x v="0"/>
  </r>
  <r>
    <s v="F-104"/>
    <x v="1"/>
    <s v="D-0018"/>
    <x v="1"/>
    <s v="Chowmuni, Agrabad, Chittagong "/>
    <s v="0 18 5934 8871"/>
    <x v="1"/>
    <s v="Razur Rahman (Bipul)"/>
    <x v="1"/>
    <s v="Kadamtoli"/>
    <x v="13"/>
    <s v="Brake Fluid DOT 4"/>
    <n v="80"/>
    <n v="150"/>
    <n v="8"/>
    <n v="0.18"/>
    <n v="0"/>
    <n v="123"/>
    <n v="80"/>
    <n v="8"/>
    <n v="9840"/>
    <n v="0"/>
    <n v="9840"/>
    <n v="1283.4782608695652"/>
    <n v="8556.5217391304341"/>
    <s v="Cash"/>
    <n v="573"/>
    <s v="Regular"/>
    <d v="2025-01-07T00:00:00"/>
    <s v=""/>
    <x v="1"/>
    <s v="Care Products"/>
    <x v="1"/>
    <x v="4"/>
    <x v="5"/>
    <n v="0"/>
    <x v="4"/>
    <n v="5788"/>
    <n v="2768.5217391304341"/>
    <s v="O-45658-D-0018"/>
    <x v="0"/>
  </r>
  <r>
    <s v="F-105"/>
    <x v="0"/>
    <s v="D-0018"/>
    <x v="2"/>
    <s v="Sadar, Lakhipur(Laxmipur)"/>
    <s v="01719-176998"/>
    <x v="1"/>
    <s v="Razur Rahman (Bipul)"/>
    <x v="1"/>
    <s v="Kadamtoli"/>
    <x v="8"/>
    <s v="7100 4T 10W40 ESTER CORE®"/>
    <n v="60"/>
    <n v="1055"/>
    <n v="60"/>
    <n v="0"/>
    <n v="0"/>
    <n v="1055"/>
    <n v="60"/>
    <n v="60"/>
    <n v="63300"/>
    <n v="0"/>
    <n v="63300"/>
    <n v="8256.5217391304341"/>
    <n v="55043.478260869568"/>
    <s v="Cash"/>
    <n v="574"/>
    <s v="Flat Discount"/>
    <d v="2025-01-07T00:00:00"/>
    <s v=""/>
    <x v="1"/>
    <s v="Synthetic"/>
    <x v="0"/>
    <x v="2"/>
    <x v="3"/>
    <n v="0"/>
    <x v="2"/>
    <n v="41639.4"/>
    <n v="13404.078260869566"/>
    <s v="O-45662-D-0018"/>
    <x v="0"/>
  </r>
  <r>
    <s v="F-106"/>
    <x v="2"/>
    <s v="D-0018"/>
    <x v="3"/>
    <s v="Feni"/>
    <s v="0 18 3110 9784"/>
    <x v="1"/>
    <s v="Razur Rahman (Bipul)"/>
    <x v="1"/>
    <s v="Kadamtoli"/>
    <x v="0"/>
    <s v="3000 4T PLUS 10W30"/>
    <n v="20"/>
    <n v="530"/>
    <n v="20"/>
    <n v="0"/>
    <n v="0"/>
    <n v="530"/>
    <n v="20"/>
    <n v="20"/>
    <n v="10600"/>
    <n v="0"/>
    <n v="10600"/>
    <n v="1382.608695652174"/>
    <n v="9217.391304347826"/>
    <s v="Cash"/>
    <n v="575"/>
    <s v="Flat Discount"/>
    <d v="2025-01-07T00:00:00"/>
    <s v=""/>
    <x v="1"/>
    <s v="Mineral"/>
    <x v="0"/>
    <x v="0"/>
    <x v="0"/>
    <n v="0"/>
    <x v="0"/>
    <n v="7586.5999999999995"/>
    <n v="1630.7913043478266"/>
    <s v="O-45663-D-0018"/>
    <x v="0"/>
  </r>
  <r>
    <s v="F-106"/>
    <x v="2"/>
    <s v="D-0018"/>
    <x v="3"/>
    <s v="Feni"/>
    <s v="0 18 3110 9784"/>
    <x v="1"/>
    <s v="Razur Rahman (Bipul)"/>
    <x v="1"/>
    <s v="Kadamtoli"/>
    <x v="1"/>
    <s v="3000 4T PLUS 20W40"/>
    <n v="20"/>
    <n v="530"/>
    <n v="20"/>
    <n v="0"/>
    <n v="0"/>
    <n v="530"/>
    <n v="20"/>
    <n v="20"/>
    <n v="10600"/>
    <n v="0"/>
    <n v="10600"/>
    <n v="1382.608695652174"/>
    <n v="9217.391304347826"/>
    <s v="Cash"/>
    <n v="575"/>
    <s v="Flat Discount"/>
    <d v="2025-01-07T00:00:00"/>
    <s v=""/>
    <x v="1"/>
    <s v="Mineral"/>
    <x v="0"/>
    <x v="1"/>
    <x v="0"/>
    <n v="0"/>
    <x v="0"/>
    <n v="8255.2000000000007"/>
    <n v="962.19130434782528"/>
    <s v="O-45663-D-0018"/>
    <x v="0"/>
  </r>
  <r>
    <s v="F-106"/>
    <x v="2"/>
    <s v="D-0018"/>
    <x v="3"/>
    <s v="Feni"/>
    <s v="0 18 3110 9784"/>
    <x v="1"/>
    <s v="Razur Rahman (Bipul)"/>
    <x v="1"/>
    <s v="Kadamtoli"/>
    <x v="2"/>
    <s v="3000 4T PLUS 10W40"/>
    <n v="80"/>
    <n v="535"/>
    <n v="80"/>
    <n v="0"/>
    <n v="0"/>
    <n v="535"/>
    <n v="80"/>
    <n v="80"/>
    <n v="42800"/>
    <n v="0"/>
    <n v="42800"/>
    <n v="5582.608695652174"/>
    <n v="37217.391304347824"/>
    <s v="Cash"/>
    <n v="575"/>
    <s v="Flat Discount"/>
    <d v="2025-01-07T00:00:00"/>
    <s v=""/>
    <x v="1"/>
    <s v="Mineral"/>
    <x v="0"/>
    <x v="2"/>
    <x v="0"/>
    <n v="0"/>
    <x v="0"/>
    <n v="30788"/>
    <n v="6429.3913043478242"/>
    <s v="O-45663-D-0018"/>
    <x v="0"/>
  </r>
  <r>
    <s v="F-106"/>
    <x v="2"/>
    <s v="D-0018"/>
    <x v="3"/>
    <s v="Feni"/>
    <s v="0 18 3110 9784"/>
    <x v="1"/>
    <s v="Razur Rahman (Bipul)"/>
    <x v="1"/>
    <s v="Kadamtoli"/>
    <x v="3"/>
    <s v="3000 4T PLUS 10W30"/>
    <n v="40"/>
    <n v="640"/>
    <n v="48"/>
    <n v="0"/>
    <n v="0"/>
    <n v="640"/>
    <n v="40"/>
    <n v="48"/>
    <n v="25600"/>
    <n v="0"/>
    <n v="25600"/>
    <n v="3339.1304347826085"/>
    <n v="22260.869565217392"/>
    <s v="Cash"/>
    <n v="575"/>
    <s v="Flat Discount"/>
    <d v="2025-01-07T00:00:00"/>
    <s v=""/>
    <x v="1"/>
    <s v="Mineral"/>
    <x v="0"/>
    <x v="0"/>
    <x v="0"/>
    <n v="0"/>
    <x v="1"/>
    <n v="17556"/>
    <n v="4704.8695652173919"/>
    <s v="O-45663-D-0018"/>
    <x v="0"/>
  </r>
  <r>
    <s v="F-107"/>
    <x v="2"/>
    <s v="D-0018"/>
    <x v="4"/>
    <s v="Agrabad, Chittagong "/>
    <s v="+880 19 7044 9095"/>
    <x v="1"/>
    <s v="Razur Rahman (Bipul)"/>
    <x v="1"/>
    <s v="Kadamtoli"/>
    <x v="8"/>
    <s v="7100 4T 10W40 ESTER CORE®"/>
    <n v="180"/>
    <n v="1070"/>
    <n v="180"/>
    <n v="0"/>
    <n v="0"/>
    <n v="1070"/>
    <n v="180"/>
    <n v="180"/>
    <n v="192600"/>
    <n v="0"/>
    <n v="192600"/>
    <n v="25121.739130434784"/>
    <n v="167478.26086956522"/>
    <s v="Cash"/>
    <n v="576"/>
    <s v="Flat Discount"/>
    <d v="2025-01-07T00:00:00"/>
    <s v=""/>
    <x v="1"/>
    <s v="Synthetic"/>
    <x v="0"/>
    <x v="2"/>
    <x v="3"/>
    <n v="0"/>
    <x v="2"/>
    <n v="124918.2"/>
    <n v="42560.060869565219"/>
    <s v="O-45663-D-0018"/>
    <x v="0"/>
  </r>
  <r>
    <s v="F-108"/>
    <x v="3"/>
    <s v="D-0027"/>
    <x v="5"/>
    <s v="Dhaka"/>
    <s v=""/>
    <x v="2"/>
    <s v="Captive Sales"/>
    <x v="2"/>
    <s v="Dhaka"/>
    <x v="14"/>
    <s v="8100 X.Max 0W40"/>
    <n v="52"/>
    <n v="3000"/>
    <n v="208"/>
    <n v="0"/>
    <n v="0"/>
    <n v="3000"/>
    <n v="52"/>
    <n v="208"/>
    <n v="156000"/>
    <n v="0"/>
    <n v="156000"/>
    <n v="20347.82608695652"/>
    <n v="135652.17391304349"/>
    <s v=""/>
    <n v="577"/>
    <s v="Flat Discount"/>
    <d v="2025-01-07T00:00:00"/>
    <s v=""/>
    <x v="2"/>
    <s v="Synthetic"/>
    <x v="2"/>
    <x v="5"/>
    <x v="6"/>
    <n v="0"/>
    <x v="5"/>
    <n v="152670.44"/>
    <n v="-17018.266086956515"/>
    <s v="O-45664-D-0027"/>
    <x v="0"/>
  </r>
  <r>
    <s v="F-109"/>
    <x v="2"/>
    <s v="D-0014"/>
    <x v="6"/>
    <s v="Kautoli, Brahmanbaria"/>
    <s v="01731-963787"/>
    <x v="3"/>
    <s v="Razur Rahman (Bipul)"/>
    <x v="3"/>
    <s v="Paduar Bazar Bisso Road"/>
    <x v="2"/>
    <s v="3000 4T PLUS 10W40"/>
    <n v="20"/>
    <n v="535"/>
    <n v="20"/>
    <n v="0"/>
    <n v="0"/>
    <n v="535"/>
    <n v="20"/>
    <n v="20"/>
    <n v="10700"/>
    <n v="0"/>
    <n v="10700"/>
    <n v="1395.6521739130435"/>
    <n v="9304.347826086956"/>
    <s v="Cash"/>
    <n v="578"/>
    <s v="Flat Discount"/>
    <d v="2025-01-08T00:00:00"/>
    <s v=""/>
    <x v="1"/>
    <s v="Mineral"/>
    <x v="0"/>
    <x v="2"/>
    <x v="0"/>
    <n v="0"/>
    <x v="0"/>
    <n v="7697"/>
    <n v="1607.347826086956"/>
    <s v="O-45663-D-0014"/>
    <x v="0"/>
  </r>
  <r>
    <s v="F-109"/>
    <x v="2"/>
    <s v="D-0014"/>
    <x v="6"/>
    <s v="Kautoli, Brahmanbaria"/>
    <s v="01731-963787"/>
    <x v="3"/>
    <s v="Razur Rahman (Bipul)"/>
    <x v="3"/>
    <s v="Paduar Bazar Bisso Road"/>
    <x v="3"/>
    <s v="3000 4T PLUS 10W30"/>
    <n v="20"/>
    <n v="640"/>
    <n v="24"/>
    <n v="0"/>
    <n v="0"/>
    <n v="640"/>
    <n v="20"/>
    <n v="24"/>
    <n v="12800"/>
    <n v="0"/>
    <n v="12800"/>
    <n v="1669.5652173913043"/>
    <n v="11130.434782608696"/>
    <s v="Cash"/>
    <n v="578"/>
    <s v="Flat Discount"/>
    <d v="2025-01-08T00:00:00"/>
    <s v=""/>
    <x v="1"/>
    <s v="Mineral"/>
    <x v="0"/>
    <x v="0"/>
    <x v="0"/>
    <n v="0"/>
    <x v="1"/>
    <n v="8778"/>
    <n v="2352.434782608696"/>
    <s v="O-45663-D-0014"/>
    <x v="0"/>
  </r>
  <r>
    <s v="F-109"/>
    <x v="2"/>
    <s v="D-0014"/>
    <x v="6"/>
    <s v="Kautoli, Brahmanbaria"/>
    <s v="01731-963787"/>
    <x v="3"/>
    <s v="Razur Rahman (Bipul)"/>
    <x v="3"/>
    <s v="Paduar Bazar Bisso Road"/>
    <x v="8"/>
    <s v="7100 4T 10W40 ESTER CORE®"/>
    <n v="12"/>
    <n v="1070"/>
    <n v="12"/>
    <n v="0"/>
    <n v="0"/>
    <n v="1070"/>
    <n v="12"/>
    <n v="12"/>
    <n v="12840"/>
    <n v="0"/>
    <n v="12840"/>
    <n v="1674.7826086956522"/>
    <n v="11165.217391304348"/>
    <s v="Cash"/>
    <n v="578"/>
    <s v="Flat Discount"/>
    <d v="2025-01-08T00:00:00"/>
    <s v=""/>
    <x v="1"/>
    <s v="Synthetic"/>
    <x v="0"/>
    <x v="2"/>
    <x v="3"/>
    <n v="0"/>
    <x v="2"/>
    <n v="8327.880000000001"/>
    <n v="2837.337391304347"/>
    <s v="O-45663-D-0014"/>
    <x v="0"/>
  </r>
  <r>
    <s v="F-110"/>
    <x v="2"/>
    <s v="D-0018"/>
    <x v="7"/>
    <s v="Halisohor,Chittagong"/>
    <s v="+880 16 7387 6255"/>
    <x v="1"/>
    <s v="Razur Rahman (Bipul)"/>
    <x v="1"/>
    <s v="Kadamtoli"/>
    <x v="0"/>
    <s v="3000 4T PLUS 10W30"/>
    <n v="80"/>
    <n v="530"/>
    <n v="80"/>
    <n v="0"/>
    <n v="0"/>
    <n v="530"/>
    <n v="80"/>
    <n v="80"/>
    <n v="42400"/>
    <n v="0"/>
    <n v="42400"/>
    <n v="5530.434782608696"/>
    <n v="36869.565217391304"/>
    <s v="Cash"/>
    <n v="579"/>
    <s v="Flat Discount"/>
    <d v="2025-01-08T00:00:00"/>
    <s v=""/>
    <x v="1"/>
    <s v="Mineral"/>
    <x v="0"/>
    <x v="0"/>
    <x v="0"/>
    <n v="0"/>
    <x v="0"/>
    <n v="30346.399999999998"/>
    <n v="6523.1652173913062"/>
    <s v="O-45663-D-0018"/>
    <x v="0"/>
  </r>
  <r>
    <s v="F-110"/>
    <x v="2"/>
    <s v="D-0018"/>
    <x v="7"/>
    <s v="Halisohor,Chittagong"/>
    <s v="+880 16 7387 6255"/>
    <x v="1"/>
    <s v="Razur Rahman (Bipul)"/>
    <x v="1"/>
    <s v="Kadamtoli"/>
    <x v="2"/>
    <s v="3000 4T PLUS 10W40"/>
    <n v="40"/>
    <n v="535"/>
    <n v="40"/>
    <n v="0"/>
    <n v="0"/>
    <n v="535"/>
    <n v="40"/>
    <n v="40"/>
    <n v="21400"/>
    <n v="0"/>
    <n v="21400"/>
    <n v="2791.304347826087"/>
    <n v="18608.695652173912"/>
    <s v="Cash"/>
    <n v="579"/>
    <s v="Flat Discount"/>
    <d v="2025-01-08T00:00:00"/>
    <s v=""/>
    <x v="1"/>
    <s v="Mineral"/>
    <x v="0"/>
    <x v="2"/>
    <x v="0"/>
    <n v="0"/>
    <x v="0"/>
    <n v="15394"/>
    <n v="3214.6956521739121"/>
    <s v="O-45663-D-0018"/>
    <x v="0"/>
  </r>
  <r>
    <s v="F-110"/>
    <x v="2"/>
    <s v="D-0018"/>
    <x v="7"/>
    <s v="Halisohor,Chittagong"/>
    <s v="+880 16 7387 6255"/>
    <x v="1"/>
    <s v="Razur Rahman (Bipul)"/>
    <x v="1"/>
    <s v="Kadamtoli"/>
    <x v="8"/>
    <s v="7100 4T 10W40 ESTER CORE®"/>
    <n v="60"/>
    <n v="1070"/>
    <n v="60"/>
    <n v="0"/>
    <n v="0"/>
    <n v="1070"/>
    <n v="60"/>
    <n v="60"/>
    <n v="64200"/>
    <n v="0"/>
    <n v="64200"/>
    <n v="8373.9130434782601"/>
    <n v="55826.086956521736"/>
    <s v="Cash"/>
    <n v="579"/>
    <s v="Flat Discount"/>
    <d v="2025-01-08T00:00:00"/>
    <s v=""/>
    <x v="1"/>
    <s v="Synthetic"/>
    <x v="0"/>
    <x v="2"/>
    <x v="3"/>
    <n v="0"/>
    <x v="2"/>
    <n v="41639.4"/>
    <n v="14186.686956521735"/>
    <s v="O-45663-D-0018"/>
    <x v="0"/>
  </r>
  <r>
    <s v="F-111"/>
    <x v="0"/>
    <s v="D-0018"/>
    <x v="8"/>
    <s v="Naiorpol, Sylhet"/>
    <s v="01925-707502"/>
    <x v="1"/>
    <s v="Razur Rahman (Bipul)"/>
    <x v="1"/>
    <s v="Kadamtoli"/>
    <x v="2"/>
    <s v="3000 4T PLUS 10W40"/>
    <n v="100"/>
    <n v="530"/>
    <n v="100"/>
    <n v="0"/>
    <n v="0"/>
    <n v="530"/>
    <n v="100"/>
    <n v="100"/>
    <n v="53000"/>
    <n v="0"/>
    <n v="53000"/>
    <n v="6913.04347826087"/>
    <n v="46086.956521739128"/>
    <s v="Cash"/>
    <n v="580"/>
    <s v="Flat Discount"/>
    <d v="2025-01-08T00:00:00"/>
    <s v=""/>
    <x v="1"/>
    <s v="Mineral"/>
    <x v="0"/>
    <x v="2"/>
    <x v="0"/>
    <n v="0"/>
    <x v="0"/>
    <n v="38485"/>
    <n v="7601.9565217391282"/>
    <s v="O-45662-D-0018"/>
    <x v="0"/>
  </r>
  <r>
    <s v="F-112"/>
    <x v="3"/>
    <s v="D-0010"/>
    <x v="9"/>
    <s v="Chowmuhoni"/>
    <s v="01710-639669"/>
    <x v="3"/>
    <s v="Razur Rahman (Bipul)"/>
    <x v="4"/>
    <s v="Chowmuhoni"/>
    <x v="2"/>
    <s v="3000 4T PLUS 10W40"/>
    <n v="60"/>
    <n v="535"/>
    <n v="60"/>
    <m/>
    <n v="0"/>
    <n v="535"/>
    <n v="60"/>
    <n v="60"/>
    <n v="32100"/>
    <n v="0"/>
    <n v="32100"/>
    <n v="4186.95652173913"/>
    <n v="27913.043478260868"/>
    <s v="Cash"/>
    <n v="581"/>
    <s v="Flat Discount"/>
    <d v="2025-01-08T00:00:00"/>
    <s v="7tk dis/ltr 20w50"/>
    <x v="1"/>
    <s v="Mineral"/>
    <x v="0"/>
    <x v="2"/>
    <x v="0"/>
    <n v="0"/>
    <x v="0"/>
    <n v="23091"/>
    <n v="4822.0434782608681"/>
    <s v="O-45664-D-0010"/>
    <x v="0"/>
  </r>
  <r>
    <s v="F-112"/>
    <x v="3"/>
    <s v="D-0010"/>
    <x v="9"/>
    <s v="Chowmuhoni"/>
    <s v="01710-639669"/>
    <x v="3"/>
    <s v="Razur Rahman (Bipul)"/>
    <x v="4"/>
    <s v="Chowmuhoni"/>
    <x v="3"/>
    <s v="3000 4T PLUS 10W30"/>
    <n v="40"/>
    <n v="640"/>
    <n v="48"/>
    <m/>
    <n v="0"/>
    <n v="640"/>
    <n v="40"/>
    <n v="48"/>
    <n v="25600"/>
    <n v="0"/>
    <n v="25600"/>
    <n v="3339.1304347826085"/>
    <n v="22260.869565217392"/>
    <s v="Cash"/>
    <n v="581"/>
    <s v="Flat Discount"/>
    <d v="2025-01-08T00:00:00"/>
    <s v="7tk dis/ltr 20w50"/>
    <x v="1"/>
    <s v="Mineral"/>
    <x v="0"/>
    <x v="0"/>
    <x v="0"/>
    <n v="0"/>
    <x v="1"/>
    <n v="17556"/>
    <n v="4704.8695652173919"/>
    <s v="O-45664-D-0010"/>
    <x v="0"/>
  </r>
  <r>
    <s v="F-112"/>
    <x v="3"/>
    <s v="D-0010"/>
    <x v="9"/>
    <s v="Chowmuhoni"/>
    <s v="01710-639669"/>
    <x v="3"/>
    <s v="Razur Rahman (Bipul)"/>
    <x v="4"/>
    <s v="Chowmuhoni"/>
    <x v="4"/>
    <s v="3000 4T PLUS 20W40"/>
    <n v="20"/>
    <n v="640"/>
    <n v="24"/>
    <m/>
    <n v="0"/>
    <n v="640"/>
    <n v="20"/>
    <n v="24"/>
    <n v="12800"/>
    <n v="0"/>
    <n v="12800"/>
    <n v="1669.5652173913043"/>
    <n v="11130.434782608696"/>
    <s v="Cash"/>
    <n v="581"/>
    <s v="Flat Discount"/>
    <d v="2025-01-08T00:00:00"/>
    <s v="7tk dis/ltr 20w50"/>
    <x v="1"/>
    <s v="Mineral"/>
    <x v="0"/>
    <x v="1"/>
    <x v="0"/>
    <n v="0"/>
    <x v="1"/>
    <n v="9397.9559070121941"/>
    <n v="1732.4788755965019"/>
    <s v="O-45664-D-0010"/>
    <x v="0"/>
  </r>
  <r>
    <s v="F-112"/>
    <x v="3"/>
    <s v="D-0010"/>
    <x v="9"/>
    <s v="Chowmuhoni"/>
    <s v="01710-639669"/>
    <x v="3"/>
    <s v="Razur Rahman (Bipul)"/>
    <x v="4"/>
    <s v="Chowmuhoni"/>
    <x v="8"/>
    <s v="7100 4T 10W40 ESTER CORE®"/>
    <n v="24"/>
    <n v="1070"/>
    <n v="24"/>
    <m/>
    <n v="0"/>
    <n v="1070"/>
    <n v="24"/>
    <n v="24"/>
    <n v="25680"/>
    <n v="0"/>
    <n v="25680"/>
    <n v="3349.5652173913045"/>
    <n v="22330.434782608696"/>
    <s v="Cash"/>
    <n v="581"/>
    <s v="Flat Discount"/>
    <d v="2025-01-08T00:00:00"/>
    <s v="7tk dis/ltr 20w50"/>
    <x v="1"/>
    <s v="Synthetic"/>
    <x v="0"/>
    <x v="2"/>
    <x v="3"/>
    <n v="0"/>
    <x v="2"/>
    <n v="16655.760000000002"/>
    <n v="5674.6747826086939"/>
    <s v="O-45664-D-0010"/>
    <x v="0"/>
  </r>
  <r>
    <s v="F-112"/>
    <x v="3"/>
    <s v="D-0010"/>
    <x v="9"/>
    <s v="Chowmuhoni"/>
    <s v="01710-639669"/>
    <x v="3"/>
    <s v="Razur Rahman (Bipul)"/>
    <x v="4"/>
    <s v="Chowmuhoni"/>
    <x v="12"/>
    <s v="3000 4T 20W50"/>
    <n v="100"/>
    <n v="487.47500000000002"/>
    <n v="100"/>
    <m/>
    <n v="0"/>
    <n v="487.47500000000002"/>
    <n v="100"/>
    <n v="100"/>
    <n v="48747.5"/>
    <n v="0"/>
    <n v="48747.5"/>
    <n v="6358.369565217391"/>
    <n v="42389.130434782608"/>
    <s v="Cash"/>
    <n v="581"/>
    <s v="Flat Discount"/>
    <d v="2025-01-08T00:00:00"/>
    <s v="7tk dis/ltr 20w50"/>
    <x v="1"/>
    <s v="Mineral"/>
    <x v="0"/>
    <x v="3"/>
    <x v="0"/>
    <n v="0"/>
    <x v="0"/>
    <n v="36492"/>
    <n v="5897.1304347826081"/>
    <s v="O-45664-D-0010"/>
    <x v="0"/>
  </r>
  <r>
    <s v="F-112"/>
    <x v="3"/>
    <s v="D-0010"/>
    <x v="9"/>
    <s v="Chowmuhoni"/>
    <s v="01710-639669"/>
    <x v="3"/>
    <s v="Razur Rahman (Bipul)"/>
    <x v="4"/>
    <s v="Chowmuhoni"/>
    <x v="15"/>
    <s v="3000 4T 20W50"/>
    <n v="60"/>
    <n v="587.47500000000002"/>
    <n v="72"/>
    <m/>
    <n v="0"/>
    <n v="587.47500000000002"/>
    <n v="60"/>
    <n v="72"/>
    <n v="35248.5"/>
    <n v="0"/>
    <n v="35248.5"/>
    <n v="4597.630434782609"/>
    <n v="30650.869565217392"/>
    <s v="Cash"/>
    <n v="581"/>
    <s v="Flat Discount"/>
    <d v="2025-01-08T00:00:00"/>
    <s v="7tk dis/ltr 20w50"/>
    <x v="1"/>
    <s v="Mineral"/>
    <x v="0"/>
    <x v="3"/>
    <x v="0"/>
    <n v="0"/>
    <x v="1"/>
    <n v="26076.600000000002"/>
    <n v="4574.2695652173898"/>
    <s v="O-45664-D-0010"/>
    <x v="0"/>
  </r>
  <r>
    <s v="F-113"/>
    <x v="3"/>
    <s v="D-0018"/>
    <x v="10"/>
    <s v="Bandarban, Chittagong "/>
    <s v="0 18 2286 7696"/>
    <x v="1"/>
    <s v="Razur Rahman (Bipul)"/>
    <x v="1"/>
    <s v="Kadamtoli"/>
    <x v="1"/>
    <s v="3000 4T PLUS 20W40"/>
    <n v="40"/>
    <n v="530"/>
    <n v="40"/>
    <n v="0"/>
    <n v="0"/>
    <n v="530"/>
    <n v="40"/>
    <n v="40"/>
    <n v="21200"/>
    <n v="0"/>
    <n v="21200"/>
    <n v="2765.217391304348"/>
    <n v="18434.782608695652"/>
    <s v="Cash"/>
    <n v="582"/>
    <s v="Flat Discount"/>
    <d v="2025-01-08T00:00:00"/>
    <s v=""/>
    <x v="1"/>
    <s v="Mineral"/>
    <x v="0"/>
    <x v="1"/>
    <x v="0"/>
    <n v="0"/>
    <x v="0"/>
    <n v="16510.400000000001"/>
    <n v="1924.3826086956506"/>
    <s v="O-45664-D-0018"/>
    <x v="0"/>
  </r>
  <r>
    <s v="F-114"/>
    <x v="3"/>
    <s v="D-0012"/>
    <x v="11"/>
    <s v="Shoriatpur"/>
    <s v="01680048492"/>
    <x v="4"/>
    <s v="Abdul Matin"/>
    <x v="5"/>
    <s v="Sariyatpur Sadar"/>
    <x v="16"/>
    <s v="Fork Oil Expert"/>
    <n v="100"/>
    <n v="246"/>
    <n v="35"/>
    <m/>
    <n v="0"/>
    <n v="246"/>
    <n v="100"/>
    <n v="35"/>
    <n v="24600"/>
    <n v="0"/>
    <n v="24600"/>
    <n v="3208.695652173913"/>
    <n v="21391.304347826088"/>
    <s v="Cash"/>
    <n v="583"/>
    <s v="Flat Discount"/>
    <d v="2025-01-08T00:00:00"/>
    <s v="18 % discount"/>
    <x v="0"/>
    <s v="Care Products"/>
    <x v="1"/>
    <x v="4"/>
    <x v="7"/>
    <n v="0"/>
    <x v="6"/>
    <n v="16471"/>
    <n v="4920.3043478260879"/>
    <s v="O-45664-D-0012"/>
    <x v="0"/>
  </r>
  <r>
    <s v="F-115"/>
    <x v="3"/>
    <s v="D-0004"/>
    <x v="0"/>
    <s v="Konabari Gazipur "/>
    <s v="01711784707"/>
    <x v="0"/>
    <s v="Abdul Matin"/>
    <x v="0"/>
    <s v="Konabari"/>
    <x v="0"/>
    <s v="3000 4T PLUS 10W30"/>
    <n v="600"/>
    <n v="525"/>
    <n v="600"/>
    <n v="0"/>
    <n v="0"/>
    <n v="525"/>
    <n v="600"/>
    <n v="600"/>
    <n v="315000"/>
    <n v="0"/>
    <n v="315000"/>
    <n v="41086.956521739128"/>
    <n v="273913.04347826086"/>
    <s v=""/>
    <n v="584"/>
    <s v="Flat Discount"/>
    <d v="2025-01-08T00:00:00"/>
    <s v=""/>
    <x v="0"/>
    <s v="Mineral"/>
    <x v="0"/>
    <x v="0"/>
    <x v="0"/>
    <n v="0"/>
    <x v="0"/>
    <n v="227598"/>
    <n v="46315.043478260865"/>
    <s v="O-45664-D-0004"/>
    <x v="0"/>
  </r>
  <r>
    <s v="F-115"/>
    <x v="3"/>
    <s v="D-0004"/>
    <x v="0"/>
    <s v="Konabari Gazipur "/>
    <s v="01711784707"/>
    <x v="0"/>
    <s v="Abdul Matin"/>
    <x v="0"/>
    <s v="Konabari"/>
    <x v="1"/>
    <s v="3000 4T PLUS 20W40"/>
    <n v="200"/>
    <n v="525"/>
    <n v="200"/>
    <n v="0"/>
    <n v="0"/>
    <n v="525"/>
    <n v="200"/>
    <n v="200"/>
    <n v="105000"/>
    <n v="0"/>
    <n v="105000"/>
    <n v="13695.652173913044"/>
    <n v="91304.34782608696"/>
    <s v=""/>
    <n v="584"/>
    <s v="Flat Discount"/>
    <d v="2025-01-08T00:00:00"/>
    <s v=""/>
    <x v="0"/>
    <s v="Mineral"/>
    <x v="0"/>
    <x v="1"/>
    <x v="0"/>
    <n v="0"/>
    <x v="0"/>
    <n v="82552"/>
    <n v="8752.3478260869597"/>
    <s v="O-45664-D-0004"/>
    <x v="0"/>
  </r>
  <r>
    <s v="F-115"/>
    <x v="3"/>
    <s v="D-0004"/>
    <x v="0"/>
    <s v="Konabari Gazipur "/>
    <s v="01711784707"/>
    <x v="0"/>
    <s v="Abdul Matin"/>
    <x v="0"/>
    <s v="Konabari"/>
    <x v="2"/>
    <s v="3000 4T PLUS 10W40"/>
    <n v="1600"/>
    <n v="525"/>
    <n v="1600"/>
    <n v="0"/>
    <n v="0"/>
    <n v="525"/>
    <n v="1600"/>
    <n v="1600"/>
    <n v="840000"/>
    <n v="0"/>
    <n v="840000"/>
    <n v="109565.21739130435"/>
    <n v="730434.78260869568"/>
    <s v=""/>
    <n v="584"/>
    <s v="Flat Discount"/>
    <d v="2025-01-08T00:00:00"/>
    <s v=""/>
    <x v="0"/>
    <s v="Mineral"/>
    <x v="0"/>
    <x v="2"/>
    <x v="0"/>
    <n v="0"/>
    <x v="0"/>
    <n v="615760"/>
    <n v="114674.78260869568"/>
    <s v="O-45664-D-0004"/>
    <x v="0"/>
  </r>
  <r>
    <s v="F-115"/>
    <x v="3"/>
    <s v="D-0004"/>
    <x v="0"/>
    <s v="Konabari Gazipur "/>
    <s v="01711784707"/>
    <x v="0"/>
    <s v="Abdul Matin"/>
    <x v="0"/>
    <s v="Konabari"/>
    <x v="3"/>
    <s v="3000 4T PLUS 10W30"/>
    <n v="700"/>
    <n v="640"/>
    <n v="840"/>
    <n v="0"/>
    <n v="0"/>
    <n v="640"/>
    <n v="700"/>
    <n v="840"/>
    <n v="448000"/>
    <n v="0"/>
    <n v="448000"/>
    <n v="58434.782608695656"/>
    <n v="389565.21739130432"/>
    <s v=""/>
    <n v="584"/>
    <s v="Flat Discount"/>
    <d v="2025-01-08T00:00:00"/>
    <s v=""/>
    <x v="0"/>
    <s v="Mineral"/>
    <x v="0"/>
    <x v="0"/>
    <x v="0"/>
    <n v="0"/>
    <x v="1"/>
    <n v="307230"/>
    <n v="82335.217391304323"/>
    <s v="O-45664-D-0004"/>
    <x v="0"/>
  </r>
  <r>
    <s v="F-115"/>
    <x v="3"/>
    <s v="D-0004"/>
    <x v="0"/>
    <s v="Konabari Gazipur "/>
    <s v="01711784707"/>
    <x v="0"/>
    <s v="Abdul Matin"/>
    <x v="0"/>
    <s v="Konabari"/>
    <x v="4"/>
    <s v="3000 4T PLUS 20W40"/>
    <n v="400"/>
    <n v="640"/>
    <n v="480"/>
    <n v="0"/>
    <n v="0"/>
    <n v="640"/>
    <n v="400"/>
    <n v="480"/>
    <n v="256000"/>
    <n v="0"/>
    <n v="256000"/>
    <n v="33391.304347826088"/>
    <n v="222608.69565217392"/>
    <s v=""/>
    <n v="584"/>
    <s v="Flat Discount"/>
    <d v="2025-01-08T00:00:00"/>
    <s v=""/>
    <x v="0"/>
    <s v="Mineral"/>
    <x v="0"/>
    <x v="1"/>
    <x v="0"/>
    <n v="0"/>
    <x v="1"/>
    <n v="187959.1181402439"/>
    <n v="34649.577511930023"/>
    <s v="O-45664-D-0004"/>
    <x v="0"/>
  </r>
  <r>
    <s v="F-115"/>
    <x v="3"/>
    <s v="D-0004"/>
    <x v="0"/>
    <s v="Konabari Gazipur "/>
    <s v="01711784707"/>
    <x v="0"/>
    <s v="Abdul Matin"/>
    <x v="0"/>
    <s v="Konabari"/>
    <x v="7"/>
    <s v="7100 4T 10W30 ESTER CORE®"/>
    <n v="24"/>
    <n v="1050"/>
    <n v="24"/>
    <n v="0"/>
    <n v="0"/>
    <n v="1050"/>
    <n v="24"/>
    <n v="24"/>
    <n v="25200"/>
    <n v="0"/>
    <n v="25200"/>
    <n v="3286.9565217391305"/>
    <n v="21913.043478260868"/>
    <s v=""/>
    <n v="584"/>
    <s v="Flat Discount"/>
    <d v="2025-01-08T00:00:00"/>
    <s v=""/>
    <x v="0"/>
    <s v="Synthetic"/>
    <x v="0"/>
    <x v="0"/>
    <x v="3"/>
    <n v="0"/>
    <x v="2"/>
    <n v="16556.64"/>
    <n v="5356.4034782608687"/>
    <s v="O-45664-D-0004"/>
    <x v="0"/>
  </r>
  <r>
    <s v="F-115"/>
    <x v="3"/>
    <s v="D-0004"/>
    <x v="0"/>
    <s v="Konabari Gazipur "/>
    <s v="01711784707"/>
    <x v="0"/>
    <s v="Abdul Matin"/>
    <x v="0"/>
    <s v="Konabari"/>
    <x v="8"/>
    <s v="7100 4T 10W40 ESTER CORE®"/>
    <n v="780"/>
    <n v="1050"/>
    <n v="780"/>
    <n v="0"/>
    <n v="0"/>
    <n v="1050"/>
    <n v="780"/>
    <n v="780"/>
    <n v="819000"/>
    <n v="0"/>
    <n v="819000"/>
    <n v="106826.08695652174"/>
    <n v="712173.91304347827"/>
    <s v=""/>
    <n v="584"/>
    <s v="Flat Discount"/>
    <d v="2025-01-08T00:00:00"/>
    <s v=""/>
    <x v="0"/>
    <s v="Synthetic"/>
    <x v="0"/>
    <x v="2"/>
    <x v="3"/>
    <n v="0"/>
    <x v="2"/>
    <n v="541312.19999999995"/>
    <n v="170861.71304347832"/>
    <s v="O-45664-D-0004"/>
    <x v="0"/>
  </r>
  <r>
    <s v="F-115"/>
    <x v="3"/>
    <s v="D-0004"/>
    <x v="0"/>
    <s v="Konabari Gazipur "/>
    <s v="01711784707"/>
    <x v="0"/>
    <s v="Abdul Matin"/>
    <x v="0"/>
    <s v="Konabari"/>
    <x v="11"/>
    <s v="7100 4T 10W30 ESTER CORE®"/>
    <n v="40"/>
    <n v="1260"/>
    <n v="48"/>
    <n v="0"/>
    <n v="0"/>
    <n v="1260"/>
    <n v="40"/>
    <n v="48"/>
    <n v="50400"/>
    <n v="0"/>
    <n v="50400"/>
    <n v="6573.913043478261"/>
    <n v="43826.086956521736"/>
    <s v=""/>
    <n v="584"/>
    <s v="Flat Discount"/>
    <d v="2025-01-08T00:00:00"/>
    <s v=""/>
    <x v="0"/>
    <s v="Synthetic"/>
    <x v="0"/>
    <x v="0"/>
    <x v="3"/>
    <n v="0"/>
    <x v="1"/>
    <n v="31092"/>
    <n v="12734.086956521736"/>
    <s v="O-45664-D-0004"/>
    <x v="0"/>
  </r>
  <r>
    <s v="F-115"/>
    <x v="3"/>
    <s v="D-0004"/>
    <x v="0"/>
    <s v="Konabari Gazipur "/>
    <s v="01711784707"/>
    <x v="0"/>
    <s v="Abdul Matin"/>
    <x v="0"/>
    <s v="Konabari"/>
    <x v="12"/>
    <s v="3000 4T 20W50"/>
    <n v="60"/>
    <n v="480"/>
    <n v="60"/>
    <n v="0"/>
    <n v="0"/>
    <n v="480"/>
    <n v="60"/>
    <n v="60"/>
    <n v="28800"/>
    <n v="0"/>
    <n v="28800"/>
    <n v="3756.521739130435"/>
    <n v="25043.478260869564"/>
    <s v=""/>
    <n v="584"/>
    <s v="Flat Discount"/>
    <d v="2025-01-08T00:00:00"/>
    <s v=""/>
    <x v="0"/>
    <s v="Mineral"/>
    <x v="0"/>
    <x v="3"/>
    <x v="0"/>
    <n v="0"/>
    <x v="0"/>
    <n v="21895.200000000001"/>
    <n v="3148.2782608695634"/>
    <s v="O-45664-D-0004"/>
    <x v="0"/>
  </r>
  <r>
    <s v="F-115"/>
    <x v="3"/>
    <s v="D-0004"/>
    <x v="0"/>
    <s v="Konabari Gazipur "/>
    <s v="01711784707"/>
    <x v="0"/>
    <s v="Abdul Matin"/>
    <x v="0"/>
    <s v="Konabari"/>
    <x v="15"/>
    <s v="3000 4T 20W50"/>
    <n v="40"/>
    <n v="570"/>
    <n v="48"/>
    <n v="0"/>
    <n v="0"/>
    <n v="570"/>
    <n v="40"/>
    <n v="48"/>
    <n v="22800"/>
    <n v="0"/>
    <n v="22800"/>
    <n v="2973.913043478261"/>
    <n v="19826.08695652174"/>
    <s v=""/>
    <n v="584"/>
    <s v="Flat Discount"/>
    <d v="2025-01-08T00:00:00"/>
    <s v=""/>
    <x v="0"/>
    <s v="Mineral"/>
    <x v="0"/>
    <x v="3"/>
    <x v="0"/>
    <n v="0"/>
    <x v="1"/>
    <n v="17384.400000000001"/>
    <n v="2441.6869565217385"/>
    <s v="O-45664-D-0004"/>
    <x v="0"/>
  </r>
  <r>
    <s v="F-116"/>
    <x v="4"/>
    <s v="D-0015"/>
    <x v="12"/>
    <s v="26, City Corporation Market, Dayaganj, Dhaka-1100."/>
    <s v="01911563926"/>
    <x v="5"/>
    <s v="Abdul Matin"/>
    <x v="6"/>
    <s v="Wari "/>
    <x v="8"/>
    <s v="7100 4T 10W40 ESTER CORE®"/>
    <n v="2880"/>
    <n v="1050"/>
    <n v="2880"/>
    <n v="0"/>
    <n v="0"/>
    <n v="1050"/>
    <n v="2880"/>
    <n v="2880"/>
    <n v="3024000"/>
    <n v="0"/>
    <n v="3024000"/>
    <n v="394434.78260869568"/>
    <n v="2629565.2173913042"/>
    <s v=""/>
    <n v="585"/>
    <s v="Flat Discount"/>
    <d v="2025-01-09T00:00:00"/>
    <s v=""/>
    <x v="0"/>
    <s v="Synthetic"/>
    <x v="0"/>
    <x v="2"/>
    <x v="3"/>
    <n v="0"/>
    <x v="2"/>
    <n v="1998691.2"/>
    <n v="630874.01739130425"/>
    <s v="O-45666-D-0015"/>
    <x v="0"/>
  </r>
  <r>
    <s v="F-116"/>
    <x v="4"/>
    <s v="D-0015"/>
    <x v="12"/>
    <s v="26, City Corporation Market, Dayaganj, Dhaka-1100."/>
    <s v="01911563926"/>
    <x v="5"/>
    <s v="Abdul Matin"/>
    <x v="6"/>
    <s v="Wari "/>
    <x v="9"/>
    <s v="7100 4T 20W50 ESTER CORE®"/>
    <n v="240"/>
    <n v="1050"/>
    <n v="240"/>
    <n v="0"/>
    <n v="0"/>
    <n v="1050"/>
    <n v="240"/>
    <n v="240"/>
    <n v="252000"/>
    <n v="0"/>
    <n v="252000"/>
    <n v="32869.565217391304"/>
    <n v="219130.4347826087"/>
    <s v=""/>
    <n v="585"/>
    <s v="Flat Discount"/>
    <d v="2025-01-09T00:00:00"/>
    <s v=""/>
    <x v="0"/>
    <s v="Synthetic"/>
    <x v="0"/>
    <x v="3"/>
    <x v="3"/>
    <n v="0"/>
    <x v="2"/>
    <n v="183287.61600000001"/>
    <n v="35842.818782608694"/>
    <s v="O-45666-D-0015"/>
    <x v="0"/>
  </r>
  <r>
    <s v="F-116"/>
    <x v="4"/>
    <s v="D-0015"/>
    <x v="12"/>
    <s v="26, City Corporation Market, Dayaganj, Dhaka-1100."/>
    <s v="01911563926"/>
    <x v="5"/>
    <s v="Abdul Matin"/>
    <x v="6"/>
    <s v="Wari "/>
    <x v="11"/>
    <s v="7100 4T 10W30 ESTER CORE®"/>
    <n v="200"/>
    <n v="1260"/>
    <n v="240"/>
    <n v="0"/>
    <n v="0"/>
    <n v="1260"/>
    <n v="200"/>
    <n v="240"/>
    <n v="252000"/>
    <n v="0"/>
    <n v="252000"/>
    <n v="32869.565217391304"/>
    <n v="219130.4347826087"/>
    <s v=""/>
    <n v="585"/>
    <s v="Flat Discount"/>
    <d v="2025-01-09T00:00:00"/>
    <s v=""/>
    <x v="0"/>
    <s v="Synthetic"/>
    <x v="0"/>
    <x v="0"/>
    <x v="3"/>
    <n v="0"/>
    <x v="1"/>
    <n v="155460"/>
    <n v="63670.434782608703"/>
    <s v="O-45666-D-0015"/>
    <x v="0"/>
  </r>
  <r>
    <s v="F-116"/>
    <x v="4"/>
    <s v="D-0015"/>
    <x v="12"/>
    <s v="26, City Corporation Market, Dayaganj, Dhaka-1100."/>
    <s v="01911563926"/>
    <x v="5"/>
    <s v="Abdul Matin"/>
    <x v="6"/>
    <s v="Wari "/>
    <x v="12"/>
    <s v="3000 4T 20W50"/>
    <n v="200"/>
    <n v="480"/>
    <n v="200"/>
    <n v="0"/>
    <n v="0"/>
    <n v="480"/>
    <n v="200"/>
    <n v="200"/>
    <n v="96000"/>
    <n v="0"/>
    <n v="96000"/>
    <n v="12521.739130434782"/>
    <n v="83478.260869565216"/>
    <s v=""/>
    <n v="585"/>
    <s v="Flat Discount"/>
    <d v="2025-01-09T00:00:00"/>
    <s v=""/>
    <x v="0"/>
    <s v="Mineral"/>
    <x v="0"/>
    <x v="3"/>
    <x v="0"/>
    <n v="0"/>
    <x v="0"/>
    <n v="72984"/>
    <n v="10494.260869565216"/>
    <s v="O-45666-D-0015"/>
    <x v="0"/>
  </r>
  <r>
    <s v="F-116"/>
    <x v="4"/>
    <s v="D-0015"/>
    <x v="12"/>
    <s v="26, City Corporation Market, Dayaganj, Dhaka-1100."/>
    <s v="01911563926"/>
    <x v="5"/>
    <s v="Abdul Matin"/>
    <x v="6"/>
    <s v="Wari "/>
    <x v="15"/>
    <s v="3000 4T 20W50"/>
    <n v="200"/>
    <n v="570"/>
    <n v="240"/>
    <n v="0"/>
    <n v="0"/>
    <n v="570"/>
    <n v="200"/>
    <n v="240"/>
    <n v="114000"/>
    <n v="0"/>
    <n v="114000"/>
    <n v="14869.565217391304"/>
    <n v="99130.434782608689"/>
    <s v=""/>
    <n v="585"/>
    <s v="Flat Discount"/>
    <d v="2025-01-09T00:00:00"/>
    <s v=""/>
    <x v="0"/>
    <s v="Mineral"/>
    <x v="0"/>
    <x v="3"/>
    <x v="0"/>
    <n v="0"/>
    <x v="1"/>
    <n v="86922"/>
    <n v="12208.434782608689"/>
    <s v="O-45666-D-0015"/>
    <x v="0"/>
  </r>
  <r>
    <s v="F-117"/>
    <x v="5"/>
    <s v="D-0006"/>
    <x v="13"/>
    <s v="Dewan Plaza, Section-06, Plot-08, Road-01, Mirpur-10."/>
    <s v="01627189035"/>
    <x v="0"/>
    <s v="Abdul Matin"/>
    <x v="7"/>
    <s v="Savar"/>
    <x v="11"/>
    <s v="7100 4T 10W30 ESTER CORE®"/>
    <n v="40"/>
    <n v="1270"/>
    <n v="48"/>
    <m/>
    <n v="0"/>
    <n v="1270"/>
    <n v="40"/>
    <n v="48"/>
    <n v="50800"/>
    <n v="0"/>
    <n v="50800"/>
    <n v="6626.086956521739"/>
    <n v="44173.913043478264"/>
    <s v="Cash"/>
    <n v="586"/>
    <s v="Flat Discount"/>
    <d v="2025-01-13T00:00:00"/>
    <s v="It will be home delivery."/>
    <x v="0"/>
    <s v="Synthetic"/>
    <x v="0"/>
    <x v="0"/>
    <x v="3"/>
    <n v="0"/>
    <x v="1"/>
    <n v="31092"/>
    <n v="13081.913043478264"/>
    <s v="O-45669-D-0006"/>
    <x v="0"/>
  </r>
  <r>
    <s v="F-117"/>
    <x v="5"/>
    <s v="D-0006"/>
    <x v="13"/>
    <s v="Dewan Plaza, Section-06, Plot-08, Road-01, Mirpur-10."/>
    <s v="01627189035"/>
    <x v="0"/>
    <s v="Abdul Matin"/>
    <x v="7"/>
    <s v="Savar"/>
    <x v="15"/>
    <s v="3000 4T 20W50"/>
    <n v="100"/>
    <n v="595"/>
    <n v="120"/>
    <m/>
    <n v="0"/>
    <n v="595"/>
    <n v="100"/>
    <n v="120"/>
    <n v="59500"/>
    <n v="0"/>
    <n v="59500"/>
    <n v="7760.869565217391"/>
    <n v="51739.130434782608"/>
    <s v="Cash"/>
    <n v="586"/>
    <s v="Flat Discount"/>
    <d v="2025-01-13T00:00:00"/>
    <s v="It will be home delivery."/>
    <x v="0"/>
    <s v="Mineral"/>
    <x v="0"/>
    <x v="3"/>
    <x v="0"/>
    <n v="0"/>
    <x v="1"/>
    <n v="43461"/>
    <n v="8278.1304347826081"/>
    <s v="O-45669-D-0006"/>
    <x v="0"/>
  </r>
  <r>
    <s v="F-118"/>
    <x v="5"/>
    <s v="D-0003"/>
    <x v="14"/>
    <s v="Kodalipol, Moulvibazar"/>
    <s v="01784-667321"/>
    <x v="3"/>
    <s v="Razur Rahman (Bipul)"/>
    <x v="8"/>
    <s v="Taltola"/>
    <x v="2"/>
    <s v="3000 4T PLUS 10W40"/>
    <n v="40"/>
    <n v="535"/>
    <n v="40"/>
    <m/>
    <n v="0"/>
    <n v="535"/>
    <n v="40"/>
    <n v="40"/>
    <n v="21400"/>
    <n v="0"/>
    <n v="21400"/>
    <n v="2791.304347826087"/>
    <n v="18608.695652173912"/>
    <s v="Cash"/>
    <n v="587"/>
    <s v="Flat Discount"/>
    <d v="2025-01-15T00:00:00"/>
    <s v=""/>
    <x v="1"/>
    <s v="Mineral"/>
    <x v="0"/>
    <x v="2"/>
    <x v="0"/>
    <n v="0"/>
    <x v="0"/>
    <n v="15394"/>
    <n v="3214.6956521739121"/>
    <s v="O-45669-D-0003"/>
    <x v="0"/>
  </r>
  <r>
    <s v="F-118"/>
    <x v="5"/>
    <s v="D-0003"/>
    <x v="14"/>
    <s v="Kodalipol, Moulvibazar"/>
    <s v="01784-667321"/>
    <x v="3"/>
    <s v="Razur Rahman (Bipul)"/>
    <x v="8"/>
    <s v="Taltola"/>
    <x v="3"/>
    <s v="3000 4T PLUS 10W30"/>
    <n v="20"/>
    <n v="640"/>
    <n v="24"/>
    <m/>
    <n v="0"/>
    <n v="640"/>
    <n v="20"/>
    <n v="24"/>
    <n v="12800"/>
    <n v="0"/>
    <n v="12800"/>
    <n v="1669.5652173913043"/>
    <n v="11130.434782608696"/>
    <s v="Cash"/>
    <n v="587"/>
    <s v="Flat Discount"/>
    <d v="2025-01-15T00:00:00"/>
    <s v=""/>
    <x v="1"/>
    <s v="Mineral"/>
    <x v="0"/>
    <x v="0"/>
    <x v="0"/>
    <n v="0"/>
    <x v="1"/>
    <n v="8778"/>
    <n v="2352.434782608696"/>
    <s v="O-45669-D-0003"/>
    <x v="0"/>
  </r>
  <r>
    <s v="F-118"/>
    <x v="5"/>
    <s v="D-0003"/>
    <x v="14"/>
    <s v="Kodalipol, Moulvibazar"/>
    <s v="01784-667321"/>
    <x v="3"/>
    <s v="Razur Rahman (Bipul)"/>
    <x v="8"/>
    <s v="Taltola"/>
    <x v="9"/>
    <s v="7100 4T 20W50 ESTER CORE®"/>
    <n v="12"/>
    <n v="1070"/>
    <n v="12"/>
    <m/>
    <n v="0"/>
    <n v="1070"/>
    <n v="12"/>
    <n v="12"/>
    <n v="12840"/>
    <n v="0"/>
    <n v="12840"/>
    <n v="1674.7826086956522"/>
    <n v="11165.217391304348"/>
    <s v="Cash"/>
    <n v="587"/>
    <s v="Flat Discount"/>
    <d v="2025-01-15T00:00:00"/>
    <s v=""/>
    <x v="1"/>
    <s v="Synthetic"/>
    <x v="0"/>
    <x v="3"/>
    <x v="3"/>
    <n v="0"/>
    <x v="2"/>
    <n v="9164.380799999999"/>
    <n v="2000.836591304349"/>
    <s v="O-45669-D-0003"/>
    <x v="0"/>
  </r>
  <r>
    <s v="F-119"/>
    <x v="6"/>
    <s v="D-0023"/>
    <x v="15"/>
    <s v="Mymensingh"/>
    <s v="01779-090991"/>
    <x v="6"/>
    <s v="Raihan Siddiqui"/>
    <x v="9"/>
    <s v="Rangpur"/>
    <x v="2"/>
    <s v="3000 4T PLUS 10W40"/>
    <n v="40"/>
    <n v="535"/>
    <n v="40"/>
    <m/>
    <n v="0"/>
    <n v="535"/>
    <n v="40"/>
    <n v="40"/>
    <n v="21400"/>
    <n v="0"/>
    <n v="21400"/>
    <n v="2791.304347826087"/>
    <n v="18608.695652173912"/>
    <s v="Cash"/>
    <n v="588"/>
    <s v="Flat Discount"/>
    <d v="2025-01-15T00:00:00"/>
    <s v=""/>
    <x v="3"/>
    <s v="Mineral"/>
    <x v="0"/>
    <x v="2"/>
    <x v="0"/>
    <n v="0"/>
    <x v="0"/>
    <n v="15394"/>
    <n v="3214.6956521739121"/>
    <s v="O-45671-D-0023"/>
    <x v="0"/>
  </r>
  <r>
    <s v="F-119"/>
    <x v="6"/>
    <s v="D-0023"/>
    <x v="15"/>
    <s v="Mymensingh"/>
    <s v="01779-090991"/>
    <x v="6"/>
    <s v="Raihan Siddiqui"/>
    <x v="9"/>
    <s v="Rangpur"/>
    <x v="3"/>
    <s v="3000 4T PLUS 10W30"/>
    <n v="20"/>
    <n v="640"/>
    <n v="24"/>
    <m/>
    <n v="0"/>
    <n v="640"/>
    <n v="20"/>
    <n v="24"/>
    <n v="12800"/>
    <n v="0"/>
    <n v="12800"/>
    <n v="1669.5652173913043"/>
    <n v="11130.434782608696"/>
    <s v="Cash"/>
    <n v="588"/>
    <s v="Flat Discount"/>
    <d v="2025-01-15T00:00:00"/>
    <s v=""/>
    <x v="3"/>
    <s v="Mineral"/>
    <x v="0"/>
    <x v="0"/>
    <x v="0"/>
    <n v="0"/>
    <x v="1"/>
    <n v="8778"/>
    <n v="2352.434782608696"/>
    <s v="O-45671-D-0023"/>
    <x v="0"/>
  </r>
  <r>
    <s v="F-119"/>
    <x v="6"/>
    <s v="D-0023"/>
    <x v="15"/>
    <s v="Mymensingh"/>
    <s v="01779-090991"/>
    <x v="6"/>
    <s v="Raihan Siddiqui"/>
    <x v="9"/>
    <s v="Rangpur"/>
    <x v="4"/>
    <s v="3000 4T PLUS 20W40"/>
    <n v="20"/>
    <n v="640"/>
    <n v="24"/>
    <m/>
    <n v="0"/>
    <n v="640"/>
    <n v="20"/>
    <n v="24"/>
    <n v="12800"/>
    <n v="0"/>
    <n v="12800"/>
    <n v="1669.5652173913043"/>
    <n v="11130.434782608696"/>
    <s v="Cash"/>
    <n v="588"/>
    <s v="Flat Discount"/>
    <d v="2025-01-15T00:00:00"/>
    <s v=""/>
    <x v="3"/>
    <s v="Mineral"/>
    <x v="0"/>
    <x v="1"/>
    <x v="0"/>
    <n v="0"/>
    <x v="1"/>
    <n v="9397.9559070121941"/>
    <n v="1732.4788755965019"/>
    <s v="O-45671-D-0023"/>
    <x v="0"/>
  </r>
  <r>
    <s v="F-119"/>
    <x v="6"/>
    <s v="D-0023"/>
    <x v="15"/>
    <s v="Mymensingh"/>
    <s v="01779-090991"/>
    <x v="6"/>
    <s v="Raihan Siddiqui"/>
    <x v="9"/>
    <s v="Rangpur"/>
    <x v="7"/>
    <s v="7100 4T 10W30 ESTER CORE®"/>
    <n v="12"/>
    <n v="1060"/>
    <n v="12"/>
    <m/>
    <n v="0"/>
    <n v="1060"/>
    <n v="12"/>
    <n v="12"/>
    <n v="12720"/>
    <n v="0"/>
    <n v="12720"/>
    <n v="1659.1304347826087"/>
    <n v="11060.869565217392"/>
    <s v="Cash"/>
    <n v="588"/>
    <s v="Flat Discount"/>
    <d v="2025-01-15T00:00:00"/>
    <s v=""/>
    <x v="3"/>
    <s v="Synthetic"/>
    <x v="0"/>
    <x v="0"/>
    <x v="3"/>
    <n v="0"/>
    <x v="2"/>
    <n v="8278.32"/>
    <n v="2782.5495652173922"/>
    <s v="O-45671-D-0023"/>
    <x v="0"/>
  </r>
  <r>
    <s v="F-119"/>
    <x v="6"/>
    <s v="D-0023"/>
    <x v="15"/>
    <s v="Mymensingh"/>
    <s v="01779-090991"/>
    <x v="6"/>
    <s v="Raihan Siddiqui"/>
    <x v="9"/>
    <s v="Rangpur"/>
    <x v="9"/>
    <s v="7100 4T 20W50 ESTER CORE®"/>
    <n v="12"/>
    <n v="1070"/>
    <n v="12"/>
    <m/>
    <n v="0"/>
    <n v="1070"/>
    <n v="12"/>
    <n v="12"/>
    <n v="12840"/>
    <n v="0"/>
    <n v="12840"/>
    <n v="1674.7826086956522"/>
    <n v="11165.217391304348"/>
    <s v="Cash"/>
    <n v="588"/>
    <s v="Flat Discount"/>
    <d v="2025-01-15T00:00:00"/>
    <s v=""/>
    <x v="3"/>
    <s v="Synthetic"/>
    <x v="0"/>
    <x v="3"/>
    <x v="3"/>
    <n v="0"/>
    <x v="2"/>
    <n v="9164.380799999999"/>
    <n v="2000.836591304349"/>
    <s v="O-45671-D-0023"/>
    <x v="0"/>
  </r>
  <r>
    <s v="F-119"/>
    <x v="6"/>
    <s v="D-0023"/>
    <x v="15"/>
    <s v="Mymensingh"/>
    <s v="01779-090991"/>
    <x v="6"/>
    <s v="Raihan Siddiqui"/>
    <x v="9"/>
    <s v="Rangpur"/>
    <x v="15"/>
    <s v="3000 4T 20W50"/>
    <n v="20"/>
    <n v="595"/>
    <n v="24"/>
    <m/>
    <n v="0"/>
    <n v="595"/>
    <n v="20"/>
    <n v="24"/>
    <n v="11900"/>
    <n v="0"/>
    <n v="11900"/>
    <n v="1552.1739130434783"/>
    <n v="10347.826086956522"/>
    <s v="Cash"/>
    <n v="588"/>
    <s v="Flat Discount"/>
    <d v="2025-01-15T00:00:00"/>
    <s v=""/>
    <x v="3"/>
    <s v="Mineral"/>
    <x v="0"/>
    <x v="3"/>
    <x v="0"/>
    <n v="0"/>
    <x v="1"/>
    <n v="8692.2000000000007"/>
    <n v="1655.6260869565212"/>
    <s v="O-45671-D-0023"/>
    <x v="0"/>
  </r>
  <r>
    <s v="F-120"/>
    <x v="6"/>
    <s v="D-0023"/>
    <x v="16"/>
    <s v="Shapla, Station Road,Rangpur"/>
    <n v="1780903329"/>
    <x v="6"/>
    <s v="Raihan Siddiqui"/>
    <x v="9"/>
    <s v="Rangpur"/>
    <x v="0"/>
    <s v="3000 4T PLUS 10W30"/>
    <n v="60"/>
    <n v="530"/>
    <n v="60"/>
    <m/>
    <n v="0"/>
    <n v="530"/>
    <n v="60"/>
    <n v="60"/>
    <n v="31800"/>
    <n v="0"/>
    <n v="31800"/>
    <n v="4147.826086956522"/>
    <n v="27652.17391304348"/>
    <s v="Cash"/>
    <n v="589"/>
    <s v="Flat Discount"/>
    <d v="2025-01-15T00:00:00"/>
    <s v=""/>
    <x v="3"/>
    <s v="Mineral"/>
    <x v="0"/>
    <x v="0"/>
    <x v="0"/>
    <n v="0"/>
    <x v="0"/>
    <n v="22759.8"/>
    <n v="4892.3739130434806"/>
    <s v="O-45671-D-0023"/>
    <x v="0"/>
  </r>
  <r>
    <s v="F-120"/>
    <x v="6"/>
    <s v="D-0023"/>
    <x v="16"/>
    <s v="Shapla, Station Road,Rangpur"/>
    <n v="1780903329"/>
    <x v="6"/>
    <s v="Raihan Siddiqui"/>
    <x v="9"/>
    <s v="Rangpur"/>
    <x v="2"/>
    <s v="3000 4T PLUS 10W40"/>
    <n v="200"/>
    <n v="535"/>
    <n v="200"/>
    <m/>
    <n v="0"/>
    <n v="535"/>
    <n v="200"/>
    <n v="200"/>
    <n v="107000"/>
    <n v="0"/>
    <n v="107000"/>
    <n v="13956.521739130434"/>
    <n v="93043.478260869568"/>
    <s v="Cash"/>
    <n v="589"/>
    <s v="Flat Discount"/>
    <d v="2025-01-15T00:00:00"/>
    <s v=""/>
    <x v="3"/>
    <s v="Mineral"/>
    <x v="0"/>
    <x v="2"/>
    <x v="0"/>
    <n v="0"/>
    <x v="0"/>
    <n v="76970"/>
    <n v="16073.478260869568"/>
    <s v="O-45671-D-0023"/>
    <x v="0"/>
  </r>
  <r>
    <s v="F-120"/>
    <x v="6"/>
    <s v="D-0023"/>
    <x v="16"/>
    <s v="Shapla, Station Road,Rangpur"/>
    <n v="1780903329"/>
    <x v="6"/>
    <s v="Raihan Siddiqui"/>
    <x v="9"/>
    <s v="Rangpur"/>
    <x v="3"/>
    <s v="3000 4T PLUS 10W30"/>
    <n v="40"/>
    <n v="640"/>
    <n v="48"/>
    <m/>
    <n v="0"/>
    <n v="640"/>
    <n v="40"/>
    <n v="48"/>
    <n v="25600"/>
    <n v="0"/>
    <n v="25600"/>
    <n v="3339.1304347826085"/>
    <n v="22260.869565217392"/>
    <s v="Cash"/>
    <n v="589"/>
    <s v="Flat Discount"/>
    <d v="2025-01-15T00:00:00"/>
    <s v=""/>
    <x v="3"/>
    <s v="Mineral"/>
    <x v="0"/>
    <x v="0"/>
    <x v="0"/>
    <n v="0"/>
    <x v="1"/>
    <n v="17556"/>
    <n v="4704.8695652173919"/>
    <s v="O-45671-D-0023"/>
    <x v="0"/>
  </r>
  <r>
    <s v="F-120"/>
    <x v="6"/>
    <s v="D-0023"/>
    <x v="16"/>
    <s v="Shapla, Station Road,Rangpur"/>
    <n v="1780903329"/>
    <x v="6"/>
    <s v="Raihan Siddiqui"/>
    <x v="9"/>
    <s v="Rangpur"/>
    <x v="5"/>
    <s v="31004T GOLD 20W50"/>
    <n v="20"/>
    <n v="600"/>
    <n v="20"/>
    <m/>
    <n v="0"/>
    <n v="600"/>
    <n v="20"/>
    <n v="20"/>
    <n v="12000"/>
    <n v="0"/>
    <n v="12000"/>
    <n v="1565.2173913043478"/>
    <n v="10434.782608695652"/>
    <s v="Cash"/>
    <n v="589"/>
    <s v="Flat Discount"/>
    <d v="2025-01-15T00:00:00"/>
    <s v=""/>
    <x v="3"/>
    <s v="Technosynthese"/>
    <x v="0"/>
    <x v="3"/>
    <x v="1"/>
    <n v="0"/>
    <x v="0"/>
    <n v="9387.7999999999993"/>
    <n v="1046.9826086956527"/>
    <s v="O-45671-D-0023"/>
    <x v="0"/>
  </r>
  <r>
    <s v="F-120"/>
    <x v="6"/>
    <s v="D-0023"/>
    <x v="16"/>
    <s v="Shapla, Station Road,Rangpur"/>
    <n v="1780903329"/>
    <x v="6"/>
    <s v="Raihan Siddiqui"/>
    <x v="9"/>
    <s v="Rangpur"/>
    <x v="12"/>
    <s v="3000 4T 20W50"/>
    <n v="100"/>
    <n v="488"/>
    <n v="100"/>
    <m/>
    <n v="0"/>
    <n v="488"/>
    <n v="100"/>
    <n v="100"/>
    <n v="48800"/>
    <n v="0"/>
    <n v="48800"/>
    <n v="6365.217391304348"/>
    <n v="42434.782608695656"/>
    <s v="Cash"/>
    <n v="589"/>
    <s v="Flat Discount"/>
    <d v="2025-01-15T00:00:00"/>
    <s v=""/>
    <x v="3"/>
    <s v="Mineral"/>
    <x v="0"/>
    <x v="3"/>
    <x v="0"/>
    <n v="0"/>
    <x v="0"/>
    <n v="36492"/>
    <n v="5942.7826086956557"/>
    <s v="O-45671-D-0023"/>
    <x v="0"/>
  </r>
  <r>
    <s v="F-121"/>
    <x v="6"/>
    <s v="D-0023"/>
    <x v="16"/>
    <s v="Shapla, Station Road,Rangpur"/>
    <n v="1780903329"/>
    <x v="6"/>
    <s v="Raihan Siddiqui"/>
    <x v="9"/>
    <s v="Rangpur"/>
    <x v="17"/>
    <s v="Engine Flush"/>
    <n v="12"/>
    <n v="0"/>
    <n v="0.60000000000000009"/>
    <m/>
    <n v="0"/>
    <n v="0"/>
    <n v="12"/>
    <n v="0.60000000000000009"/>
    <n v="0"/>
    <n v="0"/>
    <n v="0"/>
    <n v="0"/>
    <n v="0"/>
    <s v="free"/>
    <n v="590"/>
    <s v="Flat Discount"/>
    <d v="2025-01-15T00:00:00"/>
    <s v=""/>
    <x v="3"/>
    <s v="Care Products"/>
    <x v="1"/>
    <x v="4"/>
    <x v="8"/>
    <n v="0"/>
    <x v="7"/>
    <n v="1561.3200000000002"/>
    <n v="-1561.3200000000002"/>
    <s v="O-45671-D-0023"/>
    <x v="0"/>
  </r>
  <r>
    <s v="F-122"/>
    <x v="7"/>
    <s v="D-0001"/>
    <x v="17"/>
    <s v="Pangsha, Rajbari."/>
    <s v="01711-154387"/>
    <x v="4"/>
    <s v="Abdul Matin"/>
    <x v="10"/>
    <s v="Pangsha"/>
    <x v="2"/>
    <s v="3000 4T PLUS 10W40"/>
    <n v="1800"/>
    <n v="525"/>
    <n v="1800"/>
    <m/>
    <n v="0"/>
    <n v="525"/>
    <n v="1800"/>
    <n v="1800"/>
    <n v="945000"/>
    <n v="0"/>
    <n v="945000"/>
    <n v="123260.86956521739"/>
    <n v="821739.13043478259"/>
    <s v="Cash"/>
    <n v="591"/>
    <s v="Flat Discount"/>
    <d v="2025-01-16T00:00:00"/>
    <s v="Discounted Price"/>
    <x v="0"/>
    <s v="Mineral"/>
    <x v="0"/>
    <x v="2"/>
    <x v="0"/>
    <n v="0"/>
    <x v="0"/>
    <n v="692730"/>
    <n v="129009.13043478259"/>
    <s v="O-45672-D-0001"/>
    <x v="0"/>
  </r>
  <r>
    <s v="F-122"/>
    <x v="7"/>
    <s v="D-0001"/>
    <x v="17"/>
    <s v="Pangsha, Rajbari."/>
    <s v="01711-154387"/>
    <x v="4"/>
    <s v="Abdul Matin"/>
    <x v="10"/>
    <s v="Pangsha"/>
    <x v="5"/>
    <s v="31004T GOLD 20W50"/>
    <n v="200"/>
    <n v="590"/>
    <n v="200"/>
    <m/>
    <n v="0"/>
    <n v="590"/>
    <n v="200"/>
    <n v="200"/>
    <n v="118000"/>
    <n v="0"/>
    <n v="118000"/>
    <n v="15391.304347826086"/>
    <n v="102608.69565217392"/>
    <s v="Cash"/>
    <n v="591"/>
    <s v="Flat Discount"/>
    <d v="2025-01-16T00:00:00"/>
    <s v="Discounted Price"/>
    <x v="0"/>
    <s v="Technosynthese"/>
    <x v="0"/>
    <x v="3"/>
    <x v="1"/>
    <n v="0"/>
    <x v="0"/>
    <n v="93878"/>
    <n v="8730.6956521739194"/>
    <s v="O-45672-D-0001"/>
    <x v="0"/>
  </r>
  <r>
    <s v="F-123"/>
    <x v="8"/>
    <s v="D-0006"/>
    <x v="18"/>
    <s v="C/25/5, Thana Road Bus stand, Savar, Dhaka."/>
    <s v="01715414646"/>
    <x v="0"/>
    <s v="Abdul Matin"/>
    <x v="7"/>
    <s v="Savar"/>
    <x v="0"/>
    <s v="3000 4T PLUS 10W30"/>
    <n v="100"/>
    <n v="528"/>
    <n v="100"/>
    <m/>
    <n v="0"/>
    <n v="528"/>
    <n v="100"/>
    <n v="100"/>
    <n v="52800"/>
    <n v="0"/>
    <n v="52800"/>
    <n v="6886.95652173913"/>
    <n v="45913.043478260872"/>
    <s v="Cash"/>
    <n v="592"/>
    <s v="Flat Discount"/>
    <d v="2025-01-16T00:00:00"/>
    <s v="Special Discount 2 Taka Per Liter will be provided."/>
    <x v="0"/>
    <s v="Mineral"/>
    <x v="0"/>
    <x v="0"/>
    <x v="0"/>
    <n v="0"/>
    <x v="0"/>
    <n v="37933"/>
    <n v="7980.0434782608718"/>
    <s v="O-45670-D-0006"/>
    <x v="0"/>
  </r>
  <r>
    <s v="F-123"/>
    <x v="8"/>
    <s v="D-0006"/>
    <x v="18"/>
    <s v="C/25/5, Thana Road Bus stand, Savar, Dhaka."/>
    <s v="01715414646"/>
    <x v="0"/>
    <s v="Abdul Matin"/>
    <x v="7"/>
    <s v="Savar"/>
    <x v="1"/>
    <s v="3000 4T PLUS 20W40"/>
    <n v="100"/>
    <n v="528"/>
    <n v="100"/>
    <m/>
    <n v="0"/>
    <n v="528"/>
    <n v="100"/>
    <n v="100"/>
    <n v="52800"/>
    <n v="0"/>
    <n v="52800"/>
    <n v="6886.95652173913"/>
    <n v="45913.043478260872"/>
    <s v="Cash"/>
    <n v="592"/>
    <s v="Flat Discount"/>
    <d v="2025-01-16T00:00:00"/>
    <s v="Special Discount 2 Taka Per Liter will be provided."/>
    <x v="0"/>
    <s v="Mineral"/>
    <x v="0"/>
    <x v="1"/>
    <x v="0"/>
    <n v="0"/>
    <x v="0"/>
    <n v="41276"/>
    <n v="4637.0434782608718"/>
    <s v="O-45670-D-0006"/>
    <x v="0"/>
  </r>
  <r>
    <s v="F-123"/>
    <x v="8"/>
    <s v="D-0006"/>
    <x v="18"/>
    <s v="C/25/5, Thana Road Bus stand, Savar, Dhaka."/>
    <s v="01715414646"/>
    <x v="0"/>
    <s v="Abdul Matin"/>
    <x v="7"/>
    <s v="Savar"/>
    <x v="2"/>
    <s v="3000 4T PLUS 10W40"/>
    <n v="800"/>
    <n v="533"/>
    <n v="800"/>
    <m/>
    <n v="0"/>
    <n v="533"/>
    <n v="800"/>
    <n v="800"/>
    <n v="426400"/>
    <n v="0"/>
    <n v="426400"/>
    <n v="55617.391304347824"/>
    <n v="370782.60869565216"/>
    <s v="Cash"/>
    <n v="592"/>
    <s v="Flat Discount"/>
    <d v="2025-01-16T00:00:00"/>
    <s v="Special Discount 2 Taka Per Liter will be provided."/>
    <x v="0"/>
    <s v="Mineral"/>
    <x v="0"/>
    <x v="2"/>
    <x v="0"/>
    <n v="0"/>
    <x v="0"/>
    <n v="307880"/>
    <n v="62902.608695652161"/>
    <s v="O-45670-D-0006"/>
    <x v="0"/>
  </r>
  <r>
    <s v="F-123"/>
    <x v="8"/>
    <s v="D-0006"/>
    <x v="18"/>
    <s v="C/25/5, Thana Road Bus stand, Savar, Dhaka."/>
    <s v="01715414646"/>
    <x v="0"/>
    <s v="Abdul Matin"/>
    <x v="7"/>
    <s v="Savar"/>
    <x v="12"/>
    <s v="3000 4T 20W50"/>
    <n v="100"/>
    <n v="493"/>
    <n v="100"/>
    <m/>
    <n v="0"/>
    <n v="493"/>
    <n v="100"/>
    <n v="100"/>
    <n v="49300"/>
    <n v="0"/>
    <n v="49300"/>
    <n v="6430.434782608696"/>
    <n v="42869.565217391304"/>
    <s v="Cash"/>
    <n v="592"/>
    <s v="Flat Discount"/>
    <d v="2025-01-16T00:00:00"/>
    <s v="Special Discount 2 Taka Per Liter will be provided."/>
    <x v="0"/>
    <s v="Mineral"/>
    <x v="0"/>
    <x v="3"/>
    <x v="0"/>
    <n v="0"/>
    <x v="0"/>
    <n v="36492"/>
    <n v="6377.565217391304"/>
    <s v="O-45670-D-0006"/>
    <x v="0"/>
  </r>
  <r>
    <s v="F-124"/>
    <x v="9"/>
    <s v="D-0006"/>
    <x v="19"/>
    <s v="Mirpur 10"/>
    <s v="01670845815"/>
    <x v="0"/>
    <s v="Abdul Matin"/>
    <x v="7"/>
    <s v="Savar"/>
    <x v="0"/>
    <s v="3000 4T PLUS 10W30"/>
    <n v="60"/>
    <n v="530"/>
    <n v="60"/>
    <m/>
    <n v="0"/>
    <n v="530"/>
    <n v="60"/>
    <n v="60"/>
    <n v="31800"/>
    <n v="0"/>
    <n v="31800"/>
    <n v="4147.826086956522"/>
    <n v="27652.17391304348"/>
    <s v="Cash"/>
    <n v="593"/>
    <s v="Flat Discount"/>
    <d v="2025-01-19T00:00:00"/>
    <s v=""/>
    <x v="0"/>
    <s v="Mineral"/>
    <x v="0"/>
    <x v="0"/>
    <x v="0"/>
    <n v="0"/>
    <x v="0"/>
    <n v="22759.8"/>
    <n v="4892.3739130434806"/>
    <s v="O-45673-D-0006"/>
    <x v="0"/>
  </r>
  <r>
    <s v="F-124"/>
    <x v="9"/>
    <s v="D-0006"/>
    <x v="19"/>
    <s v="Mirpur 10"/>
    <s v="01670845815"/>
    <x v="0"/>
    <s v="Abdul Matin"/>
    <x v="7"/>
    <s v="Savar"/>
    <x v="2"/>
    <s v="3000 4T PLUS 10W40"/>
    <n v="140"/>
    <n v="535"/>
    <n v="140"/>
    <m/>
    <n v="0"/>
    <n v="535"/>
    <n v="140"/>
    <n v="140"/>
    <n v="74900"/>
    <n v="0"/>
    <n v="74900"/>
    <n v="9769.565217391304"/>
    <n v="65130.434782608696"/>
    <s v="Cash"/>
    <n v="593"/>
    <s v="Flat Discount"/>
    <d v="2025-01-19T00:00:00"/>
    <s v=""/>
    <x v="0"/>
    <s v="Mineral"/>
    <x v="0"/>
    <x v="2"/>
    <x v="0"/>
    <n v="0"/>
    <x v="0"/>
    <n v="53879"/>
    <n v="11251.434782608696"/>
    <s v="O-45673-D-0006"/>
    <x v="0"/>
  </r>
  <r>
    <s v="F-124"/>
    <x v="9"/>
    <s v="D-0006"/>
    <x v="19"/>
    <s v="Mirpur 10"/>
    <s v="01670845815"/>
    <x v="0"/>
    <s v="Abdul Matin"/>
    <x v="7"/>
    <s v="Savar"/>
    <x v="3"/>
    <s v="3000 4T PLUS 10W30"/>
    <n v="40"/>
    <n v="640"/>
    <n v="48"/>
    <m/>
    <n v="0"/>
    <n v="640"/>
    <n v="40"/>
    <n v="48"/>
    <n v="25600"/>
    <n v="0"/>
    <n v="25600"/>
    <n v="3339.1304347826085"/>
    <n v="22260.869565217392"/>
    <s v="Cash"/>
    <n v="593"/>
    <s v="Flat Discount"/>
    <d v="2025-01-19T00:00:00"/>
    <s v=""/>
    <x v="0"/>
    <s v="Mineral"/>
    <x v="0"/>
    <x v="0"/>
    <x v="0"/>
    <n v="0"/>
    <x v="1"/>
    <n v="17556"/>
    <n v="4704.8695652173919"/>
    <s v="O-45673-D-0006"/>
    <x v="0"/>
  </r>
  <r>
    <s v="F-124"/>
    <x v="9"/>
    <s v="D-0006"/>
    <x v="19"/>
    <s v="Mirpur 10"/>
    <s v="01670845815"/>
    <x v="0"/>
    <s v="Abdul Matin"/>
    <x v="7"/>
    <s v="Savar"/>
    <x v="4"/>
    <s v="3000 4T PLUS 20W40"/>
    <n v="20"/>
    <n v="640"/>
    <n v="24"/>
    <m/>
    <n v="0"/>
    <n v="640"/>
    <n v="20"/>
    <n v="24"/>
    <n v="12800"/>
    <n v="0"/>
    <n v="12800"/>
    <n v="1669.5652173913043"/>
    <n v="11130.434782608696"/>
    <s v="Cash"/>
    <n v="593"/>
    <s v="Flat Discount"/>
    <d v="2025-01-19T00:00:00"/>
    <s v=""/>
    <x v="0"/>
    <s v="Mineral"/>
    <x v="0"/>
    <x v="1"/>
    <x v="0"/>
    <n v="0"/>
    <x v="1"/>
    <n v="9397.9559070121941"/>
    <n v="1732.4788755965019"/>
    <s v="O-45673-D-0006"/>
    <x v="0"/>
  </r>
  <r>
    <s v="F-124"/>
    <x v="9"/>
    <s v="D-0006"/>
    <x v="19"/>
    <s v="Mirpur 10"/>
    <s v="01670845815"/>
    <x v="0"/>
    <s v="Abdul Matin"/>
    <x v="7"/>
    <s v="Savar"/>
    <x v="5"/>
    <s v="31004T GOLD 20W50"/>
    <n v="60"/>
    <n v="600"/>
    <n v="60"/>
    <m/>
    <n v="0"/>
    <n v="600"/>
    <n v="60"/>
    <n v="60"/>
    <n v="36000"/>
    <n v="0"/>
    <n v="36000"/>
    <n v="4695.652173913043"/>
    <n v="31304.347826086956"/>
    <s v="Cash"/>
    <n v="593"/>
    <s v="Flat Discount"/>
    <d v="2025-01-19T00:00:00"/>
    <s v=""/>
    <x v="0"/>
    <s v="Technosynthese"/>
    <x v="0"/>
    <x v="3"/>
    <x v="1"/>
    <n v="0"/>
    <x v="0"/>
    <n v="28163.399999999998"/>
    <n v="3140.9478260869582"/>
    <s v="O-45673-D-0006"/>
    <x v="0"/>
  </r>
  <r>
    <s v="F-124"/>
    <x v="9"/>
    <s v="D-0006"/>
    <x v="19"/>
    <s v="Mirpur 10"/>
    <s v="01670845815"/>
    <x v="0"/>
    <s v="Abdul Matin"/>
    <x v="7"/>
    <s v="Savar"/>
    <x v="6"/>
    <s v="51004T 10W40 ESTER"/>
    <n v="60"/>
    <n v="860"/>
    <n v="60"/>
    <m/>
    <n v="0"/>
    <n v="860"/>
    <n v="60"/>
    <n v="60"/>
    <n v="51600"/>
    <n v="0"/>
    <n v="51600"/>
    <n v="6730.434782608696"/>
    <n v="44869.565217391304"/>
    <s v="Cash"/>
    <n v="593"/>
    <s v="Flat Discount"/>
    <d v="2025-01-19T00:00:00"/>
    <s v=""/>
    <x v="0"/>
    <s v="Technosynthese"/>
    <x v="0"/>
    <x v="2"/>
    <x v="2"/>
    <n v="0"/>
    <x v="2"/>
    <n v="36499.800000000003"/>
    <n v="8369.7652173913011"/>
    <s v="O-45673-D-0006"/>
    <x v="0"/>
  </r>
  <r>
    <s v="F-124"/>
    <x v="9"/>
    <s v="D-0006"/>
    <x v="19"/>
    <s v="Mirpur 10"/>
    <s v="01670845815"/>
    <x v="0"/>
    <s v="Abdul Matin"/>
    <x v="7"/>
    <s v="Savar"/>
    <x v="7"/>
    <s v="7100 4T 10W30 ESTER CORE®"/>
    <n v="36"/>
    <n v="1060"/>
    <n v="36"/>
    <m/>
    <n v="0"/>
    <n v="1060"/>
    <n v="36"/>
    <n v="36"/>
    <n v="38160"/>
    <n v="0"/>
    <n v="38160"/>
    <n v="4977.391304347826"/>
    <n v="33182.608695652176"/>
    <s v="Cash"/>
    <n v="593"/>
    <s v="Flat Discount"/>
    <d v="2025-01-19T00:00:00"/>
    <s v=""/>
    <x v="0"/>
    <s v="Synthetic"/>
    <x v="0"/>
    <x v="0"/>
    <x v="3"/>
    <n v="0"/>
    <x v="2"/>
    <n v="24834.959999999999"/>
    <n v="8347.6486956521767"/>
    <s v="O-45673-D-0006"/>
    <x v="0"/>
  </r>
  <r>
    <s v="F-124"/>
    <x v="9"/>
    <s v="D-0006"/>
    <x v="19"/>
    <s v="Mirpur 10"/>
    <s v="01670845815"/>
    <x v="0"/>
    <s v="Abdul Matin"/>
    <x v="7"/>
    <s v="Savar"/>
    <x v="11"/>
    <s v="7100 4T 10W30 ESTER CORE®"/>
    <n v="40"/>
    <n v="1260"/>
    <n v="48"/>
    <m/>
    <n v="0"/>
    <n v="1260"/>
    <n v="40"/>
    <n v="48"/>
    <n v="50400"/>
    <n v="0"/>
    <n v="50400"/>
    <n v="6573.913043478261"/>
    <n v="43826.086956521736"/>
    <s v="Cash"/>
    <n v="593"/>
    <s v="Flat Discount"/>
    <d v="2025-01-19T00:00:00"/>
    <s v=""/>
    <x v="0"/>
    <s v="Synthetic"/>
    <x v="0"/>
    <x v="0"/>
    <x v="3"/>
    <n v="0"/>
    <x v="1"/>
    <n v="31092"/>
    <n v="12734.086956521736"/>
    <s v="O-45673-D-0006"/>
    <x v="0"/>
  </r>
  <r>
    <s v="F-124"/>
    <x v="9"/>
    <s v="D-0006"/>
    <x v="19"/>
    <s v="Mirpur 10"/>
    <s v="01670845815"/>
    <x v="0"/>
    <s v="Abdul Matin"/>
    <x v="7"/>
    <s v="Savar"/>
    <x v="12"/>
    <s v="3000 4T 20W50"/>
    <n v="20"/>
    <n v="495"/>
    <n v="20"/>
    <m/>
    <n v="0"/>
    <n v="495"/>
    <n v="20"/>
    <n v="20"/>
    <n v="9900"/>
    <n v="0"/>
    <n v="9900"/>
    <n v="1291.304347826087"/>
    <n v="8608.6956521739139"/>
    <s v="Cash"/>
    <n v="593"/>
    <s v="Flat Discount"/>
    <d v="2025-01-19T00:00:00"/>
    <s v=""/>
    <x v="0"/>
    <s v="Mineral"/>
    <x v="0"/>
    <x v="3"/>
    <x v="0"/>
    <n v="0"/>
    <x v="0"/>
    <n v="7298.4000000000005"/>
    <n v="1310.2956521739134"/>
    <s v="O-45673-D-0006"/>
    <x v="0"/>
  </r>
  <r>
    <s v="F-124"/>
    <x v="9"/>
    <s v="D-0006"/>
    <x v="19"/>
    <s v="Mirpur 10"/>
    <s v="01670845815"/>
    <x v="0"/>
    <s v="Abdul Matin"/>
    <x v="7"/>
    <s v="Savar"/>
    <x v="15"/>
    <s v="3000 4T 20W50"/>
    <n v="20"/>
    <n v="595"/>
    <n v="24"/>
    <m/>
    <n v="0"/>
    <n v="595"/>
    <n v="20"/>
    <n v="24"/>
    <n v="11900"/>
    <n v="0"/>
    <n v="11900"/>
    <n v="1552.1739130434783"/>
    <n v="10347.826086956522"/>
    <s v="Cash"/>
    <n v="593"/>
    <s v="Flat Discount"/>
    <d v="2025-01-19T00:00:00"/>
    <s v=""/>
    <x v="0"/>
    <s v="Mineral"/>
    <x v="0"/>
    <x v="3"/>
    <x v="0"/>
    <n v="0"/>
    <x v="1"/>
    <n v="8692.2000000000007"/>
    <n v="1655.6260869565212"/>
    <s v="O-45673-D-0006"/>
    <x v="0"/>
  </r>
  <r>
    <s v="F-125"/>
    <x v="9"/>
    <s v="D-0003"/>
    <x v="20"/>
    <s v="Taltola, Sylhet"/>
    <s v="01711-700652"/>
    <x v="3"/>
    <s v="Razur Rahman (Bipul)"/>
    <x v="8"/>
    <s v="Taltola"/>
    <x v="18"/>
    <s v="Inugel Expert Coolant"/>
    <n v="40"/>
    <n v="425"/>
    <n v="40"/>
    <m/>
    <n v="0"/>
    <n v="425"/>
    <n v="40"/>
    <n v="40"/>
    <n v="17000"/>
    <n v="0"/>
    <n v="17000"/>
    <n v="2217.391304347826"/>
    <n v="14782.608695652174"/>
    <s v="Cash"/>
    <n v="594"/>
    <s v="Flat Discount"/>
    <d v="2025-01-19T00:00:00"/>
    <s v=""/>
    <x v="1"/>
    <s v="Care Products"/>
    <x v="1"/>
    <x v="4"/>
    <x v="9"/>
    <n v="0"/>
    <x v="0"/>
    <n v="9225.5999999999985"/>
    <n v="5557.0086956521754"/>
    <s v="O-45673-D-0003"/>
    <x v="0"/>
  </r>
  <r>
    <s v="F-125"/>
    <x v="9"/>
    <s v="D-0003"/>
    <x v="20"/>
    <s v="Taltola, Sylhet"/>
    <s v="01711-700652"/>
    <x v="3"/>
    <s v="Razur Rahman (Bipul)"/>
    <x v="8"/>
    <s v="Taltola"/>
    <x v="12"/>
    <s v="3000 4T 20W50"/>
    <n v="500"/>
    <n v="485"/>
    <n v="500"/>
    <m/>
    <n v="0"/>
    <n v="485"/>
    <n v="500"/>
    <n v="500"/>
    <n v="242500"/>
    <n v="0"/>
    <n v="242500"/>
    <n v="31630.434782608696"/>
    <n v="210869.5652173913"/>
    <s v="Cash"/>
    <n v="594"/>
    <s v="Flat Discount"/>
    <d v="2025-01-19T00:00:00"/>
    <s v=""/>
    <x v="1"/>
    <s v="Mineral"/>
    <x v="0"/>
    <x v="3"/>
    <x v="0"/>
    <n v="0"/>
    <x v="0"/>
    <n v="182460"/>
    <n v="28409.565217391297"/>
    <s v="O-45673-D-0003"/>
    <x v="0"/>
  </r>
  <r>
    <s v="F-126"/>
    <x v="9"/>
    <s v="D-0011"/>
    <x v="21"/>
    <s v="Registry Para, Tangail Sadar"/>
    <s v="01521-308494"/>
    <x v="7"/>
    <s v="Raihan Siddiqui"/>
    <x v="11"/>
    <s v="Bogura Sadar"/>
    <x v="0"/>
    <s v="3000 4T PLUS 10W30"/>
    <n v="60"/>
    <n v="530"/>
    <n v="60"/>
    <m/>
    <n v="0"/>
    <n v="530"/>
    <n v="60"/>
    <n v="60"/>
    <n v="31800"/>
    <n v="0"/>
    <n v="31800"/>
    <n v="4147.826086956522"/>
    <n v="27652.17391304348"/>
    <s v="Cash"/>
    <n v="595"/>
    <s v="Flat Discount"/>
    <d v="2025-01-19T00:00:00"/>
    <s v=""/>
    <x v="3"/>
    <s v="Mineral"/>
    <x v="0"/>
    <x v="0"/>
    <x v="0"/>
    <n v="0"/>
    <x v="0"/>
    <n v="22759.8"/>
    <n v="4892.3739130434806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1"/>
    <s v="3000 4T PLUS 20W40"/>
    <n v="40"/>
    <n v="530"/>
    <n v="40"/>
    <m/>
    <n v="0"/>
    <n v="530"/>
    <n v="40"/>
    <n v="40"/>
    <n v="21200"/>
    <n v="0"/>
    <n v="21200"/>
    <n v="2765.217391304348"/>
    <n v="18434.782608695652"/>
    <s v="Cash"/>
    <n v="595"/>
    <s v="Flat Discount"/>
    <d v="2025-01-19T00:00:00"/>
    <s v=""/>
    <x v="3"/>
    <s v="Mineral"/>
    <x v="0"/>
    <x v="1"/>
    <x v="0"/>
    <n v="0"/>
    <x v="0"/>
    <n v="16510.400000000001"/>
    <n v="1924.3826086956506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2"/>
    <s v="3000 4T PLUS 10W40"/>
    <n v="100"/>
    <n v="535"/>
    <n v="100"/>
    <m/>
    <n v="0"/>
    <n v="535"/>
    <n v="100"/>
    <n v="100"/>
    <n v="53500"/>
    <n v="0"/>
    <n v="53500"/>
    <n v="6978.260869565217"/>
    <n v="46521.739130434784"/>
    <s v="Cash"/>
    <n v="595"/>
    <s v="Flat Discount"/>
    <d v="2025-01-19T00:00:00"/>
    <s v=""/>
    <x v="3"/>
    <s v="Mineral"/>
    <x v="0"/>
    <x v="2"/>
    <x v="0"/>
    <n v="0"/>
    <x v="0"/>
    <n v="38485"/>
    <n v="8036.7391304347839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3"/>
    <s v="3000 4T PLUS 10W30"/>
    <n v="40"/>
    <n v="640"/>
    <n v="48"/>
    <m/>
    <n v="0"/>
    <n v="640"/>
    <n v="40"/>
    <n v="48"/>
    <n v="25600"/>
    <n v="0"/>
    <n v="25600"/>
    <n v="3339.1304347826085"/>
    <n v="22260.869565217392"/>
    <s v="Cash"/>
    <n v="595"/>
    <s v="Flat Discount"/>
    <d v="2025-01-19T00:00:00"/>
    <s v=""/>
    <x v="3"/>
    <s v="Mineral"/>
    <x v="0"/>
    <x v="0"/>
    <x v="0"/>
    <n v="0"/>
    <x v="1"/>
    <n v="17556"/>
    <n v="4704.8695652173919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4"/>
    <s v="3000 4T PLUS 20W40"/>
    <n v="20"/>
    <n v="640"/>
    <n v="24"/>
    <m/>
    <n v="0"/>
    <n v="640"/>
    <n v="20"/>
    <n v="24"/>
    <n v="12800"/>
    <n v="0"/>
    <n v="12800"/>
    <n v="1669.5652173913043"/>
    <n v="11130.434782608696"/>
    <s v="Cash"/>
    <n v="595"/>
    <s v="Flat Discount"/>
    <d v="2025-01-19T00:00:00"/>
    <s v=""/>
    <x v="3"/>
    <s v="Mineral"/>
    <x v="0"/>
    <x v="1"/>
    <x v="0"/>
    <n v="0"/>
    <x v="1"/>
    <n v="9397.9559070121941"/>
    <n v="1732.4788755965019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5"/>
    <s v="31004T GOLD 20W50"/>
    <n v="20"/>
    <n v="600"/>
    <n v="20"/>
    <m/>
    <n v="0"/>
    <n v="600"/>
    <n v="20"/>
    <n v="20"/>
    <n v="12000"/>
    <n v="0"/>
    <n v="12000"/>
    <n v="1565.2173913043478"/>
    <n v="10434.782608695652"/>
    <s v="Cash"/>
    <n v="595"/>
    <s v="Flat Discount"/>
    <d v="2025-01-19T00:00:00"/>
    <s v=""/>
    <x v="3"/>
    <s v="Technosynthese"/>
    <x v="0"/>
    <x v="3"/>
    <x v="1"/>
    <n v="0"/>
    <x v="0"/>
    <n v="9387.7999999999993"/>
    <n v="1046.9826086956527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19"/>
    <s v="51004T 10W30 ESTER"/>
    <n v="12"/>
    <n v="860"/>
    <n v="12"/>
    <m/>
    <n v="0"/>
    <n v="860"/>
    <n v="12"/>
    <n v="12"/>
    <n v="10320"/>
    <n v="0"/>
    <n v="10320"/>
    <n v="1346.0869565217392"/>
    <n v="8973.9130434782601"/>
    <s v="Cash"/>
    <n v="595"/>
    <s v="Flat Discount"/>
    <d v="2025-01-19T00:00:00"/>
    <s v=""/>
    <x v="3"/>
    <s v="Technosynthese"/>
    <x v="0"/>
    <x v="0"/>
    <x v="2"/>
    <n v="0"/>
    <x v="2"/>
    <n v="7231.68"/>
    <n v="1742.2330434782598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6"/>
    <s v="51004T 10W40 ESTER"/>
    <n v="12"/>
    <n v="860"/>
    <n v="12"/>
    <m/>
    <n v="0"/>
    <n v="860"/>
    <n v="12"/>
    <n v="12"/>
    <n v="10320"/>
    <n v="0"/>
    <n v="10320"/>
    <n v="1346.0869565217392"/>
    <n v="8973.9130434782601"/>
    <s v="Cash"/>
    <n v="595"/>
    <s v="Flat Discount"/>
    <d v="2025-01-19T00:00:00"/>
    <s v=""/>
    <x v="3"/>
    <s v="Technosynthese"/>
    <x v="0"/>
    <x v="2"/>
    <x v="2"/>
    <n v="0"/>
    <x v="2"/>
    <n v="7299.9600000000009"/>
    <n v="1673.9530434782591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7"/>
    <s v="7100 4T 10W30 ESTER CORE®"/>
    <n v="12"/>
    <n v="1060"/>
    <n v="12"/>
    <m/>
    <n v="0"/>
    <n v="1060"/>
    <n v="12"/>
    <n v="12"/>
    <n v="12720"/>
    <n v="0"/>
    <n v="12720"/>
    <n v="1659.1304347826087"/>
    <n v="11060.869565217392"/>
    <s v="Cash"/>
    <n v="595"/>
    <s v="Flat Discount"/>
    <d v="2025-01-19T00:00:00"/>
    <s v=""/>
    <x v="3"/>
    <s v="Synthetic"/>
    <x v="0"/>
    <x v="0"/>
    <x v="3"/>
    <n v="0"/>
    <x v="2"/>
    <n v="8278.32"/>
    <n v="2782.5495652173922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9"/>
    <s v="7100 4T 20W50 ESTER CORE®"/>
    <n v="12"/>
    <n v="1070"/>
    <n v="12"/>
    <m/>
    <n v="0"/>
    <n v="1070"/>
    <n v="12"/>
    <n v="12"/>
    <n v="12840"/>
    <n v="0"/>
    <n v="12840"/>
    <n v="1674.7826086956522"/>
    <n v="11165.217391304348"/>
    <s v="Cash"/>
    <n v="595"/>
    <s v="Flat Discount"/>
    <d v="2025-01-19T00:00:00"/>
    <s v=""/>
    <x v="3"/>
    <s v="Synthetic"/>
    <x v="0"/>
    <x v="3"/>
    <x v="3"/>
    <n v="0"/>
    <x v="2"/>
    <n v="9164.380799999999"/>
    <n v="2000.836591304349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11"/>
    <s v="7100 4T 10W30 ESTER CORE®"/>
    <n v="20"/>
    <n v="1260"/>
    <n v="24"/>
    <m/>
    <n v="0"/>
    <n v="1260"/>
    <n v="20"/>
    <n v="24"/>
    <n v="25200"/>
    <n v="0"/>
    <n v="25200"/>
    <n v="3286.9565217391305"/>
    <n v="21913.043478260868"/>
    <s v="Cash"/>
    <n v="595"/>
    <s v="Flat Discount"/>
    <d v="2025-01-19T00:00:00"/>
    <s v=""/>
    <x v="3"/>
    <s v="Synthetic"/>
    <x v="0"/>
    <x v="0"/>
    <x v="3"/>
    <n v="0"/>
    <x v="1"/>
    <n v="15546"/>
    <n v="6367.0434782608681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12"/>
    <s v="3000 4T 20W50"/>
    <n v="80"/>
    <n v="487.72"/>
    <n v="80"/>
    <m/>
    <n v="0"/>
    <n v="487.72"/>
    <n v="80"/>
    <n v="80"/>
    <n v="39017.600000000006"/>
    <n v="0"/>
    <n v="39017.600000000006"/>
    <n v="5089.2521739130443"/>
    <n v="33928.34782608696"/>
    <s v="Cash"/>
    <n v="595"/>
    <s v="Flat Discount"/>
    <d v="2025-01-19T00:00:00"/>
    <s v=""/>
    <x v="3"/>
    <s v="Mineral"/>
    <x v="0"/>
    <x v="3"/>
    <x v="0"/>
    <n v="0"/>
    <x v="0"/>
    <n v="29193.600000000002"/>
    <n v="4734.7478260869575"/>
    <s v="O-45673-D-0011"/>
    <x v="0"/>
  </r>
  <r>
    <s v="F-126"/>
    <x v="9"/>
    <s v="D-0011"/>
    <x v="21"/>
    <s v="Registry Para, Tangail Sadar"/>
    <s v="01521-308494"/>
    <x v="7"/>
    <s v="Raihan Siddiqui"/>
    <x v="11"/>
    <s v="Bogura Sadar"/>
    <x v="15"/>
    <s v="3000 4T 20W50"/>
    <n v="20"/>
    <n v="587.72"/>
    <n v="24"/>
    <m/>
    <n v="0"/>
    <n v="587.72"/>
    <n v="20"/>
    <n v="24"/>
    <n v="11754.400000000001"/>
    <n v="0"/>
    <n v="11754.400000000001"/>
    <n v="1533.1826086956523"/>
    <n v="10221.21739130435"/>
    <s v="Cash"/>
    <n v="595"/>
    <s v="Flat Discount"/>
    <d v="2025-01-19T00:00:00"/>
    <s v=""/>
    <x v="3"/>
    <s v="Mineral"/>
    <x v="0"/>
    <x v="3"/>
    <x v="0"/>
    <n v="0"/>
    <x v="1"/>
    <n v="8692.2000000000007"/>
    <n v="1529.0173913043491"/>
    <s v="O-45673-D-0011"/>
    <x v="0"/>
  </r>
  <r>
    <s v="F-127"/>
    <x v="7"/>
    <s v="D-0023"/>
    <x v="22"/>
    <s v="Choto Bazar, Mymensingh Sadar"/>
    <n v="1712284667"/>
    <x v="6"/>
    <s v="Raihan Siddiqui"/>
    <x v="9"/>
    <s v="Rangpur"/>
    <x v="0"/>
    <s v="3000 4T PLUS 10W30"/>
    <n v="20"/>
    <n v="530"/>
    <n v="20"/>
    <m/>
    <n v="0"/>
    <n v="530"/>
    <n v="20"/>
    <n v="20"/>
    <n v="10600"/>
    <n v="0"/>
    <n v="10600"/>
    <n v="1382.608695652174"/>
    <n v="9217.391304347826"/>
    <s v="Cash"/>
    <n v="596"/>
    <s v="Flat Discount"/>
    <d v="2025-01-19T00:00:00"/>
    <s v=""/>
    <x v="3"/>
    <s v="Mineral"/>
    <x v="0"/>
    <x v="0"/>
    <x v="0"/>
    <n v="0"/>
    <x v="0"/>
    <n v="7586.5999999999995"/>
    <n v="1630.7913043478266"/>
    <s v="O-45672-D-0023"/>
    <x v="0"/>
  </r>
  <r>
    <s v="F-127"/>
    <x v="7"/>
    <s v="D-0023"/>
    <x v="22"/>
    <s v="Choto Bazar, Mymensingh Sadar"/>
    <n v="1712284667"/>
    <x v="6"/>
    <s v="Raihan Siddiqui"/>
    <x v="9"/>
    <s v="Rangpur"/>
    <x v="1"/>
    <s v="3000 4T PLUS 20W40"/>
    <n v="60"/>
    <n v="530"/>
    <n v="60"/>
    <m/>
    <n v="0"/>
    <n v="530"/>
    <n v="60"/>
    <n v="60"/>
    <n v="31800"/>
    <n v="0"/>
    <n v="31800"/>
    <n v="4147.826086956522"/>
    <n v="27652.17391304348"/>
    <s v="Cash"/>
    <n v="596"/>
    <s v="Flat Discount"/>
    <d v="2025-01-19T00:00:00"/>
    <s v=""/>
    <x v="3"/>
    <s v="Mineral"/>
    <x v="0"/>
    <x v="1"/>
    <x v="0"/>
    <n v="0"/>
    <x v="0"/>
    <n v="24765.599999999999"/>
    <n v="2886.5739130434813"/>
    <s v="O-45672-D-0023"/>
    <x v="0"/>
  </r>
  <r>
    <s v="F-127"/>
    <x v="7"/>
    <s v="D-0023"/>
    <x v="22"/>
    <s v="Choto Bazar, Mymensingh Sadar"/>
    <n v="1712284667"/>
    <x v="6"/>
    <s v="Raihan Siddiqui"/>
    <x v="9"/>
    <s v="Rangpur"/>
    <x v="2"/>
    <s v="3000 4T PLUS 10W40"/>
    <n v="60"/>
    <n v="535"/>
    <n v="60"/>
    <m/>
    <n v="0"/>
    <n v="535"/>
    <n v="60"/>
    <n v="60"/>
    <n v="32100"/>
    <n v="0"/>
    <n v="32100"/>
    <n v="4186.95652173913"/>
    <n v="27913.043478260868"/>
    <s v="Cash"/>
    <n v="596"/>
    <s v="Flat Discount"/>
    <d v="2025-01-19T00:00:00"/>
    <s v=""/>
    <x v="3"/>
    <s v="Mineral"/>
    <x v="0"/>
    <x v="2"/>
    <x v="0"/>
    <n v="0"/>
    <x v="0"/>
    <n v="23091"/>
    <n v="4822.0434782608681"/>
    <s v="O-45672-D-0023"/>
    <x v="0"/>
  </r>
  <r>
    <s v="F-128"/>
    <x v="8"/>
    <s v="D-0009"/>
    <x v="23"/>
    <s v="4/4, Saidabad, Dhaka-1100."/>
    <s v="01784398413"/>
    <x v="5"/>
    <s v="Abdul Matin"/>
    <x v="12"/>
    <s v="Saydabad"/>
    <x v="2"/>
    <s v="3000 4T PLUS 10W40"/>
    <n v="3000"/>
    <n v="535"/>
    <n v="3000"/>
    <m/>
    <n v="0"/>
    <n v="535"/>
    <n v="3000"/>
    <n v="3000"/>
    <n v="1605000"/>
    <n v="0"/>
    <n v="1605000"/>
    <n v="209347.82608695651"/>
    <n v="1395652.1739130435"/>
    <s v="Cash"/>
    <n v="597"/>
    <s v="Flat Discount"/>
    <d v="2025-01-19T00:00:00"/>
    <s v="18% discount on care products has been given."/>
    <x v="0"/>
    <s v="Mineral"/>
    <x v="0"/>
    <x v="2"/>
    <x v="0"/>
    <n v="0"/>
    <x v="0"/>
    <n v="1154550"/>
    <n v="241102.17391304346"/>
    <s v="O-45670-D-0009"/>
    <x v="0"/>
  </r>
  <r>
    <s v="F-128"/>
    <x v="8"/>
    <s v="D-0009"/>
    <x v="23"/>
    <s v="4/4, Saidabad, Dhaka-1100."/>
    <s v="01784398413"/>
    <x v="5"/>
    <s v="Abdul Matin"/>
    <x v="12"/>
    <s v="Saydabad"/>
    <x v="3"/>
    <s v="3000 4T PLUS 10W30"/>
    <n v="500"/>
    <n v="640"/>
    <n v="600"/>
    <m/>
    <n v="0"/>
    <n v="640"/>
    <n v="500"/>
    <n v="600"/>
    <n v="320000"/>
    <n v="0"/>
    <n v="320000"/>
    <n v="41739.130434782608"/>
    <n v="278260.86956521741"/>
    <s v="Cash"/>
    <n v="597"/>
    <s v="Flat Discount"/>
    <d v="2025-01-19T00:00:00"/>
    <s v="18% discount on care products has been given."/>
    <x v="0"/>
    <s v="Mineral"/>
    <x v="0"/>
    <x v="0"/>
    <x v="0"/>
    <n v="0"/>
    <x v="1"/>
    <n v="219450"/>
    <n v="58810.869565217406"/>
    <s v="O-45670-D-0009"/>
    <x v="0"/>
  </r>
  <r>
    <s v="F-128"/>
    <x v="8"/>
    <s v="D-0009"/>
    <x v="23"/>
    <s v="4/4, Saidabad, Dhaka-1100."/>
    <s v="01784398413"/>
    <x v="5"/>
    <s v="Abdul Matin"/>
    <x v="12"/>
    <s v="Saydabad"/>
    <x v="4"/>
    <s v="3000 4T PLUS 20W40"/>
    <n v="300"/>
    <n v="640"/>
    <n v="360"/>
    <m/>
    <n v="0"/>
    <n v="640"/>
    <n v="300"/>
    <n v="360"/>
    <n v="192000"/>
    <n v="0"/>
    <n v="192000"/>
    <n v="25043.478260869564"/>
    <n v="166956.52173913043"/>
    <s v="Cash"/>
    <n v="597"/>
    <s v="Flat Discount"/>
    <d v="2025-01-19T00:00:00"/>
    <s v="18% discount on care products has been given."/>
    <x v="0"/>
    <s v="Mineral"/>
    <x v="0"/>
    <x v="1"/>
    <x v="0"/>
    <n v="0"/>
    <x v="1"/>
    <n v="140969.33860518291"/>
    <n v="25987.183133947517"/>
    <s v="O-45670-D-0009"/>
    <x v="0"/>
  </r>
  <r>
    <s v="F-128"/>
    <x v="8"/>
    <s v="D-0009"/>
    <x v="23"/>
    <s v="4/4, Saidabad, Dhaka-1100."/>
    <s v="01784398413"/>
    <x v="5"/>
    <s v="Abdul Matin"/>
    <x v="12"/>
    <s v="Saydabad"/>
    <x v="12"/>
    <s v="3000 4T 20W50"/>
    <n v="280"/>
    <n v="495"/>
    <n v="280"/>
    <m/>
    <n v="0"/>
    <n v="495"/>
    <n v="280"/>
    <n v="280"/>
    <n v="138600"/>
    <n v="0"/>
    <n v="138600"/>
    <n v="18078.260869565216"/>
    <n v="120521.73913043478"/>
    <s v="Cash"/>
    <n v="597"/>
    <s v="Flat Discount"/>
    <d v="2025-01-19T00:00:00"/>
    <s v="18% discount on care products has been given."/>
    <x v="0"/>
    <s v="Mineral"/>
    <x v="0"/>
    <x v="3"/>
    <x v="0"/>
    <n v="0"/>
    <x v="0"/>
    <n v="102177.60000000001"/>
    <n v="18344.139130434778"/>
    <s v="O-45670-D-0009"/>
    <x v="0"/>
  </r>
  <r>
    <s v="F-129"/>
    <x v="5"/>
    <s v="D-0001"/>
    <x v="24"/>
    <s v="Khulna Sadar "/>
    <n v="8801711584594"/>
    <x v="4"/>
    <s v="Abdul Matin"/>
    <x v="10"/>
    <s v="Pangsha"/>
    <x v="0"/>
    <s v="3000 4T PLUS 10W30"/>
    <n v="100"/>
    <n v="525"/>
    <n v="100"/>
    <m/>
    <n v="0"/>
    <n v="525"/>
    <n v="100"/>
    <n v="100"/>
    <n v="52500"/>
    <n v="0"/>
    <n v="52500"/>
    <n v="6847.826086956522"/>
    <n v="45652.17391304348"/>
    <s v="Cash"/>
    <n v="598"/>
    <s v="Flat Discount"/>
    <d v="2025-01-19T00:00:00"/>
    <s v=""/>
    <x v="0"/>
    <s v="Mineral"/>
    <x v="0"/>
    <x v="0"/>
    <x v="0"/>
    <n v="0"/>
    <x v="0"/>
    <n v="37933"/>
    <n v="7719.1739130434798"/>
    <s v="O-45669-D-0001"/>
    <x v="0"/>
  </r>
  <r>
    <s v="F-129"/>
    <x v="5"/>
    <s v="D-0001"/>
    <x v="24"/>
    <s v="Khulna Sadar "/>
    <n v="8801711584594"/>
    <x v="4"/>
    <s v="Abdul Matin"/>
    <x v="10"/>
    <s v="Pangsha"/>
    <x v="1"/>
    <s v="3000 4T PLUS 20W40"/>
    <n v="60"/>
    <n v="525"/>
    <n v="60"/>
    <m/>
    <n v="0"/>
    <n v="525"/>
    <n v="60"/>
    <n v="60"/>
    <n v="31500"/>
    <n v="0"/>
    <n v="31500"/>
    <n v="4108.695652173913"/>
    <n v="27391.304347826088"/>
    <s v="Cash"/>
    <n v="598"/>
    <s v="Flat Discount"/>
    <d v="2025-01-19T00:00:00"/>
    <s v=""/>
    <x v="0"/>
    <s v="Mineral"/>
    <x v="0"/>
    <x v="1"/>
    <x v="0"/>
    <n v="0"/>
    <x v="0"/>
    <n v="24765.599999999999"/>
    <n v="2625.7043478260894"/>
    <s v="O-45669-D-0001"/>
    <x v="0"/>
  </r>
  <r>
    <s v="F-129"/>
    <x v="5"/>
    <s v="D-0001"/>
    <x v="24"/>
    <s v="Khulna Sadar "/>
    <n v="8801711584594"/>
    <x v="4"/>
    <s v="Abdul Matin"/>
    <x v="10"/>
    <s v="Pangsha"/>
    <x v="2"/>
    <s v="3000 4T PLUS 10W40"/>
    <n v="300"/>
    <n v="525"/>
    <n v="300"/>
    <m/>
    <n v="0"/>
    <n v="525"/>
    <n v="300"/>
    <n v="300"/>
    <n v="157500"/>
    <n v="0"/>
    <n v="157500"/>
    <n v="20543.478260869564"/>
    <n v="136956.52173913043"/>
    <s v="Cash"/>
    <n v="598"/>
    <s v="Flat Discount"/>
    <d v="2025-01-19T00:00:00"/>
    <s v=""/>
    <x v="0"/>
    <s v="Mineral"/>
    <x v="0"/>
    <x v="2"/>
    <x v="0"/>
    <n v="0"/>
    <x v="0"/>
    <n v="115455"/>
    <n v="21501.521739130432"/>
    <s v="O-45669-D-0001"/>
    <x v="0"/>
  </r>
  <r>
    <s v="F-129"/>
    <x v="5"/>
    <s v="D-0001"/>
    <x v="24"/>
    <s v="Khulna Sadar "/>
    <n v="8801711584594"/>
    <x v="4"/>
    <s v="Abdul Matin"/>
    <x v="10"/>
    <s v="Pangsha"/>
    <x v="3"/>
    <s v="3000 4T PLUS 10W30"/>
    <n v="100"/>
    <n v="640"/>
    <n v="120"/>
    <m/>
    <n v="0"/>
    <n v="640"/>
    <n v="100"/>
    <n v="120"/>
    <n v="64000"/>
    <n v="0"/>
    <n v="64000"/>
    <n v="8347.826086956522"/>
    <n v="55652.17391304348"/>
    <s v="Cash"/>
    <n v="598"/>
    <s v="Flat Discount"/>
    <d v="2025-01-19T00:00:00"/>
    <s v=""/>
    <x v="0"/>
    <s v="Mineral"/>
    <x v="0"/>
    <x v="0"/>
    <x v="0"/>
    <n v="0"/>
    <x v="1"/>
    <n v="43890"/>
    <n v="11762.17391304348"/>
    <s v="O-45669-D-0001"/>
    <x v="0"/>
  </r>
  <r>
    <s v="F-129"/>
    <x v="5"/>
    <s v="D-0001"/>
    <x v="24"/>
    <s v="Khulna Sadar "/>
    <n v="8801711584594"/>
    <x v="4"/>
    <s v="Abdul Matin"/>
    <x v="10"/>
    <s v="Pangsha"/>
    <x v="4"/>
    <s v="3000 4T PLUS 20W40"/>
    <n v="80"/>
    <n v="640"/>
    <n v="96"/>
    <m/>
    <n v="0"/>
    <n v="640"/>
    <n v="80"/>
    <n v="96"/>
    <n v="51200"/>
    <n v="0"/>
    <n v="51200"/>
    <n v="6678.260869565217"/>
    <n v="44521.739130434784"/>
    <s v="Cash"/>
    <n v="598"/>
    <s v="Flat Discount"/>
    <d v="2025-01-19T00:00:00"/>
    <s v=""/>
    <x v="0"/>
    <s v="Mineral"/>
    <x v="0"/>
    <x v="1"/>
    <x v="0"/>
    <n v="0"/>
    <x v="1"/>
    <n v="37591.823628048776"/>
    <n v="6929.9155023860076"/>
    <s v="O-45669-D-0001"/>
    <x v="0"/>
  </r>
  <r>
    <s v="F-129"/>
    <x v="5"/>
    <s v="D-0001"/>
    <x v="24"/>
    <s v="Khulna Sadar "/>
    <n v="8801711584594"/>
    <x v="4"/>
    <s v="Abdul Matin"/>
    <x v="10"/>
    <s v="Pangsha"/>
    <x v="7"/>
    <s v="7100 4T 10W30 ESTER CORE®"/>
    <n v="24"/>
    <n v="1050"/>
    <n v="24"/>
    <m/>
    <n v="0"/>
    <n v="1050"/>
    <n v="24"/>
    <n v="24"/>
    <n v="25200"/>
    <n v="0"/>
    <n v="25200"/>
    <n v="3286.9565217391305"/>
    <n v="21913.043478260868"/>
    <s v="Cash"/>
    <n v="598"/>
    <s v="Flat Discount"/>
    <d v="2025-01-19T00:00:00"/>
    <s v=""/>
    <x v="0"/>
    <s v="Synthetic"/>
    <x v="0"/>
    <x v="0"/>
    <x v="3"/>
    <n v="0"/>
    <x v="2"/>
    <n v="16556.64"/>
    <n v="5356.4034782608687"/>
    <s v="O-45669-D-0001"/>
    <x v="0"/>
  </r>
  <r>
    <s v="F-129"/>
    <x v="5"/>
    <s v="D-0001"/>
    <x v="24"/>
    <s v="Khulna Sadar "/>
    <n v="8801711584594"/>
    <x v="4"/>
    <s v="Abdul Matin"/>
    <x v="10"/>
    <s v="Pangsha"/>
    <x v="9"/>
    <s v="7100 4T 20W50 ESTER CORE®"/>
    <n v="24"/>
    <n v="1050"/>
    <n v="24"/>
    <m/>
    <n v="0"/>
    <n v="1050"/>
    <n v="24"/>
    <n v="24"/>
    <n v="25200"/>
    <n v="0"/>
    <n v="25200"/>
    <n v="3286.9565217391305"/>
    <n v="21913.043478260868"/>
    <s v="Cash"/>
    <n v="598"/>
    <s v="Flat Discount"/>
    <d v="2025-01-19T00:00:00"/>
    <s v=""/>
    <x v="0"/>
    <s v="Synthetic"/>
    <x v="0"/>
    <x v="3"/>
    <x v="3"/>
    <n v="0"/>
    <x v="2"/>
    <n v="18328.761599999998"/>
    <n v="3584.2818782608701"/>
    <s v="O-45669-D-0001"/>
    <x v="0"/>
  </r>
  <r>
    <s v="F-130"/>
    <x v="10"/>
    <s v="D-0004"/>
    <x v="0"/>
    <s v="Konabari Gazipur "/>
    <s v="01711784707"/>
    <x v="0"/>
    <s v="Abdul Matin"/>
    <x v="0"/>
    <s v="Konabari"/>
    <x v="1"/>
    <s v="3000 4T PLUS 20W40"/>
    <n v="100"/>
    <n v="530"/>
    <n v="100"/>
    <m/>
    <n v="0"/>
    <n v="530"/>
    <n v="100"/>
    <n v="100"/>
    <n v="53000"/>
    <n v="0"/>
    <n v="53000"/>
    <n v="6913.04347826087"/>
    <n v="46086.956521739128"/>
    <s v="Cash"/>
    <n v="599"/>
    <s v="Flat Discount"/>
    <d v="2025-01-20T00:00:00"/>
    <s v=""/>
    <x v="0"/>
    <s v="Mineral"/>
    <x v="0"/>
    <x v="1"/>
    <x v="0"/>
    <n v="0"/>
    <x v="0"/>
    <n v="41276"/>
    <n v="4810.9565217391282"/>
    <s v="O-45677-D-0004"/>
    <x v="0"/>
  </r>
  <r>
    <s v="F-130"/>
    <x v="10"/>
    <s v="D-0004"/>
    <x v="0"/>
    <s v="Konabari Gazipur "/>
    <s v="01711784707"/>
    <x v="0"/>
    <s v="Abdul Matin"/>
    <x v="0"/>
    <s v="Konabari"/>
    <x v="3"/>
    <s v="3000 4T PLUS 10W30"/>
    <n v="300"/>
    <n v="640"/>
    <n v="360"/>
    <m/>
    <n v="0"/>
    <n v="640"/>
    <n v="300"/>
    <n v="360"/>
    <n v="192000"/>
    <n v="0"/>
    <n v="192000"/>
    <n v="25043.478260869564"/>
    <n v="166956.52173913043"/>
    <s v="Cash"/>
    <n v="599"/>
    <s v="Flat Discount"/>
    <d v="2025-01-20T00:00:00"/>
    <s v=""/>
    <x v="0"/>
    <s v="Mineral"/>
    <x v="0"/>
    <x v="0"/>
    <x v="0"/>
    <n v="0"/>
    <x v="1"/>
    <n v="131670"/>
    <n v="35286.521739130432"/>
    <s v="O-45677-D-0004"/>
    <x v="0"/>
  </r>
  <r>
    <s v="F-130"/>
    <x v="10"/>
    <s v="D-0004"/>
    <x v="0"/>
    <s v="Konabari Gazipur "/>
    <s v="01711784707"/>
    <x v="0"/>
    <s v="Abdul Matin"/>
    <x v="0"/>
    <s v="Konabari"/>
    <x v="20"/>
    <s v="31004T GOLD 10W40"/>
    <n v="60"/>
    <n v="590"/>
    <n v="60"/>
    <m/>
    <n v="0"/>
    <n v="590"/>
    <n v="60"/>
    <n v="60"/>
    <n v="35400"/>
    <n v="0"/>
    <n v="35400"/>
    <n v="4617.391304347826"/>
    <n v="30782.608695652172"/>
    <s v="Cash"/>
    <n v="599"/>
    <s v="Flat Discount"/>
    <d v="2025-01-20T00:00:00"/>
    <s v=""/>
    <x v="0"/>
    <s v="Technosynthese"/>
    <x v="0"/>
    <x v="2"/>
    <x v="1"/>
    <n v="0"/>
    <x v="0"/>
    <n v="25108.800000000003"/>
    <n v="5673.8086956521693"/>
    <s v="O-45677-D-0004"/>
    <x v="0"/>
  </r>
  <r>
    <s v="F-130"/>
    <x v="10"/>
    <s v="D-0004"/>
    <x v="0"/>
    <s v="Konabari Gazipur "/>
    <s v="01711784707"/>
    <x v="0"/>
    <s v="Abdul Matin"/>
    <x v="0"/>
    <s v="Konabari"/>
    <x v="6"/>
    <s v="51004T 10W40 ESTER"/>
    <n v="60"/>
    <n v="860"/>
    <n v="60"/>
    <m/>
    <n v="0"/>
    <n v="860"/>
    <n v="60"/>
    <n v="60"/>
    <n v="51600"/>
    <n v="0"/>
    <n v="51600"/>
    <n v="6730.434782608696"/>
    <n v="44869.565217391304"/>
    <s v="Cash"/>
    <n v="599"/>
    <s v="Flat Discount"/>
    <d v="2025-01-20T00:00:00"/>
    <s v=""/>
    <x v="0"/>
    <s v="Technosynthese"/>
    <x v="0"/>
    <x v="2"/>
    <x v="2"/>
    <n v="0"/>
    <x v="2"/>
    <n v="36499.800000000003"/>
    <n v="8369.7652173913011"/>
    <s v="O-45677-D-0004"/>
    <x v="0"/>
  </r>
  <r>
    <s v="F-130"/>
    <x v="10"/>
    <s v="D-0004"/>
    <x v="0"/>
    <s v="Konabari Gazipur "/>
    <s v="01711784707"/>
    <x v="0"/>
    <s v="Abdul Matin"/>
    <x v="0"/>
    <s v="Konabari"/>
    <x v="12"/>
    <s v="3000 4T 20W50"/>
    <n v="240"/>
    <n v="480"/>
    <n v="240"/>
    <m/>
    <n v="0"/>
    <n v="480"/>
    <n v="240"/>
    <n v="240"/>
    <n v="115200"/>
    <n v="0"/>
    <n v="115200"/>
    <n v="15026.08695652174"/>
    <n v="100173.91304347826"/>
    <s v="Cash"/>
    <n v="599"/>
    <s v="Flat Discount"/>
    <d v="2025-01-20T00:00:00"/>
    <s v=""/>
    <x v="0"/>
    <s v="Mineral"/>
    <x v="0"/>
    <x v="3"/>
    <x v="0"/>
    <n v="0"/>
    <x v="0"/>
    <n v="87580.800000000003"/>
    <n v="12593.113043478254"/>
    <s v="O-45677-D-0004"/>
    <x v="0"/>
  </r>
  <r>
    <s v="F-130"/>
    <x v="10"/>
    <s v="D-0004"/>
    <x v="0"/>
    <s v="Konabari Gazipur "/>
    <s v="01711784707"/>
    <x v="0"/>
    <s v="Abdul Matin"/>
    <x v="0"/>
    <s v="Konabari"/>
    <x v="15"/>
    <s v="3000 4T 20W50"/>
    <n v="60"/>
    <n v="570"/>
    <n v="72"/>
    <m/>
    <n v="0"/>
    <n v="570"/>
    <n v="60"/>
    <n v="72"/>
    <n v="34200"/>
    <n v="0"/>
    <n v="34200"/>
    <n v="4460.869565217391"/>
    <n v="29739.130434782608"/>
    <s v="Cash"/>
    <n v="599"/>
    <s v="Flat Discount"/>
    <d v="2025-01-20T00:00:00"/>
    <s v=""/>
    <x v="0"/>
    <s v="Mineral"/>
    <x v="0"/>
    <x v="3"/>
    <x v="0"/>
    <n v="0"/>
    <x v="1"/>
    <n v="26076.600000000002"/>
    <n v="3662.5304347826059"/>
    <s v="O-45677-D-0004"/>
    <x v="0"/>
  </r>
  <r>
    <s v="F-131"/>
    <x v="11"/>
    <s v="D-0025"/>
    <x v="25"/>
    <s v="Dhaka"/>
    <s v=""/>
    <x v="2"/>
    <s v="Captive Sales"/>
    <x v="13"/>
    <s v="Dhaka"/>
    <x v="8"/>
    <s v="7100 4T 10W40 ESTER CORE®"/>
    <n v="100"/>
    <n v="995"/>
    <n v="100"/>
    <m/>
    <n v="0"/>
    <n v="995"/>
    <n v="100"/>
    <n v="100"/>
    <n v="99500"/>
    <n v="0"/>
    <n v="99500"/>
    <n v="12978.260869565218"/>
    <n v="86521.739130434784"/>
    <s v="Cash"/>
    <n v="600"/>
    <s v="Flat Discount"/>
    <d v="2025-01-21T00:00:00"/>
    <s v=""/>
    <x v="2"/>
    <s v="Synthetic"/>
    <x v="0"/>
    <x v="2"/>
    <x v="3"/>
    <n v="0"/>
    <x v="2"/>
    <n v="69399"/>
    <n v="17122.739130434784"/>
    <s v="O-45678-D-0025"/>
    <x v="0"/>
  </r>
  <r>
    <s v="F-131"/>
    <x v="11"/>
    <s v="D-0025"/>
    <x v="25"/>
    <s v="Dhaka"/>
    <m/>
    <x v="2"/>
    <s v="Captive Sales"/>
    <x v="13"/>
    <s v="Dhaka"/>
    <x v="18"/>
    <s v="Inugel Expert Coolant"/>
    <n v="1000"/>
    <n v="340"/>
    <n v="1000"/>
    <m/>
    <n v="0"/>
    <n v="340"/>
    <n v="1000"/>
    <n v="1000"/>
    <n v="340000"/>
    <n v="0"/>
    <n v="340000"/>
    <n v="44347.82608695652"/>
    <n v="295652.17391304346"/>
    <s v="Cash"/>
    <n v="600"/>
    <s v="Flat Discount"/>
    <d v="2025-01-21T00:00:00"/>
    <s v=""/>
    <x v="2"/>
    <s v="Care Products"/>
    <x v="1"/>
    <x v="4"/>
    <x v="9"/>
    <n v="0"/>
    <x v="0"/>
    <n v="230640"/>
    <n v="65012.173913043458"/>
    <s v="O-45678-D-0025"/>
    <x v="0"/>
  </r>
  <r>
    <s v="F-136"/>
    <x v="12"/>
    <s v="D-0006"/>
    <x v="26"/>
    <s v="Mirpur -10"/>
    <s v="01942-214488"/>
    <x v="0"/>
    <s v="Abdul Matin"/>
    <x v="7"/>
    <s v="Savar"/>
    <x v="0"/>
    <s v="3000 4T PLUS 10W30"/>
    <n v="100"/>
    <n v="530"/>
    <n v="100"/>
    <m/>
    <n v="0"/>
    <n v="530"/>
    <n v="100"/>
    <n v="100"/>
    <n v="53000"/>
    <n v="0"/>
    <n v="53000"/>
    <n v="6913.04347826087"/>
    <n v="46086.956521739128"/>
    <s v="Cash"/>
    <n v="605"/>
    <s v="Flat Discount"/>
    <d v="2025-01-23T00:00:00"/>
    <s v=""/>
    <x v="0"/>
    <s v="Mineral"/>
    <x v="0"/>
    <x v="0"/>
    <x v="0"/>
    <n v="0"/>
    <x v="0"/>
    <n v="37933"/>
    <n v="8153.9565217391282"/>
    <s v="O-45679-D-0006"/>
    <x v="0"/>
  </r>
  <r>
    <s v="F-136"/>
    <x v="12"/>
    <s v="D-0006"/>
    <x v="26"/>
    <s v="Mirpur -10"/>
    <s v="01942-214488"/>
    <x v="0"/>
    <s v="Abdul Matin"/>
    <x v="7"/>
    <s v="Savar"/>
    <x v="1"/>
    <s v="3000 4T PLUS 20W40"/>
    <n v="120"/>
    <n v="530"/>
    <n v="120"/>
    <m/>
    <n v="0"/>
    <n v="530"/>
    <n v="120"/>
    <n v="120"/>
    <n v="63600"/>
    <n v="0"/>
    <n v="63600"/>
    <n v="8295.652173913044"/>
    <n v="55304.34782608696"/>
    <s v="Cash"/>
    <n v="605"/>
    <s v="Flat Discount"/>
    <d v="2025-01-23T00:00:00"/>
    <s v=""/>
    <x v="0"/>
    <s v="Mineral"/>
    <x v="0"/>
    <x v="1"/>
    <x v="0"/>
    <n v="0"/>
    <x v="0"/>
    <n v="49531.199999999997"/>
    <n v="5773.1478260869626"/>
    <s v="O-45679-D-0006"/>
    <x v="0"/>
  </r>
  <r>
    <s v="F-136"/>
    <x v="12"/>
    <s v="D-0006"/>
    <x v="26"/>
    <s v="Mirpur -10"/>
    <s v="01942-214488"/>
    <x v="0"/>
    <s v="Abdul Matin"/>
    <x v="7"/>
    <s v="Savar"/>
    <x v="2"/>
    <s v="3000 4T PLUS 10W40"/>
    <n v="120"/>
    <n v="535"/>
    <n v="120"/>
    <m/>
    <n v="0"/>
    <n v="535"/>
    <n v="120"/>
    <n v="120"/>
    <n v="64200"/>
    <n v="0"/>
    <n v="64200"/>
    <n v="8373.9130434782601"/>
    <n v="55826.086956521736"/>
    <s v="Cash"/>
    <n v="605"/>
    <s v="Flat Discount"/>
    <d v="2025-01-23T00:00:00"/>
    <s v=""/>
    <x v="0"/>
    <s v="Mineral"/>
    <x v="0"/>
    <x v="2"/>
    <x v="0"/>
    <n v="0"/>
    <x v="0"/>
    <n v="46182"/>
    <n v="9644.0869565217363"/>
    <s v="O-45679-D-0006"/>
    <x v="0"/>
  </r>
  <r>
    <s v="F-136"/>
    <x v="12"/>
    <s v="D-0006"/>
    <x v="26"/>
    <s v="Mirpur -10"/>
    <s v="01942-214488"/>
    <x v="0"/>
    <s v="Abdul Matin"/>
    <x v="7"/>
    <s v="Savar"/>
    <x v="3"/>
    <s v="3000 4T PLUS 10W30"/>
    <n v="60"/>
    <n v="640"/>
    <n v="72"/>
    <m/>
    <n v="0"/>
    <n v="640"/>
    <n v="60"/>
    <n v="72"/>
    <n v="38400"/>
    <n v="0"/>
    <n v="38400"/>
    <n v="5008.695652173913"/>
    <n v="33391.304347826088"/>
    <s v="Cash"/>
    <n v="605"/>
    <s v="Flat Discount"/>
    <d v="2025-01-23T00:00:00"/>
    <s v=""/>
    <x v="0"/>
    <s v="Mineral"/>
    <x v="0"/>
    <x v="0"/>
    <x v="0"/>
    <n v="0"/>
    <x v="1"/>
    <n v="26334"/>
    <n v="7057.3043478260879"/>
    <s v="O-45679-D-0006"/>
    <x v="0"/>
  </r>
  <r>
    <s v="F-136"/>
    <x v="12"/>
    <s v="D-0006"/>
    <x v="26"/>
    <s v="Mirpur -10"/>
    <s v="01942-214488"/>
    <x v="0"/>
    <s v="Abdul Matin"/>
    <x v="7"/>
    <s v="Savar"/>
    <x v="4"/>
    <s v="3000 4T PLUS 20W40"/>
    <n v="60"/>
    <n v="640"/>
    <n v="72"/>
    <m/>
    <n v="0"/>
    <n v="640"/>
    <n v="60"/>
    <n v="72"/>
    <n v="38400"/>
    <n v="0"/>
    <n v="38400"/>
    <n v="5008.695652173913"/>
    <n v="33391.304347826088"/>
    <s v="Cash"/>
    <n v="605"/>
    <s v="Flat Discount"/>
    <d v="2025-01-23T00:00:00"/>
    <s v=""/>
    <x v="0"/>
    <s v="Mineral"/>
    <x v="0"/>
    <x v="1"/>
    <x v="0"/>
    <n v="0"/>
    <x v="1"/>
    <n v="28193.867721036582"/>
    <n v="5197.4366267895057"/>
    <s v="O-45679-D-0006"/>
    <x v="0"/>
  </r>
  <r>
    <s v="F-136"/>
    <x v="12"/>
    <s v="D-0006"/>
    <x v="26"/>
    <s v="Mirpur -10"/>
    <s v="01942-214488"/>
    <x v="0"/>
    <s v="Abdul Matin"/>
    <x v="7"/>
    <s v="Savar"/>
    <x v="5"/>
    <s v="31004T GOLD 20W50"/>
    <n v="100"/>
    <n v="600"/>
    <n v="100"/>
    <m/>
    <n v="0"/>
    <n v="600"/>
    <n v="100"/>
    <n v="100"/>
    <n v="60000"/>
    <n v="0"/>
    <n v="60000"/>
    <n v="7826.086956521739"/>
    <n v="52173.913043478264"/>
    <s v="Cash"/>
    <n v="605"/>
    <s v="Flat Discount"/>
    <d v="2025-01-23T00:00:00"/>
    <s v=""/>
    <x v="0"/>
    <s v="Technosynthese"/>
    <x v="0"/>
    <x v="3"/>
    <x v="1"/>
    <n v="0"/>
    <x v="0"/>
    <n v="46939"/>
    <n v="5234.9130434782637"/>
    <s v="O-45679-D-0006"/>
    <x v="0"/>
  </r>
  <r>
    <s v="F-136"/>
    <x v="12"/>
    <s v="D-0006"/>
    <x v="26"/>
    <s v="Mirpur -10"/>
    <s v="01942-214488"/>
    <x v="0"/>
    <s v="Abdul Matin"/>
    <x v="7"/>
    <s v="Savar"/>
    <x v="21"/>
    <s v="31004T GOLD 10W30"/>
    <n v="60"/>
    <n v="590"/>
    <n v="60"/>
    <m/>
    <n v="0"/>
    <n v="590"/>
    <n v="60"/>
    <n v="60"/>
    <n v="35400"/>
    <n v="0"/>
    <n v="35400"/>
    <n v="4617.391304347826"/>
    <n v="30782.608695652172"/>
    <s v="Cash"/>
    <n v="605"/>
    <s v="Flat Discount"/>
    <d v="2025-01-23T00:00:00"/>
    <s v=""/>
    <x v="0"/>
    <s v="Technosynthese"/>
    <x v="0"/>
    <x v="0"/>
    <x v="1"/>
    <n v="0"/>
    <x v="0"/>
    <n v="25506"/>
    <n v="5276.6086956521722"/>
    <s v="O-45679-D-0006"/>
    <x v="0"/>
  </r>
  <r>
    <s v="F-136"/>
    <x v="12"/>
    <s v="D-0006"/>
    <x v="26"/>
    <s v="Mirpur -10"/>
    <s v="01942-214488"/>
    <x v="0"/>
    <s v="Abdul Matin"/>
    <x v="7"/>
    <s v="Savar"/>
    <x v="19"/>
    <s v="51004T 10W30 ESTER"/>
    <n v="36"/>
    <n v="860"/>
    <n v="36"/>
    <m/>
    <n v="0"/>
    <n v="860"/>
    <n v="36"/>
    <n v="36"/>
    <n v="30960"/>
    <n v="0"/>
    <n v="30960"/>
    <n v="4038.2608695652175"/>
    <n v="26921.739130434784"/>
    <s v="Cash"/>
    <n v="605"/>
    <s v="Flat Discount"/>
    <d v="2025-01-23T00:00:00"/>
    <s v=""/>
    <x v="0"/>
    <s v="Technosynthese"/>
    <x v="0"/>
    <x v="0"/>
    <x v="2"/>
    <n v="0"/>
    <x v="2"/>
    <n v="21695.040000000001"/>
    <n v="5226.699130434783"/>
    <s v="O-45679-D-0006"/>
    <x v="0"/>
  </r>
  <r>
    <s v="F-136"/>
    <x v="12"/>
    <s v="D-0006"/>
    <x v="26"/>
    <s v="Mirpur -10"/>
    <s v="01942-214488"/>
    <x v="0"/>
    <s v="Abdul Matin"/>
    <x v="7"/>
    <s v="Savar"/>
    <x v="7"/>
    <s v="7100 4T 10W30 ESTER CORE®"/>
    <n v="36"/>
    <n v="1060"/>
    <n v="36"/>
    <m/>
    <n v="0"/>
    <n v="1060"/>
    <n v="36"/>
    <n v="36"/>
    <n v="38160"/>
    <n v="0"/>
    <n v="38160"/>
    <n v="4977.391304347826"/>
    <n v="33182.608695652176"/>
    <s v="Cash"/>
    <n v="605"/>
    <s v="Flat Discount"/>
    <d v="2025-01-23T00:00:00"/>
    <s v=""/>
    <x v="0"/>
    <s v="Synthetic"/>
    <x v="0"/>
    <x v="0"/>
    <x v="3"/>
    <n v="0"/>
    <x v="2"/>
    <n v="24834.959999999999"/>
    <n v="8347.6486956521767"/>
    <s v="O-45679-D-0006"/>
    <x v="0"/>
  </r>
  <r>
    <s v="F-136"/>
    <x v="12"/>
    <s v="D-0006"/>
    <x v="26"/>
    <s v="Mirpur -10"/>
    <s v="01942-214488"/>
    <x v="0"/>
    <s v="Abdul Matin"/>
    <x v="7"/>
    <s v="Savar"/>
    <x v="9"/>
    <s v="7100 4T 20W50 ESTER CORE®"/>
    <n v="36"/>
    <n v="1070"/>
    <n v="36"/>
    <m/>
    <n v="0"/>
    <n v="1070"/>
    <n v="36"/>
    <n v="36"/>
    <n v="38520"/>
    <n v="0"/>
    <n v="38520"/>
    <n v="5024.347826086957"/>
    <n v="33495.65217391304"/>
    <s v="Cash"/>
    <n v="605"/>
    <s v="Flat Discount"/>
    <d v="2025-01-23T00:00:00"/>
    <s v=""/>
    <x v="0"/>
    <s v="Synthetic"/>
    <x v="0"/>
    <x v="3"/>
    <x v="3"/>
    <n v="0"/>
    <x v="2"/>
    <n v="27493.142400000001"/>
    <n v="6002.5097739130397"/>
    <s v="O-45679-D-0006"/>
    <x v="0"/>
  </r>
  <r>
    <s v="F-136"/>
    <x v="12"/>
    <s v="D-0006"/>
    <x v="26"/>
    <s v="Mirpur -10"/>
    <s v="01942-214488"/>
    <x v="0"/>
    <s v="Abdul Matin"/>
    <x v="7"/>
    <s v="Savar"/>
    <x v="12"/>
    <s v="3000 4T 20W50"/>
    <n v="100"/>
    <n v="495"/>
    <n v="100"/>
    <m/>
    <n v="0"/>
    <n v="495"/>
    <n v="100"/>
    <n v="100"/>
    <n v="49500"/>
    <n v="0"/>
    <n v="49500"/>
    <n v="6456.521739130435"/>
    <n v="43043.478260869568"/>
    <s v="Cash"/>
    <n v="605"/>
    <s v="Flat Discount"/>
    <d v="2025-01-23T00:00:00"/>
    <s v=""/>
    <x v="0"/>
    <s v="Mineral"/>
    <x v="0"/>
    <x v="3"/>
    <x v="0"/>
    <n v="0"/>
    <x v="0"/>
    <n v="36492"/>
    <n v="6551.4782608695677"/>
    <s v="O-45679-D-0006"/>
    <x v="0"/>
  </r>
  <r>
    <s v="F-136"/>
    <x v="12"/>
    <s v="D-0006"/>
    <x v="26"/>
    <s v="Mirpur -10"/>
    <s v="01942-214488"/>
    <x v="0"/>
    <s v="Abdul Matin"/>
    <x v="7"/>
    <s v="Savar"/>
    <x v="15"/>
    <s v="3000 4T 20W50"/>
    <n v="100"/>
    <n v="595"/>
    <n v="120"/>
    <m/>
    <n v="0"/>
    <n v="595"/>
    <n v="100"/>
    <n v="120"/>
    <n v="59500"/>
    <n v="0"/>
    <n v="59500"/>
    <n v="7760.869565217391"/>
    <n v="51739.130434782608"/>
    <s v="Cash"/>
    <n v="605"/>
    <s v="Flat Discount"/>
    <d v="2025-01-23T00:00:00"/>
    <s v=""/>
    <x v="0"/>
    <s v="Mineral"/>
    <x v="0"/>
    <x v="3"/>
    <x v="0"/>
    <n v="0"/>
    <x v="1"/>
    <n v="43461"/>
    <n v="8278.1304347826081"/>
    <s v="O-45679-D-0006"/>
    <x v="0"/>
  </r>
  <r>
    <s v="F-132"/>
    <x v="12"/>
    <s v="D-0025"/>
    <x v="25"/>
    <s v="Dhaka"/>
    <s v=""/>
    <x v="2"/>
    <s v="Captive Sales"/>
    <x v="13"/>
    <s v="Dhaka"/>
    <x v="20"/>
    <s v="31004T GOLD 10W40"/>
    <n v="460"/>
    <n v="565"/>
    <n v="460"/>
    <m/>
    <n v="0"/>
    <n v="565"/>
    <n v="460"/>
    <n v="460"/>
    <n v="259900"/>
    <n v="0"/>
    <n v="259900"/>
    <n v="33900"/>
    <n v="226000"/>
    <s v="Credit"/>
    <n v="601"/>
    <s v="Flat Discount"/>
    <d v="2025-01-22T00:00:00"/>
    <s v=""/>
    <x v="2"/>
    <s v="Technosynthese"/>
    <x v="0"/>
    <x v="2"/>
    <x v="1"/>
    <n v="0"/>
    <x v="0"/>
    <n v="192500.80000000002"/>
    <n v="33499.199999999983"/>
    <s v="O-45679-D-0025"/>
    <x v="0"/>
  </r>
  <r>
    <s v="F-132"/>
    <x v="12"/>
    <s v="D-0025"/>
    <x v="25"/>
    <s v="Dhaka"/>
    <s v=""/>
    <x v="2"/>
    <s v="Captive Sales"/>
    <x v="13"/>
    <s v="Dhaka"/>
    <x v="8"/>
    <s v="7100 4T 10W40 ESTER CORE®"/>
    <n v="4994"/>
    <n v="1040"/>
    <n v="4994"/>
    <m/>
    <n v="0"/>
    <n v="1040"/>
    <n v="4994"/>
    <n v="4994"/>
    <n v="5193760"/>
    <n v="0"/>
    <n v="5193760"/>
    <n v="677446.95652173914"/>
    <n v="4516313.0434782607"/>
    <s v="Credit"/>
    <n v="601"/>
    <s v="Flat Discount"/>
    <d v="2025-01-22T00:00:00"/>
    <s v=""/>
    <x v="2"/>
    <s v="Synthetic"/>
    <x v="0"/>
    <x v="2"/>
    <x v="3"/>
    <n v="0"/>
    <x v="2"/>
    <n v="3465786.06"/>
    <n v="1050526.9834782607"/>
    <s v="O-45679-D-0025"/>
    <x v="0"/>
  </r>
  <r>
    <s v="F-132"/>
    <x v="12"/>
    <s v="D-0025"/>
    <x v="25"/>
    <s v="Dhaka"/>
    <s v=""/>
    <x v="2"/>
    <s v="Captive Sales"/>
    <x v="13"/>
    <s v="Dhaka"/>
    <x v="16"/>
    <s v="Fork Oil Expert"/>
    <n v="700"/>
    <n v="220"/>
    <n v="244.99999999999997"/>
    <m/>
    <n v="0"/>
    <n v="220"/>
    <n v="700"/>
    <n v="244.99999999999997"/>
    <n v="154000"/>
    <n v="0"/>
    <n v="154000"/>
    <n v="20086.956521739132"/>
    <n v="133913.04347826086"/>
    <s v="Credit"/>
    <n v="601"/>
    <s v="Flat Discount"/>
    <d v="2025-01-22T00:00:00"/>
    <s v=""/>
    <x v="2"/>
    <s v="Care Products"/>
    <x v="1"/>
    <x v="4"/>
    <x v="7"/>
    <n v="0"/>
    <x v="6"/>
    <n v="115297"/>
    <n v="18616.043478260865"/>
    <s v="O-45679-D-0025"/>
    <x v="0"/>
  </r>
  <r>
    <s v="F-132"/>
    <x v="12"/>
    <s v="D-0025"/>
    <x v="25"/>
    <s v="Dhaka"/>
    <s v=""/>
    <x v="2"/>
    <s v="Captive Sales"/>
    <x v="13"/>
    <s v="Dhaka"/>
    <x v="10"/>
    <s v="Scooter LE 4T 10W30 HC-TECH®"/>
    <n v="500"/>
    <n v="450"/>
    <n v="400"/>
    <m/>
    <n v="0"/>
    <n v="450"/>
    <n v="500"/>
    <n v="400"/>
    <n v="225000"/>
    <n v="0"/>
    <n v="225000"/>
    <n v="29347.82608695652"/>
    <n v="195652.17391304349"/>
    <s v="Credit"/>
    <n v="601"/>
    <s v="Flat Discount"/>
    <d v="2025-01-22T00:00:00"/>
    <s v=""/>
    <x v="2"/>
    <s v="Mineral"/>
    <x v="0"/>
    <x v="0"/>
    <x v="4"/>
    <n v="0"/>
    <x v="3"/>
    <n v="166665"/>
    <n v="28987.173913043487"/>
    <s v="O-45679-D-0025"/>
    <x v="0"/>
  </r>
  <r>
    <s v="F-132"/>
    <x v="12"/>
    <s v="D-0025"/>
    <x v="25"/>
    <s v="Dhaka"/>
    <s v=""/>
    <x v="2"/>
    <s v="Captive Sales"/>
    <x v="13"/>
    <s v="Dhaka"/>
    <x v="22"/>
    <s v="System Keep Clean Petrol"/>
    <n v="480"/>
    <n v="170"/>
    <n v="24"/>
    <m/>
    <n v="0"/>
    <n v="170"/>
    <n v="480"/>
    <n v="24"/>
    <n v="81600"/>
    <n v="0"/>
    <n v="81600"/>
    <n v="10643.478260869566"/>
    <n v="70956.521739130432"/>
    <s v="Credit"/>
    <n v="601"/>
    <s v="Flat Discount"/>
    <d v="2025-01-22T00:00:00"/>
    <s v=""/>
    <x v="2"/>
    <s v="Care Products"/>
    <x v="1"/>
    <x v="4"/>
    <x v="8"/>
    <n v="0"/>
    <x v="7"/>
    <n v="63393.599999999999"/>
    <n v="7562.9217391304337"/>
    <s v="O-45679-D-0025"/>
    <x v="0"/>
  </r>
  <r>
    <s v="F-133"/>
    <x v="10"/>
    <s v="D-0003"/>
    <x v="14"/>
    <s v="Kodalipol, Moulvibazar"/>
    <s v="01784-667321"/>
    <x v="3"/>
    <s v="Razur Rahman (Bipul)"/>
    <x v="8"/>
    <s v="Taltola"/>
    <x v="0"/>
    <s v="3000 4T PLUS 10W30"/>
    <n v="20"/>
    <n v="530"/>
    <n v="20"/>
    <m/>
    <n v="0"/>
    <n v="530"/>
    <n v="20"/>
    <n v="20"/>
    <n v="10600"/>
    <n v="0"/>
    <n v="10600"/>
    <n v="1382.608695652174"/>
    <n v="9217.391304347826"/>
    <s v="Cash"/>
    <n v="602"/>
    <s v="Flat Discount"/>
    <d v="2025-01-22T00:00:00"/>
    <s v=""/>
    <x v="1"/>
    <s v="Mineral"/>
    <x v="0"/>
    <x v="0"/>
    <x v="0"/>
    <n v="0"/>
    <x v="0"/>
    <n v="7586.5999999999995"/>
    <n v="1630.7913043478266"/>
    <s v="O-45677-D-0003"/>
    <x v="0"/>
  </r>
  <r>
    <s v="F-133"/>
    <x v="10"/>
    <s v="D-0003"/>
    <x v="14"/>
    <s v="Kodalipol, Moulvibazar"/>
    <s v="01784-667321"/>
    <x v="3"/>
    <s v="Razur Rahman (Bipul)"/>
    <x v="8"/>
    <s v="Taltola"/>
    <x v="7"/>
    <s v="7100 4T 10W30 ESTER CORE®"/>
    <n v="12"/>
    <n v="1060"/>
    <n v="12"/>
    <m/>
    <n v="0"/>
    <n v="1060"/>
    <n v="12"/>
    <n v="12"/>
    <n v="12720"/>
    <n v="0"/>
    <n v="12720"/>
    <n v="1659.1304347826087"/>
    <n v="11060.869565217392"/>
    <s v="Cash"/>
    <n v="602"/>
    <s v="Flat Discount"/>
    <d v="2025-01-22T00:00:00"/>
    <s v=""/>
    <x v="1"/>
    <s v="Synthetic"/>
    <x v="0"/>
    <x v="0"/>
    <x v="3"/>
    <n v="0"/>
    <x v="2"/>
    <n v="8278.32"/>
    <n v="2782.5495652173922"/>
    <s v="O-45677-D-0003"/>
    <x v="0"/>
  </r>
  <r>
    <s v="F-134"/>
    <x v="10"/>
    <s v="D-0003"/>
    <x v="27"/>
    <s v="Kazitula, Sylhet"/>
    <s v="01772-180923"/>
    <x v="3"/>
    <s v="Razur Rahman (Bipul)"/>
    <x v="8"/>
    <s v="Taltola"/>
    <x v="2"/>
    <s v="3000 4T PLUS 10W40"/>
    <n v="20"/>
    <n v="535"/>
    <n v="20"/>
    <m/>
    <n v="0"/>
    <n v="535"/>
    <n v="20"/>
    <n v="20"/>
    <n v="10700"/>
    <n v="0"/>
    <n v="10700"/>
    <n v="1395.6521739130435"/>
    <n v="9304.347826086956"/>
    <s v="Cash"/>
    <n v="603"/>
    <s v="Flat Discount"/>
    <d v="2025-01-22T00:00:00"/>
    <s v=""/>
    <x v="1"/>
    <s v="Mineral"/>
    <x v="0"/>
    <x v="2"/>
    <x v="0"/>
    <n v="0"/>
    <x v="0"/>
    <n v="7697"/>
    <n v="1607.347826086956"/>
    <s v="O-45677-D-0003"/>
    <x v="0"/>
  </r>
  <r>
    <s v="F-134"/>
    <x v="10"/>
    <s v="D-0003"/>
    <x v="27"/>
    <s v="Kazitula, Sylhet"/>
    <s v="01772-180923"/>
    <x v="3"/>
    <s v="Razur Rahman (Bipul)"/>
    <x v="8"/>
    <s v="Taltola"/>
    <x v="11"/>
    <s v="7100 4T 10W30 ESTER CORE®"/>
    <n v="20"/>
    <n v="1260"/>
    <n v="24"/>
    <m/>
    <n v="0"/>
    <n v="1260"/>
    <n v="20"/>
    <n v="24"/>
    <n v="25200"/>
    <n v="0"/>
    <n v="25200"/>
    <n v="3286.9565217391305"/>
    <n v="21913.043478260868"/>
    <s v="Cash"/>
    <n v="603"/>
    <s v="Flat Discount"/>
    <d v="2025-01-22T00:00:00"/>
    <s v=""/>
    <x v="1"/>
    <s v="Synthetic"/>
    <x v="0"/>
    <x v="0"/>
    <x v="3"/>
    <n v="0"/>
    <x v="1"/>
    <n v="15546"/>
    <n v="6367.0434782608681"/>
    <s v="O-45677-D-0003"/>
    <x v="0"/>
  </r>
  <r>
    <s v="F-135"/>
    <x v="10"/>
    <s v="D-0023"/>
    <x v="28"/>
    <s v="Thana Road,Gobindaganj, Gaibandha "/>
    <n v="1710792122"/>
    <x v="6"/>
    <s v="Raihan Siddiqui"/>
    <x v="9"/>
    <s v="Rangpur"/>
    <x v="0"/>
    <s v="3000 4T PLUS 10W30"/>
    <n v="100"/>
    <n v="530"/>
    <n v="100"/>
    <m/>
    <n v="0"/>
    <n v="530"/>
    <n v="100"/>
    <n v="100"/>
    <n v="53000"/>
    <n v="0"/>
    <n v="53000"/>
    <n v="6913.04347826087"/>
    <n v="46086.956521739128"/>
    <s v="Cash"/>
    <n v="604"/>
    <s v="Flat Discount"/>
    <d v="2025-01-22T00:00:00"/>
    <s v=""/>
    <x v="3"/>
    <s v="Mineral"/>
    <x v="0"/>
    <x v="0"/>
    <x v="0"/>
    <n v="0"/>
    <x v="0"/>
    <n v="37933"/>
    <n v="8153.9565217391282"/>
    <s v="O-45677-D-0023"/>
    <x v="0"/>
  </r>
  <r>
    <s v="F-135"/>
    <x v="10"/>
    <s v="D-0023"/>
    <x v="28"/>
    <s v="Thana Road,Gobindaganj, Gaibandha "/>
    <n v="1710792122"/>
    <x v="6"/>
    <s v="Raihan Siddiqui"/>
    <x v="9"/>
    <s v="Rangpur"/>
    <x v="2"/>
    <s v="3000 4T PLUS 10W40"/>
    <n v="200"/>
    <n v="535"/>
    <n v="200"/>
    <m/>
    <n v="0"/>
    <n v="535"/>
    <n v="200"/>
    <n v="200"/>
    <n v="107000"/>
    <n v="0"/>
    <n v="107000"/>
    <n v="13956.521739130434"/>
    <n v="93043.478260869568"/>
    <s v="Cash"/>
    <n v="604"/>
    <s v="Flat Discount"/>
    <d v="2025-01-22T00:00:00"/>
    <s v=""/>
    <x v="3"/>
    <s v="Mineral"/>
    <x v="0"/>
    <x v="2"/>
    <x v="0"/>
    <n v="0"/>
    <x v="0"/>
    <n v="76970"/>
    <n v="16073.478260869568"/>
    <s v="O-45677-D-0023"/>
    <x v="0"/>
  </r>
  <r>
    <s v="F-137"/>
    <x v="13"/>
    <s v="D-0008"/>
    <x v="29"/>
    <s v="Notullabad, Barishal."/>
    <s v="01739-786222"/>
    <x v="8"/>
    <s v="Abdul Matin"/>
    <x v="14"/>
    <s v="Barishal Sadar"/>
    <x v="3"/>
    <s v="3000 4T PLUS 10W30"/>
    <n v="40"/>
    <n v="640"/>
    <n v="48"/>
    <m/>
    <n v="0"/>
    <n v="640"/>
    <n v="40"/>
    <n v="48"/>
    <n v="25600"/>
    <n v="0"/>
    <n v="25600"/>
    <n v="3339.1304347826085"/>
    <n v="22260.869565217392"/>
    <s v="Cash"/>
    <n v="606"/>
    <s v="Flat Discount"/>
    <d v="2025-01-23T00:00:00"/>
    <s v=""/>
    <x v="0"/>
    <s v="Mineral"/>
    <x v="0"/>
    <x v="0"/>
    <x v="0"/>
    <n v="0"/>
    <x v="1"/>
    <n v="17556"/>
    <n v="4704.8695652173919"/>
    <s v="O-45680-D-0008"/>
    <x v="0"/>
  </r>
  <r>
    <s v="F-137"/>
    <x v="13"/>
    <s v="D-0008"/>
    <x v="29"/>
    <s v="Notullabad, Barishal."/>
    <s v="01739-786222"/>
    <x v="8"/>
    <s v="Abdul Matin"/>
    <x v="14"/>
    <s v="Barishal Sadar"/>
    <x v="19"/>
    <s v="51004T 10W30 ESTER"/>
    <n v="24"/>
    <n v="860"/>
    <n v="24"/>
    <m/>
    <n v="0"/>
    <n v="860"/>
    <n v="24"/>
    <n v="24"/>
    <n v="20640"/>
    <n v="0"/>
    <n v="20640"/>
    <n v="2692.1739130434785"/>
    <n v="17947.82608695652"/>
    <s v="Cash"/>
    <n v="606"/>
    <s v="Flat Discount"/>
    <d v="2025-01-23T00:00:00"/>
    <s v=""/>
    <x v="0"/>
    <s v="Technosynthese"/>
    <x v="0"/>
    <x v="0"/>
    <x v="2"/>
    <n v="0"/>
    <x v="2"/>
    <n v="14463.36"/>
    <n v="3484.4660869565196"/>
    <s v="O-45680-D-0008"/>
    <x v="0"/>
  </r>
  <r>
    <s v="F-137"/>
    <x v="13"/>
    <s v="D-0008"/>
    <x v="29"/>
    <s v="Notullabad, Barishal."/>
    <s v="01739-786222"/>
    <x v="8"/>
    <s v="Abdul Matin"/>
    <x v="14"/>
    <s v="Barishal Sadar"/>
    <x v="11"/>
    <s v="7100 4T 10W30 ESTER CORE®"/>
    <n v="20"/>
    <n v="1260"/>
    <n v="24"/>
    <m/>
    <n v="0"/>
    <n v="1260"/>
    <n v="20"/>
    <n v="24"/>
    <n v="25200"/>
    <n v="0"/>
    <n v="25200"/>
    <n v="3286.9565217391305"/>
    <n v="21913.043478260868"/>
    <s v="Cash"/>
    <n v="606"/>
    <s v="Flat Discount"/>
    <d v="2025-01-23T00:00:00"/>
    <s v=""/>
    <x v="0"/>
    <s v="Synthetic"/>
    <x v="0"/>
    <x v="0"/>
    <x v="3"/>
    <n v="0"/>
    <x v="1"/>
    <n v="15546"/>
    <n v="6367.0434782608681"/>
    <s v="O-45680-D-0008"/>
    <x v="0"/>
  </r>
  <r>
    <s v="F-138"/>
    <x v="13"/>
    <s v="D-0008"/>
    <x v="29"/>
    <s v="Notullabad, Barishal."/>
    <s v="01739-786222"/>
    <x v="8"/>
    <s v="Abdul Matin"/>
    <x v="14"/>
    <s v="Barishal Sadar"/>
    <x v="21"/>
    <s v="31004T GOLD 10W30"/>
    <n v="40"/>
    <n v="0"/>
    <n v="40"/>
    <m/>
    <n v="0"/>
    <n v="0"/>
    <n v="40"/>
    <n v="40"/>
    <n v="0"/>
    <n v="0"/>
    <n v="0"/>
    <n v="0"/>
    <n v="0"/>
    <s v="free"/>
    <n v="607"/>
    <s v="Flat Discount"/>
    <d v="2025-01-23T00:00:00"/>
    <s v="Free from Ceo"/>
    <x v="0"/>
    <s v="Technosynthese"/>
    <x v="0"/>
    <x v="0"/>
    <x v="1"/>
    <n v="0"/>
    <x v="0"/>
    <n v="17004"/>
    <n v="-17004"/>
    <s v="O-45680-D-0008"/>
    <x v="0"/>
  </r>
  <r>
    <s v="F-139"/>
    <x v="10"/>
    <s v="D-0006"/>
    <x v="18"/>
    <s v="C/25/5, Thana Road Bus stand, Savar, Dhaka."/>
    <s v="01715414646"/>
    <x v="0"/>
    <s v="Abdul Matin"/>
    <x v="7"/>
    <s v="Savar"/>
    <x v="0"/>
    <s v="3000 4T PLUS 10W30"/>
    <n v="300"/>
    <n v="528"/>
    <n v="300"/>
    <m/>
    <n v="0"/>
    <n v="528"/>
    <n v="300"/>
    <n v="300"/>
    <n v="158400"/>
    <n v="0"/>
    <n v="158400"/>
    <n v="20660.869565217392"/>
    <n v="137739.13043478262"/>
    <s v="Cash"/>
    <n v="608"/>
    <s v="Flat Discount"/>
    <d v="2025-01-26T00:00:00"/>
    <s v="Special Discount 2 Taka Per Liter will be provided."/>
    <x v="0"/>
    <s v="Mineral"/>
    <x v="0"/>
    <x v="0"/>
    <x v="0"/>
    <n v="0"/>
    <x v="0"/>
    <n v="113799"/>
    <n v="23940.130434782623"/>
    <s v="O-45677-D-0006"/>
    <x v="0"/>
  </r>
  <r>
    <s v="F-139"/>
    <x v="10"/>
    <s v="D-0006"/>
    <x v="18"/>
    <s v="C/25/5, Thana Road Bus stand, Savar, Dhaka."/>
    <s v="01715414646"/>
    <x v="0"/>
    <s v="Abdul Matin"/>
    <x v="7"/>
    <s v="Savar"/>
    <x v="1"/>
    <s v="3000 4T PLUS 20W40"/>
    <n v="100"/>
    <n v="528"/>
    <n v="100"/>
    <m/>
    <n v="0"/>
    <n v="528"/>
    <n v="100"/>
    <n v="100"/>
    <n v="52800"/>
    <n v="0"/>
    <n v="52800"/>
    <n v="6886.95652173913"/>
    <n v="45913.043478260872"/>
    <s v="Cash"/>
    <n v="608"/>
    <s v="Flat Discount"/>
    <d v="2025-01-26T00:00:00"/>
    <s v="Special Discount 2 Taka Per Liter will be provided."/>
    <x v="0"/>
    <s v="Mineral"/>
    <x v="0"/>
    <x v="1"/>
    <x v="0"/>
    <n v="0"/>
    <x v="0"/>
    <n v="41276"/>
    <n v="4637.0434782608718"/>
    <s v="O-45677-D-0006"/>
    <x v="0"/>
  </r>
  <r>
    <s v="F-139"/>
    <x v="10"/>
    <s v="D-0006"/>
    <x v="18"/>
    <s v="C/25/5, Thana Road Bus stand, Savar, Dhaka."/>
    <s v="01715414646"/>
    <x v="0"/>
    <s v="Abdul Matin"/>
    <x v="7"/>
    <s v="Savar"/>
    <x v="2"/>
    <s v="3000 4T PLUS 10W40"/>
    <n v="600"/>
    <n v="533"/>
    <n v="600"/>
    <m/>
    <n v="0"/>
    <n v="533"/>
    <n v="600"/>
    <n v="600"/>
    <n v="319800"/>
    <n v="0"/>
    <n v="319800"/>
    <n v="41713.043478260872"/>
    <n v="278086.95652173914"/>
    <s v="Cash"/>
    <n v="608"/>
    <s v="Flat Discount"/>
    <d v="2025-01-26T00:00:00"/>
    <s v="Special Discount 2 Taka Per Liter will be provided."/>
    <x v="0"/>
    <s v="Mineral"/>
    <x v="0"/>
    <x v="2"/>
    <x v="0"/>
    <n v="0"/>
    <x v="0"/>
    <n v="230910"/>
    <n v="47176.956521739135"/>
    <s v="O-45677-D-0006"/>
    <x v="0"/>
  </r>
  <r>
    <s v="F-139"/>
    <x v="10"/>
    <s v="D-0006"/>
    <x v="18"/>
    <s v="C/25/5, Thana Road Bus stand, Savar, Dhaka."/>
    <s v="01715414646"/>
    <x v="0"/>
    <s v="Abdul Matin"/>
    <x v="7"/>
    <s v="Savar"/>
    <x v="12"/>
    <s v="3000 4T 20W50"/>
    <n v="200"/>
    <n v="493"/>
    <n v="200"/>
    <m/>
    <n v="0"/>
    <n v="493"/>
    <n v="200"/>
    <n v="200"/>
    <n v="98600"/>
    <n v="0"/>
    <n v="98600"/>
    <n v="12860.869565217392"/>
    <n v="85739.130434782608"/>
    <s v="Cash"/>
    <n v="608"/>
    <s v="Flat Discount"/>
    <d v="2025-01-26T00:00:00"/>
    <s v="Special Discount 2 Taka Per Liter will be provided."/>
    <x v="0"/>
    <s v="Mineral"/>
    <x v="0"/>
    <x v="3"/>
    <x v="0"/>
    <n v="0"/>
    <x v="0"/>
    <n v="72984"/>
    <n v="12755.130434782608"/>
    <s v="O-45677-D-0006"/>
    <x v="0"/>
  </r>
  <r>
    <s v="F-140"/>
    <x v="13"/>
    <s v="D-0023"/>
    <x v="30"/>
    <s v="Salo Market, Shapla Chottor,Rangpur"/>
    <n v="1737144950"/>
    <x v="6"/>
    <s v="Raihan Siddiqui"/>
    <x v="9"/>
    <s v="Rangpur"/>
    <x v="2"/>
    <s v="3000 4T PLUS 10W40"/>
    <n v="400"/>
    <n v="535"/>
    <n v="400"/>
    <m/>
    <n v="0"/>
    <n v="535"/>
    <n v="400"/>
    <n v="400"/>
    <n v="214000"/>
    <n v="0"/>
    <n v="214000"/>
    <n v="27913.043478260868"/>
    <n v="186086.95652173914"/>
    <s v="Cash"/>
    <n v="609"/>
    <s v="Flat Discount"/>
    <d v="2025-01-26T00:00:00"/>
    <s v=""/>
    <x v="3"/>
    <s v="Mineral"/>
    <x v="0"/>
    <x v="2"/>
    <x v="0"/>
    <n v="0"/>
    <x v="0"/>
    <n v="153940"/>
    <n v="32146.956521739135"/>
    <s v="O-45680-D-0023"/>
    <x v="0"/>
  </r>
  <r>
    <s v="F-140"/>
    <x v="13"/>
    <s v="D-0023"/>
    <x v="30"/>
    <s v="Salo Market, Shapla Chottor,Rangpur"/>
    <n v="1737144950"/>
    <x v="6"/>
    <s v="Raihan Siddiqui"/>
    <x v="9"/>
    <s v="Rangpur"/>
    <x v="7"/>
    <s v="7100 4T 10W30 ESTER CORE®"/>
    <n v="24"/>
    <n v="1060"/>
    <n v="24"/>
    <m/>
    <n v="0"/>
    <n v="1060"/>
    <n v="24"/>
    <n v="24"/>
    <n v="25440"/>
    <n v="0"/>
    <n v="25440"/>
    <n v="3318.2608695652175"/>
    <n v="22121.739130434784"/>
    <s v="Cash"/>
    <n v="609"/>
    <s v="Flat Discount"/>
    <d v="2025-01-26T00:00:00"/>
    <s v=""/>
    <x v="3"/>
    <s v="Synthetic"/>
    <x v="0"/>
    <x v="0"/>
    <x v="3"/>
    <n v="0"/>
    <x v="2"/>
    <n v="16556.64"/>
    <n v="5565.0991304347845"/>
    <s v="O-45680-D-0023"/>
    <x v="0"/>
  </r>
  <r>
    <s v="F-140"/>
    <x v="13"/>
    <s v="D-0023"/>
    <x v="30"/>
    <s v="Salo Market, Shapla Chottor,Rangpur"/>
    <n v="1737144950"/>
    <x v="6"/>
    <s v="Raihan Siddiqui"/>
    <x v="9"/>
    <s v="Rangpur"/>
    <x v="9"/>
    <s v="7100 4T 20W50 ESTER CORE®"/>
    <n v="24"/>
    <n v="1070"/>
    <n v="24"/>
    <m/>
    <n v="0"/>
    <n v="1070"/>
    <n v="24"/>
    <n v="24"/>
    <n v="25680"/>
    <n v="0"/>
    <n v="25680"/>
    <n v="3349.5652173913045"/>
    <n v="22330.434782608696"/>
    <s v="Cash"/>
    <n v="609"/>
    <s v="Flat Discount"/>
    <d v="2025-01-26T00:00:00"/>
    <s v=""/>
    <x v="3"/>
    <s v="Synthetic"/>
    <x v="0"/>
    <x v="3"/>
    <x v="3"/>
    <n v="0"/>
    <x v="2"/>
    <n v="18328.761599999998"/>
    <n v="4001.673182608698"/>
    <s v="O-45680-D-0023"/>
    <x v="0"/>
  </r>
  <r>
    <s v="F-141"/>
    <x v="14"/>
    <s v="D-0003"/>
    <x v="20"/>
    <s v="Taltola, Sylhet"/>
    <s v="01711-700652"/>
    <x v="3"/>
    <s v="Razur Rahman (Bipul)"/>
    <x v="8"/>
    <s v="Taltola"/>
    <x v="23"/>
    <s v="2000 Multi Power 20W50"/>
    <n v="1"/>
    <n v="1800"/>
    <n v="4"/>
    <m/>
    <n v="0"/>
    <n v="1800"/>
    <n v="1"/>
    <n v="4"/>
    <n v="1800"/>
    <n v="0"/>
    <n v="1800"/>
    <n v="234.78260869565219"/>
    <n v="1565.2173913043478"/>
    <s v="Cash"/>
    <n v="610"/>
    <s v="Flat Discount"/>
    <d v="2025-01-27T00:00:00"/>
    <s v=""/>
    <x v="1"/>
    <s v="Mineral"/>
    <x v="2"/>
    <x v="3"/>
    <x v="10"/>
    <n v="0"/>
    <x v="5"/>
    <n v="1095.45"/>
    <n v="469.76739130434771"/>
    <s v="O-45683-D-0003"/>
    <x v="0"/>
  </r>
  <r>
    <s v="F-141"/>
    <x v="14"/>
    <s v="D-0003"/>
    <x v="20"/>
    <s v="Taltola, Sylhet"/>
    <s v="01711-700652"/>
    <x v="3"/>
    <s v="Razur Rahman (Bipul)"/>
    <x v="8"/>
    <s v="Taltola"/>
    <x v="24"/>
    <s v="4000 Motion Plus 15W40"/>
    <n v="3"/>
    <n v="2700"/>
    <n v="12"/>
    <m/>
    <n v="0"/>
    <n v="2700"/>
    <n v="3"/>
    <n v="12"/>
    <n v="8100"/>
    <n v="0"/>
    <n v="8100"/>
    <n v="1056.5217391304348"/>
    <n v="7043.478260869565"/>
    <s v="Cash"/>
    <n v="610"/>
    <s v="Flat Discount"/>
    <d v="2025-01-27T00:00:00"/>
    <s v=""/>
    <x v="1"/>
    <s v="Mineral"/>
    <x v="2"/>
    <x v="6"/>
    <x v="11"/>
    <n v="0"/>
    <x v="5"/>
    <n v="3968.31"/>
    <n v="3075.1682608695651"/>
    <s v="O-45683-D-0003"/>
    <x v="0"/>
  </r>
  <r>
    <s v="F-141"/>
    <x v="14"/>
    <s v="D-0003"/>
    <x v="20"/>
    <s v="Taltola, Sylhet"/>
    <s v="01711-700652"/>
    <x v="3"/>
    <s v="Razur Rahman (Bipul)"/>
    <x v="8"/>
    <s v="Taltola"/>
    <x v="25"/>
    <s v="ECO TEC Clean 0W20"/>
    <n v="1"/>
    <n v="4000"/>
    <n v="4"/>
    <m/>
    <n v="0"/>
    <n v="4000"/>
    <n v="1"/>
    <n v="4"/>
    <n v="4000"/>
    <n v="0"/>
    <n v="4000"/>
    <n v="521.73913043478262"/>
    <n v="3478.2608695652175"/>
    <s v="Cash"/>
    <n v="610"/>
    <s v="Flat Discount"/>
    <d v="2025-01-27T00:00:00"/>
    <s v=""/>
    <x v="1"/>
    <s v="Synthetic"/>
    <x v="2"/>
    <x v="7"/>
    <x v="8"/>
    <n v="0"/>
    <x v="5"/>
    <n v="2323.52"/>
    <n v="1154.7408695652175"/>
    <s v="O-45683-D-0003"/>
    <x v="0"/>
  </r>
  <r>
    <s v="F-142"/>
    <x v="15"/>
    <s v="D-0029"/>
    <x v="3"/>
    <s v="Feni"/>
    <s v="0 18 3110 9784"/>
    <x v="1"/>
    <s v="Razur Rahman (Bipul)"/>
    <x v="15"/>
    <s v="Feni"/>
    <x v="0"/>
    <s v="3000 4T PLUS 10W30"/>
    <n v="20"/>
    <n v="530"/>
    <n v="20"/>
    <m/>
    <n v="0"/>
    <n v="530"/>
    <n v="20"/>
    <n v="20"/>
    <n v="10600"/>
    <n v="0"/>
    <n v="10600"/>
    <n v="1382.608695652174"/>
    <n v="9217.391304347826"/>
    <s v="Cash"/>
    <n v="611"/>
    <s v="Flat Discount"/>
    <d v="2025-01-27T00:00:00"/>
    <s v=" "/>
    <x v="1"/>
    <s v="Mineral"/>
    <x v="0"/>
    <x v="0"/>
    <x v="0"/>
    <n v="0"/>
    <x v="0"/>
    <n v="7586.5999999999995"/>
    <n v="1630.7913043478266"/>
    <s v="O-45684-D-0029"/>
    <x v="0"/>
  </r>
  <r>
    <s v="F-142"/>
    <x v="15"/>
    <s v="D-0029"/>
    <x v="3"/>
    <s v="Feni"/>
    <s v="0 18 3110 9784"/>
    <x v="1"/>
    <s v="Razur Rahman (Bipul)"/>
    <x v="15"/>
    <s v="Feni"/>
    <x v="1"/>
    <s v="3000 4T PLUS 20W40"/>
    <n v="20"/>
    <n v="530"/>
    <n v="20"/>
    <m/>
    <n v="0"/>
    <n v="530"/>
    <n v="20"/>
    <n v="20"/>
    <n v="10600"/>
    <n v="0"/>
    <n v="10600"/>
    <n v="1382.608695652174"/>
    <n v="9217.391304347826"/>
    <s v="Cash"/>
    <n v="611"/>
    <s v="Flat Discount"/>
    <d v="2025-01-27T00:00:00"/>
    <s v=" "/>
    <x v="1"/>
    <s v="Mineral"/>
    <x v="0"/>
    <x v="1"/>
    <x v="0"/>
    <n v="0"/>
    <x v="0"/>
    <n v="8255.2000000000007"/>
    <n v="962.19130434782528"/>
    <s v="O-45684-D-0029"/>
    <x v="0"/>
  </r>
  <r>
    <s v="F-142"/>
    <x v="15"/>
    <s v="D-0029"/>
    <x v="3"/>
    <s v="Feni"/>
    <s v="0 18 3110 9784"/>
    <x v="1"/>
    <s v="Razur Rahman (Bipul)"/>
    <x v="15"/>
    <s v="Feni"/>
    <x v="2"/>
    <s v="3000 4T PLUS 10W40"/>
    <n v="80"/>
    <n v="535"/>
    <n v="80"/>
    <m/>
    <n v="0"/>
    <n v="535"/>
    <n v="80"/>
    <n v="80"/>
    <n v="42800"/>
    <n v="0"/>
    <n v="42800"/>
    <n v="5582.608695652174"/>
    <n v="37217.391304347824"/>
    <s v="Cash"/>
    <n v="611"/>
    <s v="Flat Discount"/>
    <d v="2025-01-27T00:00:00"/>
    <s v=" "/>
    <x v="1"/>
    <s v="Mineral"/>
    <x v="0"/>
    <x v="2"/>
    <x v="0"/>
    <n v="0"/>
    <x v="0"/>
    <n v="30788"/>
    <n v="6429.3913043478242"/>
    <s v="O-45684-D-0029"/>
    <x v="0"/>
  </r>
  <r>
    <s v="F-142"/>
    <x v="15"/>
    <s v="D-0029"/>
    <x v="3"/>
    <s v="Feni"/>
    <s v="0 18 3110 9784"/>
    <x v="1"/>
    <s v="Razur Rahman (Bipul)"/>
    <x v="15"/>
    <s v="Feni"/>
    <x v="12"/>
    <s v="3000 4T 20W50"/>
    <n v="20"/>
    <n v="495"/>
    <n v="20"/>
    <m/>
    <n v="0"/>
    <n v="495"/>
    <n v="20"/>
    <n v="20"/>
    <n v="9900"/>
    <n v="0"/>
    <n v="9900"/>
    <n v="1291.304347826087"/>
    <n v="8608.6956521739139"/>
    <s v="Cash"/>
    <n v="611"/>
    <s v="Flat Discount"/>
    <d v="2025-01-27T00:00:00"/>
    <s v=" "/>
    <x v="1"/>
    <s v="Mineral"/>
    <x v="0"/>
    <x v="3"/>
    <x v="0"/>
    <n v="0"/>
    <x v="0"/>
    <n v="7298.4000000000005"/>
    <n v="1310.2956521739134"/>
    <s v="O-45684-D-0029"/>
    <x v="0"/>
  </r>
  <r>
    <s v="F-143"/>
    <x v="14"/>
    <s v="D-0011"/>
    <x v="21"/>
    <s v="Registry Para, Tangail Sadar"/>
    <s v="01521-308494"/>
    <x v="7"/>
    <s v="Raihan Siddiqui"/>
    <x v="11"/>
    <s v="Bogura Sadar"/>
    <x v="1"/>
    <s v="3000 4T PLUS 20W40"/>
    <n v="40"/>
    <n v="530"/>
    <n v="40"/>
    <m/>
    <n v="0"/>
    <n v="530"/>
    <n v="40"/>
    <n v="40"/>
    <n v="21200"/>
    <n v="0"/>
    <n v="21200"/>
    <n v="2765.217391304348"/>
    <n v="18434.782608695652"/>
    <s v="Cash"/>
    <n v="612"/>
    <s v="Flat Discount"/>
    <d v="2025-01-28T00:00:00"/>
    <s v=""/>
    <x v="3"/>
    <s v="Mineral"/>
    <x v="0"/>
    <x v="1"/>
    <x v="0"/>
    <n v="0"/>
    <x v="0"/>
    <n v="16510.400000000001"/>
    <n v="1924.3826086956506"/>
    <s v="O-45683-D-0011"/>
    <x v="0"/>
  </r>
  <r>
    <s v="F-143"/>
    <x v="14"/>
    <s v="D-0011"/>
    <x v="21"/>
    <s v="Registry Para, Tangail Sadar"/>
    <s v="01521-308494"/>
    <x v="7"/>
    <s v="Raihan Siddiqui"/>
    <x v="11"/>
    <s v="Bogura Sadar"/>
    <x v="2"/>
    <s v="3000 4T PLUS 10W40"/>
    <n v="120"/>
    <n v="535"/>
    <n v="120"/>
    <m/>
    <n v="0"/>
    <n v="535"/>
    <n v="120"/>
    <n v="120"/>
    <n v="64200"/>
    <n v="0"/>
    <n v="64200"/>
    <n v="8373.9130434782601"/>
    <n v="55826.086956521736"/>
    <s v="Cash"/>
    <n v="612"/>
    <s v="Flat Discount"/>
    <d v="2025-01-28T00:00:00"/>
    <s v=""/>
    <x v="3"/>
    <s v="Mineral"/>
    <x v="0"/>
    <x v="2"/>
    <x v="0"/>
    <n v="0"/>
    <x v="0"/>
    <n v="46182"/>
    <n v="9644.0869565217363"/>
    <s v="O-45683-D-0011"/>
    <x v="0"/>
  </r>
  <r>
    <s v="F-143"/>
    <x v="14"/>
    <s v="D-0011"/>
    <x v="21"/>
    <s v="Registry Para, Tangail Sadar"/>
    <s v="01521-308494"/>
    <x v="7"/>
    <s v="Raihan Siddiqui"/>
    <x v="11"/>
    <s v="Bogura Sadar"/>
    <x v="3"/>
    <s v="3000 4T PLUS 10W30"/>
    <n v="40"/>
    <n v="640"/>
    <n v="48"/>
    <m/>
    <n v="0"/>
    <n v="640"/>
    <n v="40"/>
    <n v="48"/>
    <n v="25600"/>
    <n v="0"/>
    <n v="25600"/>
    <n v="3339.1304347826085"/>
    <n v="22260.869565217392"/>
    <s v="Cash"/>
    <n v="612"/>
    <s v="Flat Discount"/>
    <d v="2025-01-28T00:00:00"/>
    <s v=""/>
    <x v="3"/>
    <s v="Mineral"/>
    <x v="0"/>
    <x v="0"/>
    <x v="0"/>
    <n v="0"/>
    <x v="1"/>
    <n v="17556"/>
    <n v="4704.8695652173919"/>
    <s v="O-45683-D-0011"/>
    <x v="0"/>
  </r>
  <r>
    <s v="F-144"/>
    <x v="16"/>
    <s v="D-0014"/>
    <x v="31"/>
    <s v="Dharmapur, Cumilla"/>
    <s v="01630-194839"/>
    <x v="3"/>
    <s v="Razur Rahman (Bipul)"/>
    <x v="3"/>
    <s v="Paduar Bazar Bisso Road"/>
    <x v="4"/>
    <s v="3000 4T PLUS 20W40"/>
    <n v="20"/>
    <n v="640"/>
    <n v="24"/>
    <n v="0"/>
    <n v="0"/>
    <n v="640"/>
    <n v="20"/>
    <n v="24"/>
    <n v="12800"/>
    <n v="0"/>
    <n v="12800"/>
    <n v="1669.5652173913043"/>
    <n v="11130.434782608696"/>
    <s v="Cash"/>
    <n v="613"/>
    <s v="Flat Discount"/>
    <d v="2025-01-28T00:00:00"/>
    <s v=""/>
    <x v="1"/>
    <s v="Mineral"/>
    <x v="0"/>
    <x v="1"/>
    <x v="0"/>
    <n v="0"/>
    <x v="1"/>
    <n v="9397.9559070121941"/>
    <n v="1732.4788755965019"/>
    <s v="O-45685-D-0014"/>
    <x v="0"/>
  </r>
  <r>
    <s v="F-144"/>
    <x v="16"/>
    <s v="D-0014"/>
    <x v="31"/>
    <s v="Dharmapur, Cumilla"/>
    <s v="01630-194839"/>
    <x v="3"/>
    <s v="Razur Rahman (Bipul)"/>
    <x v="3"/>
    <s v="Paduar Bazar Bisso Road"/>
    <x v="18"/>
    <s v="Inugel Expert Coolant"/>
    <n v="20"/>
    <n v="420"/>
    <n v="20"/>
    <n v="0"/>
    <n v="0"/>
    <n v="420"/>
    <n v="20"/>
    <n v="20"/>
    <n v="8400"/>
    <n v="0"/>
    <n v="8400"/>
    <n v="1095.6521739130435"/>
    <n v="7304.347826086957"/>
    <s v="Cash"/>
    <n v="613"/>
    <s v="Flat Discount"/>
    <d v="2025-01-28T00:00:00"/>
    <s v=""/>
    <x v="1"/>
    <s v="Care Products"/>
    <x v="1"/>
    <x v="4"/>
    <x v="9"/>
    <n v="0"/>
    <x v="0"/>
    <n v="4612.7999999999993"/>
    <n v="2691.5478260869577"/>
    <s v="O-45685-D-0014"/>
    <x v="0"/>
  </r>
  <r>
    <s v="F-144"/>
    <x v="16"/>
    <s v="D-0014"/>
    <x v="31"/>
    <s v="Dharmapur, Cumilla"/>
    <s v="01630-194839"/>
    <x v="3"/>
    <s v="Razur Rahman (Bipul)"/>
    <x v="3"/>
    <s v="Paduar Bazar Bisso Road"/>
    <x v="12"/>
    <s v="3000 4T 20W50"/>
    <n v="40"/>
    <n v="490"/>
    <n v="40"/>
    <n v="0"/>
    <n v="0"/>
    <n v="490"/>
    <n v="40"/>
    <n v="40"/>
    <n v="19600"/>
    <n v="0"/>
    <n v="19600"/>
    <n v="2556.521739130435"/>
    <n v="17043.478260869564"/>
    <s v="Cash"/>
    <n v="613"/>
    <s v="Flat Discount"/>
    <d v="2025-01-28T00:00:00"/>
    <s v=""/>
    <x v="1"/>
    <s v="Mineral"/>
    <x v="0"/>
    <x v="3"/>
    <x v="0"/>
    <n v="0"/>
    <x v="0"/>
    <n v="14596.800000000001"/>
    <n v="2446.678260869563"/>
    <s v="O-45685-D-0014"/>
    <x v="0"/>
  </r>
  <r>
    <s v="F-145"/>
    <x v="16"/>
    <s v="D-0031"/>
    <x v="32"/>
    <s v="Khalishpur, Khulna."/>
    <s v="01706-361484"/>
    <x v="8"/>
    <s v="Abdul Matin"/>
    <x v="16"/>
    <s v="Kashipur"/>
    <x v="0"/>
    <s v="3000 4T PLUS 10W30"/>
    <n v="60"/>
    <n v="530"/>
    <n v="60"/>
    <n v="0"/>
    <n v="0"/>
    <n v="530"/>
    <n v="60"/>
    <n v="60"/>
    <n v="31800"/>
    <n v="0"/>
    <n v="31800"/>
    <n v="4147.826086956522"/>
    <n v="27652.17391304348"/>
    <s v="Cash"/>
    <n v="614"/>
    <s v="Flat Discount"/>
    <d v="2025-01-28T00:00:00"/>
    <s v=""/>
    <x v="0"/>
    <s v="Mineral"/>
    <x v="0"/>
    <x v="0"/>
    <x v="0"/>
    <n v="0"/>
    <x v="0"/>
    <n v="22759.8"/>
    <n v="4892.3739130434806"/>
    <s v="O-45685-D-0031"/>
    <x v="0"/>
  </r>
  <r>
    <s v="F-145"/>
    <x v="16"/>
    <s v="D-0031"/>
    <x v="32"/>
    <s v="Khalishpur, Khulna."/>
    <s v="01706-361484"/>
    <x v="8"/>
    <s v="Abdul Matin"/>
    <x v="16"/>
    <s v="Kashipur"/>
    <x v="1"/>
    <s v="3000 4T PLUS 20W40"/>
    <n v="120"/>
    <n v="525"/>
    <n v="120"/>
    <n v="0"/>
    <n v="0"/>
    <n v="525"/>
    <n v="120"/>
    <n v="120"/>
    <n v="63000"/>
    <n v="0"/>
    <n v="63000"/>
    <n v="8217.391304347826"/>
    <n v="54782.608695652176"/>
    <s v="Cash"/>
    <n v="614"/>
    <s v="Flat Discount"/>
    <d v="2025-01-28T00:00:00"/>
    <s v=""/>
    <x v="0"/>
    <s v="Mineral"/>
    <x v="0"/>
    <x v="1"/>
    <x v="0"/>
    <n v="0"/>
    <x v="0"/>
    <n v="49531.199999999997"/>
    <n v="5251.4086956521787"/>
    <s v="O-45685-D-0031"/>
    <x v="0"/>
  </r>
  <r>
    <s v="F-145"/>
    <x v="16"/>
    <s v="D-0031"/>
    <x v="32"/>
    <s v="Khalishpur, Khulna."/>
    <s v="01706-361484"/>
    <x v="8"/>
    <s v="Abdul Matin"/>
    <x v="16"/>
    <s v="Kashipur"/>
    <x v="5"/>
    <s v="31004T GOLD 20W50"/>
    <n v="20"/>
    <n v="590"/>
    <n v="20"/>
    <n v="0"/>
    <n v="0"/>
    <n v="590"/>
    <n v="20"/>
    <n v="20"/>
    <n v="11800"/>
    <n v="0"/>
    <n v="11800"/>
    <n v="1539.1304347826087"/>
    <n v="10260.869565217392"/>
    <s v="Cash"/>
    <n v="614"/>
    <s v="Flat Discount"/>
    <d v="2025-01-28T00:00:00"/>
    <s v=""/>
    <x v="0"/>
    <s v="Technosynthese"/>
    <x v="0"/>
    <x v="3"/>
    <x v="1"/>
    <n v="0"/>
    <x v="0"/>
    <n v="9387.7999999999993"/>
    <n v="873.06956521739266"/>
    <s v="O-45685-D-0031"/>
    <x v="0"/>
  </r>
  <r>
    <s v="F-145"/>
    <x v="16"/>
    <s v="D-0031"/>
    <x v="32"/>
    <s v="Khalishpur, Khulna."/>
    <s v="01706-361484"/>
    <x v="8"/>
    <s v="Abdul Matin"/>
    <x v="16"/>
    <s v="Kashipur"/>
    <x v="21"/>
    <s v="31004T GOLD 10W30"/>
    <n v="20"/>
    <n v="590"/>
    <n v="20"/>
    <n v="0"/>
    <n v="0"/>
    <n v="590"/>
    <n v="20"/>
    <n v="20"/>
    <n v="11800"/>
    <n v="0"/>
    <n v="11800"/>
    <n v="1539.1304347826087"/>
    <n v="10260.869565217392"/>
    <s v="Cash"/>
    <n v="614"/>
    <s v="Flat Discount"/>
    <d v="2025-01-28T00:00:00"/>
    <s v=""/>
    <x v="0"/>
    <s v="Technosynthese"/>
    <x v="0"/>
    <x v="0"/>
    <x v="1"/>
    <n v="0"/>
    <x v="0"/>
    <n v="8502"/>
    <n v="1758.8695652173919"/>
    <s v="O-45685-D-0031"/>
    <x v="0"/>
  </r>
  <r>
    <s v="F-145"/>
    <x v="16"/>
    <s v="D-0031"/>
    <x v="32"/>
    <s v="Khalishpur, Khulna."/>
    <s v="01706-361484"/>
    <x v="8"/>
    <s v="Abdul Matin"/>
    <x v="16"/>
    <s v="Kashipur"/>
    <x v="7"/>
    <s v="7100 4T 10W30 ESTER CORE®"/>
    <n v="24"/>
    <n v="1070"/>
    <n v="24"/>
    <n v="0"/>
    <n v="0"/>
    <n v="1070"/>
    <n v="24"/>
    <n v="24"/>
    <n v="25680"/>
    <n v="0"/>
    <n v="25680"/>
    <n v="3349.5652173913045"/>
    <n v="22330.434782608696"/>
    <s v="Cash"/>
    <n v="614"/>
    <s v="Flat Discount"/>
    <d v="2025-01-28T00:00:00"/>
    <s v=""/>
    <x v="0"/>
    <s v="Synthetic"/>
    <x v="0"/>
    <x v="0"/>
    <x v="3"/>
    <n v="0"/>
    <x v="2"/>
    <n v="16556.64"/>
    <n v="5773.7947826086966"/>
    <s v="O-45685-D-0031"/>
    <x v="0"/>
  </r>
  <r>
    <s v="F-145"/>
    <x v="16"/>
    <s v="D-0031"/>
    <x v="32"/>
    <s v="Khalishpur, Khulna."/>
    <s v="01706-361484"/>
    <x v="8"/>
    <s v="Abdul Matin"/>
    <x v="16"/>
    <s v="Kashipur"/>
    <x v="9"/>
    <s v="7100 4T 20W50 ESTER CORE®"/>
    <n v="24"/>
    <n v="1070"/>
    <n v="24"/>
    <n v="0"/>
    <n v="0"/>
    <n v="1070"/>
    <n v="24"/>
    <n v="24"/>
    <n v="25680"/>
    <n v="0"/>
    <n v="25680"/>
    <n v="3349.5652173913045"/>
    <n v="22330.434782608696"/>
    <s v="Cash"/>
    <n v="614"/>
    <s v="Flat Discount"/>
    <d v="2025-01-28T00:00:00"/>
    <s v=""/>
    <x v="0"/>
    <s v="Synthetic"/>
    <x v="0"/>
    <x v="3"/>
    <x v="3"/>
    <n v="0"/>
    <x v="2"/>
    <n v="18328.761599999998"/>
    <n v="4001.673182608698"/>
    <s v="O-45685-D-0031"/>
    <x v="0"/>
  </r>
  <r>
    <s v="F-145"/>
    <x v="16"/>
    <s v="D-0031"/>
    <x v="32"/>
    <s v="Khalishpur, Khulna."/>
    <s v="01706-361484"/>
    <x v="8"/>
    <s v="Abdul Matin"/>
    <x v="16"/>
    <s v="Kashipur"/>
    <x v="12"/>
    <s v="3000 4T 20W50"/>
    <n v="100"/>
    <n v="478"/>
    <n v="100"/>
    <n v="0"/>
    <n v="0"/>
    <n v="478"/>
    <n v="100"/>
    <n v="100"/>
    <n v="47800"/>
    <n v="0"/>
    <n v="47800"/>
    <n v="6234.782608695652"/>
    <n v="41565.217391304344"/>
    <s v="Cash"/>
    <n v="614"/>
    <s v="Flat Discount"/>
    <d v="2025-01-28T00:00:00"/>
    <s v=""/>
    <x v="0"/>
    <s v="Mineral"/>
    <x v="0"/>
    <x v="3"/>
    <x v="0"/>
    <n v="0"/>
    <x v="0"/>
    <n v="36492"/>
    <n v="5073.2173913043443"/>
    <s v="O-45685-D-0031"/>
    <x v="0"/>
  </r>
  <r>
    <s v="F-146"/>
    <x v="17"/>
    <s v="D-0026"/>
    <x v="33"/>
    <s v="Dhaka"/>
    <s v=""/>
    <x v="2"/>
    <s v="Captive Sales"/>
    <x v="17"/>
    <s v="Dhaka"/>
    <x v="25"/>
    <s v="ECO TEC Clean 0W20"/>
    <n v="52"/>
    <n v="2880"/>
    <n v="208"/>
    <m/>
    <n v="0"/>
    <n v="2880"/>
    <n v="52"/>
    <n v="208"/>
    <n v="149760"/>
    <n v="0"/>
    <n v="149760"/>
    <n v="19533.91304347826"/>
    <n v="130226.08695652174"/>
    <m/>
    <n v="615"/>
    <s v="Flat Discount"/>
    <d v="2025-01-29T00:00:00"/>
    <s v=""/>
    <x v="2"/>
    <s v="Synthetic"/>
    <x v="2"/>
    <x v="7"/>
    <x v="8"/>
    <n v="0"/>
    <x v="5"/>
    <n v="120823.03999999999"/>
    <n v="9403.04695652175"/>
    <s v="O-45686-D-0026"/>
    <x v="0"/>
  </r>
  <r>
    <s v="F-147"/>
    <x v="17"/>
    <s v="D-0026"/>
    <x v="33"/>
    <s v="Dhaka"/>
    <s v=""/>
    <x v="2"/>
    <s v="Captive Sales"/>
    <x v="17"/>
    <s v="Dhaka"/>
    <x v="26"/>
    <s v="ECO TEC Plus 5W30"/>
    <n v="280"/>
    <n v="2360"/>
    <n v="1120"/>
    <m/>
    <n v="0"/>
    <n v="2360"/>
    <n v="280"/>
    <n v="1120"/>
    <n v="660800"/>
    <n v="0"/>
    <n v="660800"/>
    <n v="86191.304347826081"/>
    <n v="574608.69565217395"/>
    <s v="Cash"/>
    <n v="616"/>
    <s v="Flat Discount"/>
    <d v="2025-01-29T00:00:00"/>
    <s v=""/>
    <x v="2"/>
    <s v="Synthetic"/>
    <x v="2"/>
    <x v="8"/>
    <x v="12"/>
    <n v="0"/>
    <x v="5"/>
    <n v="529835.6"/>
    <n v="44773.095652173972"/>
    <s v="O-45686-d-0026"/>
    <x v="0"/>
  </r>
  <r>
    <s v="F-148"/>
    <x v="16"/>
    <s v="D-0003"/>
    <x v="20"/>
    <s v="Taltola, Sylhet"/>
    <s v="01711-700652"/>
    <x v="3"/>
    <s v="Razur Rahman (Bipul)"/>
    <x v="8"/>
    <s v="Taltola"/>
    <x v="23"/>
    <s v="2000 Multi Power 20W50"/>
    <n v="4"/>
    <n v="1800"/>
    <n v="16"/>
    <n v="0"/>
    <n v="0"/>
    <n v="1800"/>
    <n v="4"/>
    <n v="16"/>
    <n v="7200"/>
    <n v="0"/>
    <n v="7200"/>
    <n v="939.13043478260875"/>
    <n v="6260.869565217391"/>
    <s v="Cash"/>
    <n v="617"/>
    <s v="Flat Discount"/>
    <d v="2025-01-30T00:00:00"/>
    <s v=""/>
    <x v="1"/>
    <s v="Mineral"/>
    <x v="2"/>
    <x v="3"/>
    <x v="10"/>
    <n v="0"/>
    <x v="5"/>
    <n v="4381.8"/>
    <n v="1879.0695652173908"/>
    <s v="O-45685-D-0003"/>
    <x v="0"/>
  </r>
  <r>
    <s v="F-148"/>
    <x v="16"/>
    <s v="D-0003"/>
    <x v="20"/>
    <s v="Taltola, Sylhet"/>
    <s v="01711-700652"/>
    <x v="3"/>
    <s v="Razur Rahman (Bipul)"/>
    <x v="8"/>
    <s v="Taltola"/>
    <x v="25"/>
    <s v="ECO TEC Clean 0W20"/>
    <n v="2"/>
    <n v="4000"/>
    <n v="8"/>
    <n v="0"/>
    <n v="0"/>
    <n v="4000"/>
    <n v="2"/>
    <n v="8"/>
    <n v="8000"/>
    <n v="0"/>
    <n v="8000"/>
    <n v="1043.4782608695652"/>
    <n v="6956.521739130435"/>
    <s v="Cash"/>
    <n v="617"/>
    <s v="Flat Discount"/>
    <d v="2025-01-30T00:00:00"/>
    <s v=""/>
    <x v="1"/>
    <s v="Synthetic"/>
    <x v="2"/>
    <x v="7"/>
    <x v="8"/>
    <n v="0"/>
    <x v="5"/>
    <n v="4647.04"/>
    <n v="2309.481739130435"/>
    <s v="O-45685-D-0003"/>
    <x v="0"/>
  </r>
  <r>
    <s v="F-149"/>
    <x v="16"/>
    <s v="D-0003"/>
    <x v="20"/>
    <s v="Taltola, Sylhet"/>
    <s v="01711-700652"/>
    <x v="3"/>
    <s v="Razur Rahman (Bipul)"/>
    <x v="8"/>
    <s v="Taltola"/>
    <x v="0"/>
    <s v="3000 4T PLUS 10W30"/>
    <n v="100"/>
    <n v="535"/>
    <n v="100"/>
    <n v="0"/>
    <n v="0"/>
    <n v="535"/>
    <n v="100"/>
    <n v="100"/>
    <n v="53500"/>
    <n v="0"/>
    <n v="53500"/>
    <n v="6978.260869565217"/>
    <n v="46521.739130434784"/>
    <s v="Cash"/>
    <n v="618"/>
    <s v="Flat Discount"/>
    <d v="2025-01-30T00:00:00"/>
    <s v=""/>
    <x v="1"/>
    <s v="Mineral"/>
    <x v="0"/>
    <x v="0"/>
    <x v="0"/>
    <n v="0"/>
    <x v="0"/>
    <n v="37933"/>
    <n v="8588.7391304347839"/>
    <s v="O-45685-D-0003"/>
    <x v="0"/>
  </r>
  <r>
    <s v="F-149"/>
    <x v="16"/>
    <s v="D-0003"/>
    <x v="20"/>
    <s v="Taltola, Sylhet"/>
    <s v="01711-700652"/>
    <x v="3"/>
    <s v="Razur Rahman (Bipul)"/>
    <x v="8"/>
    <s v="Taltola"/>
    <x v="2"/>
    <s v="3000 4T PLUS 10W40"/>
    <n v="400"/>
    <n v="540"/>
    <n v="400"/>
    <n v="0"/>
    <n v="0"/>
    <n v="540"/>
    <n v="400"/>
    <n v="400"/>
    <n v="216000"/>
    <n v="0"/>
    <n v="216000"/>
    <n v="28173.91304347826"/>
    <n v="187826.08695652173"/>
    <s v="Cash"/>
    <n v="618"/>
    <s v="Flat Discount"/>
    <d v="2025-01-30T00:00:00"/>
    <s v=""/>
    <x v="1"/>
    <s v="Mineral"/>
    <x v="0"/>
    <x v="2"/>
    <x v="0"/>
    <n v="0"/>
    <x v="0"/>
    <n v="153940"/>
    <n v="33886.086956521729"/>
    <s v="O-45685-D-0003"/>
    <x v="0"/>
  </r>
  <r>
    <s v="F-149"/>
    <x v="16"/>
    <s v="D-0003"/>
    <x v="20"/>
    <s v="Taltola, Sylhet"/>
    <s v="01711-700652"/>
    <x v="3"/>
    <s v="Razur Rahman (Bipul)"/>
    <x v="8"/>
    <s v="Taltola"/>
    <x v="5"/>
    <s v="31004T GOLD 20W50"/>
    <n v="60"/>
    <n v="600"/>
    <n v="60"/>
    <n v="0"/>
    <n v="0"/>
    <n v="600"/>
    <n v="60"/>
    <n v="60"/>
    <n v="36000"/>
    <n v="0"/>
    <n v="36000"/>
    <n v="4695.652173913043"/>
    <n v="31304.347826086956"/>
    <s v="Cash"/>
    <n v="618"/>
    <s v="Flat Discount"/>
    <d v="2025-01-30T00:00:00"/>
    <s v=""/>
    <x v="1"/>
    <s v="Technosynthese"/>
    <x v="0"/>
    <x v="3"/>
    <x v="1"/>
    <n v="0"/>
    <x v="0"/>
    <n v="28163.399999999998"/>
    <n v="3140.9478260869582"/>
    <s v="O-45685-D-0003"/>
    <x v="0"/>
  </r>
  <r>
    <s v="F-149"/>
    <x v="16"/>
    <s v="D-0003"/>
    <x v="20"/>
    <s v="Taltola, Sylhet"/>
    <s v="01711-700652"/>
    <x v="3"/>
    <s v="Razur Rahman (Bipul)"/>
    <x v="8"/>
    <s v="Taltola"/>
    <x v="19"/>
    <s v="51004T 10W30 ESTER"/>
    <n v="24"/>
    <n v="860"/>
    <n v="24"/>
    <n v="0"/>
    <n v="0"/>
    <n v="860"/>
    <n v="24"/>
    <n v="24"/>
    <n v="20640"/>
    <n v="0"/>
    <n v="20640"/>
    <n v="2692.1739130434785"/>
    <n v="17947.82608695652"/>
    <s v="Cash"/>
    <n v="618"/>
    <s v="Flat Discount"/>
    <d v="2025-01-30T00:00:00"/>
    <s v=""/>
    <x v="1"/>
    <s v="Technosynthese"/>
    <x v="0"/>
    <x v="0"/>
    <x v="2"/>
    <n v="0"/>
    <x v="2"/>
    <n v="14463.36"/>
    <n v="3484.4660869565196"/>
    <s v="O-45685-D-0003"/>
    <x v="0"/>
  </r>
  <r>
    <s v="F-151"/>
    <x v="16"/>
    <s v="D-0025"/>
    <x v="25"/>
    <s v="Dhaka"/>
    <s v=""/>
    <x v="2"/>
    <s v="Captive Sales"/>
    <x v="13"/>
    <s v="Dhaka"/>
    <x v="27"/>
    <s v="300V FL 10W40 ESTER CORE®"/>
    <n v="102"/>
    <n v="1650"/>
    <n v="102"/>
    <n v="0"/>
    <n v="0"/>
    <n v="1650"/>
    <n v="102"/>
    <n v="102"/>
    <n v="168300"/>
    <n v="0"/>
    <n v="168300"/>
    <n v="21952.17391304348"/>
    <n v="146347.82608695651"/>
    <s v="Cash"/>
    <n v="620"/>
    <s v="Flat Discount"/>
    <d v="2025-01-30T00:00:00"/>
    <s v=""/>
    <x v="2"/>
    <s v="Synthetic"/>
    <x v="0"/>
    <x v="2"/>
    <x v="13"/>
    <n v="0"/>
    <x v="2"/>
    <n v="123858.59999999999"/>
    <n v="22489.226086956522"/>
    <s v="O-45685-d-0025"/>
    <x v="0"/>
  </r>
  <r>
    <s v="F-151"/>
    <x v="16"/>
    <s v="D-0025"/>
    <x v="25"/>
    <s v="Dhaka"/>
    <s v=""/>
    <x v="2"/>
    <s v="Captive Sales"/>
    <x v="13"/>
    <s v="Dhaka"/>
    <x v="18"/>
    <s v="Inugel Expert Coolant"/>
    <n v="100"/>
    <n v="340"/>
    <n v="100"/>
    <n v="0"/>
    <n v="0"/>
    <n v="340"/>
    <n v="100"/>
    <n v="100"/>
    <n v="34000"/>
    <n v="0"/>
    <n v="34000"/>
    <n v="4434.782608695652"/>
    <n v="29565.217391304348"/>
    <s v="Cash"/>
    <n v="620"/>
    <s v="Flat Discount"/>
    <d v="2025-01-30T00:00:00"/>
    <s v=""/>
    <x v="2"/>
    <s v="Care Products"/>
    <x v="1"/>
    <x v="4"/>
    <x v="9"/>
    <n v="0"/>
    <x v="0"/>
    <n v="23064"/>
    <n v="6501.217391304348"/>
    <s v="O-45685-d-0025"/>
    <x v="0"/>
  </r>
  <r>
    <s v="F-150"/>
    <x v="16"/>
    <s v="D-0055"/>
    <x v="34"/>
    <s v="Dhaka"/>
    <s v=""/>
    <x v="0"/>
    <s v="Abdul Matin"/>
    <x v="18"/>
    <s v="Dhaka"/>
    <x v="28"/>
    <s v="4000 Motion Plus 10W30"/>
    <n v="2"/>
    <n v="1800"/>
    <n v="8"/>
    <n v="0"/>
    <n v="0"/>
    <n v="1800"/>
    <n v="2"/>
    <n v="8"/>
    <n v="3600"/>
    <n v="0"/>
    <n v="3600"/>
    <n v="469.56521739130437"/>
    <n v="3130.4347826086955"/>
    <s v="Cash"/>
    <n v="619"/>
    <s v="Flat Discount"/>
    <d v="2025-01-30T00:00:00"/>
    <s v=""/>
    <x v="0"/>
    <s v="Mineral"/>
    <x v="2"/>
    <x v="0"/>
    <x v="11"/>
    <n v="0"/>
    <x v="5"/>
    <n v="2905.48"/>
    <n v="224.9547826086955"/>
    <s v="O-45685-D-0055"/>
    <x v="0"/>
  </r>
  <r>
    <s v="F-152"/>
    <x v="16"/>
    <s v="D-0025"/>
    <x v="25"/>
    <s v="Dhaka"/>
    <s v=""/>
    <x v="2"/>
    <s v="Captive Sales"/>
    <x v="13"/>
    <s v="Dhaka"/>
    <x v="6"/>
    <s v="51004T 10W40 ESTER"/>
    <n v="492"/>
    <n v="830"/>
    <n v="492"/>
    <n v="0"/>
    <n v="0"/>
    <n v="830"/>
    <n v="492"/>
    <n v="492"/>
    <n v="408360"/>
    <n v="0"/>
    <n v="408360"/>
    <n v="53264.34782608696"/>
    <n v="355095.65217391303"/>
    <s v="Cash"/>
    <n v="621"/>
    <s v="Flat Discount"/>
    <d v="2025-01-30T00:00:00"/>
    <s v=""/>
    <x v="2"/>
    <s v="Technosynthese"/>
    <x v="0"/>
    <x v="2"/>
    <x v="2"/>
    <n v="0"/>
    <x v="2"/>
    <n v="299298.36000000004"/>
    <n v="55797.292173912982"/>
    <s v="O-45685-D-0025"/>
    <x v="0"/>
  </r>
  <r>
    <s v="F-152"/>
    <x v="16"/>
    <s v="D-0025"/>
    <x v="25"/>
    <s v="Dhaka"/>
    <s v=""/>
    <x v="2"/>
    <s v="Captive Sales"/>
    <x v="13"/>
    <s v="Dhaka"/>
    <x v="8"/>
    <s v="7100 4T 10W40 ESTER CORE®"/>
    <n v="4500"/>
    <n v="1040"/>
    <n v="4500"/>
    <n v="0"/>
    <n v="0"/>
    <n v="1040"/>
    <n v="4500"/>
    <n v="4500"/>
    <n v="4680000"/>
    <n v="0"/>
    <n v="4680000"/>
    <n v="610434.78260869568"/>
    <n v="4069565.2173913042"/>
    <s v="Cash"/>
    <n v="621"/>
    <s v="Flat Discount"/>
    <d v="2025-01-30T00:00:00"/>
    <s v=""/>
    <x v="2"/>
    <s v="Synthetic"/>
    <x v="0"/>
    <x v="2"/>
    <x v="3"/>
    <n v="0"/>
    <x v="2"/>
    <n v="3122955"/>
    <n v="946610.21739130421"/>
    <s v="O-45685-D-0025"/>
    <x v="0"/>
  </r>
  <r>
    <s v="F-153"/>
    <x v="18"/>
    <s v="D-0009"/>
    <x v="23"/>
    <s v="4/4, Saidabad, Dhaka-1100."/>
    <s v="01784398413"/>
    <x v="5"/>
    <s v="Abdul Matin"/>
    <x v="12"/>
    <s v="Saydabad"/>
    <x v="0"/>
    <s v="3000 4T PLUS 10W30"/>
    <n v="1200"/>
    <n v="530"/>
    <n v="1200"/>
    <m/>
    <n v="0"/>
    <n v="530"/>
    <n v="1200"/>
    <n v="1200"/>
    <n v="636000"/>
    <n v="0"/>
    <n v="636000"/>
    <n v="82956.521739130432"/>
    <n v="553043.47826086951"/>
    <s v="Cash"/>
    <n v="622"/>
    <s v="Flat Discount"/>
    <d v="2025-01-30T00:00:00"/>
    <s v="No transport allowance will be provided."/>
    <x v="0"/>
    <s v="Mineral"/>
    <x v="0"/>
    <x v="0"/>
    <x v="0"/>
    <n v="0"/>
    <x v="0"/>
    <n v="455196"/>
    <n v="97847.47826086951"/>
    <s v="O-45687-D-0009"/>
    <x v="0"/>
  </r>
  <r>
    <s v="F-153"/>
    <x v="18"/>
    <s v="D-0009"/>
    <x v="23"/>
    <s v="4/4, Saidabad, Dhaka-1100."/>
    <s v="01784398413"/>
    <x v="5"/>
    <s v="Abdul Matin"/>
    <x v="12"/>
    <s v="Saydabad"/>
    <x v="1"/>
    <s v="3000 4T PLUS 20W40"/>
    <n v="1200"/>
    <n v="530"/>
    <n v="1200"/>
    <m/>
    <n v="0"/>
    <n v="530"/>
    <n v="1200"/>
    <n v="1200"/>
    <n v="636000"/>
    <n v="0"/>
    <n v="636000"/>
    <n v="82956.521739130432"/>
    <n v="553043.47826086951"/>
    <s v="Cash"/>
    <n v="622"/>
    <s v="Flat Discount"/>
    <d v="2025-01-30T00:00:00"/>
    <s v="No transport allowance will be provided."/>
    <x v="0"/>
    <s v="Mineral"/>
    <x v="0"/>
    <x v="1"/>
    <x v="0"/>
    <n v="0"/>
    <x v="0"/>
    <n v="495312"/>
    <n v="57731.47826086951"/>
    <s v="O-45687-D-0009"/>
    <x v="0"/>
  </r>
  <r>
    <s v="F-153"/>
    <x v="18"/>
    <s v="D-0009"/>
    <x v="23"/>
    <s v="4/4, Saidabad, Dhaka-1100."/>
    <s v="01784398413"/>
    <x v="5"/>
    <s v="Abdul Matin"/>
    <x v="12"/>
    <s v="Saydabad"/>
    <x v="7"/>
    <s v="7100 4T 10W30 ESTER CORE®"/>
    <n v="240"/>
    <n v="1060"/>
    <n v="240"/>
    <m/>
    <n v="0"/>
    <n v="1060"/>
    <n v="240"/>
    <n v="240"/>
    <n v="254400"/>
    <n v="0"/>
    <n v="254400"/>
    <n v="33182.608695652176"/>
    <n v="221217.39130434784"/>
    <s v="Cash"/>
    <n v="622"/>
    <s v="Flat Discount"/>
    <d v="2025-01-30T00:00:00"/>
    <s v="No transport allowance will be provided."/>
    <x v="0"/>
    <s v="Synthetic"/>
    <x v="0"/>
    <x v="0"/>
    <x v="3"/>
    <n v="0"/>
    <x v="2"/>
    <n v="165566.39999999999"/>
    <n v="55650.991304347845"/>
    <s v="O-45687-D-0009"/>
    <x v="0"/>
  </r>
  <r>
    <s v="F-153"/>
    <x v="18"/>
    <s v="D-0009"/>
    <x v="23"/>
    <s v="4/4, Saidabad, Dhaka-1100."/>
    <s v="01784398413"/>
    <x v="5"/>
    <s v="Abdul Matin"/>
    <x v="12"/>
    <s v="Saydabad"/>
    <x v="9"/>
    <s v="7100 4T 20W50 ESTER CORE®"/>
    <n v="120"/>
    <n v="1070"/>
    <n v="120"/>
    <m/>
    <n v="0"/>
    <n v="1070"/>
    <n v="120"/>
    <n v="120"/>
    <n v="128400"/>
    <n v="0"/>
    <n v="128400"/>
    <n v="16747.82608695652"/>
    <n v="111652.17391304347"/>
    <s v="Cash"/>
    <n v="622"/>
    <s v="Flat Discount"/>
    <d v="2025-01-30T00:00:00"/>
    <s v="No transport allowance will be provided."/>
    <x v="0"/>
    <s v="Synthetic"/>
    <x v="0"/>
    <x v="3"/>
    <x v="3"/>
    <n v="0"/>
    <x v="2"/>
    <n v="91643.808000000005"/>
    <n v="20008.365913043468"/>
    <s v="O-45687-D-0009"/>
    <x v="0"/>
  </r>
  <r>
    <s v="F-153"/>
    <x v="18"/>
    <s v="D-0009"/>
    <x v="23"/>
    <s v="4/4, Saidabad, Dhaka-1100."/>
    <s v="01784398413"/>
    <x v="5"/>
    <s v="Abdul Matin"/>
    <x v="12"/>
    <s v="Saydabad"/>
    <x v="10"/>
    <s v="Scooter LE 4T 10W30 HC-TECH®"/>
    <n v="300"/>
    <n v="485"/>
    <n v="240"/>
    <m/>
    <n v="0"/>
    <n v="485"/>
    <n v="300"/>
    <n v="240"/>
    <n v="145500"/>
    <n v="0"/>
    <n v="145500"/>
    <n v="18978.260869565216"/>
    <n v="126521.73913043478"/>
    <s v="Cash"/>
    <n v="622"/>
    <s v="Flat Discount"/>
    <d v="2025-01-30T00:00:00"/>
    <s v="No transport allowance will be provided."/>
    <x v="0"/>
    <s v="Mineral"/>
    <x v="0"/>
    <x v="0"/>
    <x v="4"/>
    <n v="0"/>
    <x v="3"/>
    <n v="99999"/>
    <n v="26522.739130434784"/>
    <s v="O-45687-D-0009"/>
    <x v="0"/>
  </r>
  <r>
    <s v="F-153"/>
    <x v="18"/>
    <s v="D-0009"/>
    <x v="23"/>
    <s v="4/4, Saidabad, Dhaka-1100."/>
    <s v="01784398413"/>
    <x v="5"/>
    <s v="Abdul Matin"/>
    <x v="12"/>
    <s v="Saydabad"/>
    <x v="11"/>
    <s v="7100 4T 10W30 ESTER CORE®"/>
    <n v="100"/>
    <n v="1295"/>
    <n v="120"/>
    <m/>
    <n v="0"/>
    <n v="1295"/>
    <n v="100"/>
    <n v="120"/>
    <n v="129500"/>
    <n v="0"/>
    <n v="129500"/>
    <n v="16891.304347826088"/>
    <n v="112608.69565217392"/>
    <s v="Cash"/>
    <n v="622"/>
    <s v="Flat Discount"/>
    <d v="2025-01-30T00:00:00"/>
    <s v="No transport allowance will be provided."/>
    <x v="0"/>
    <s v="Synthetic"/>
    <x v="0"/>
    <x v="0"/>
    <x v="3"/>
    <n v="0"/>
    <x v="1"/>
    <n v="77730"/>
    <n v="34878.695652173919"/>
    <s v="O-45687-D-0009"/>
    <x v="0"/>
  </r>
  <r>
    <s v="F-154"/>
    <x v="18"/>
    <s v="D-0006"/>
    <x v="18"/>
    <s v="C/25/5, Thana Road Bus stand, Savar, Dhaka."/>
    <s v="01715414646"/>
    <x v="0"/>
    <s v="Abdul Matin"/>
    <x v="7"/>
    <s v="Savar"/>
    <x v="12"/>
    <s v="3000 4T 20W50"/>
    <n v="300"/>
    <n v="452.25"/>
    <n v="300"/>
    <n v="0"/>
    <n v="0"/>
    <n v="452.25"/>
    <n v="300"/>
    <n v="300"/>
    <n v="135675"/>
    <n v="0"/>
    <n v="135675"/>
    <n v="17696.739130434784"/>
    <n v="117978.26086956522"/>
    <s v="Cash"/>
    <n v="623"/>
    <s v="Flat Discount"/>
    <d v="2025-01-30T00:00:00"/>
    <s v="20W50 toal primari lifting was 1084 pcs purpose 15 tk =  16,260 taka &amp; transport discount 2 tk/ltr = 840, in total 17,100/- taka has been provided."/>
    <x v="0"/>
    <s v="Mineral"/>
    <x v="0"/>
    <x v="3"/>
    <x v="0"/>
    <n v="0"/>
    <x v="0"/>
    <n v="109476"/>
    <n v="8502.2608695652161"/>
    <s v="O-45687-D-0006"/>
    <x v="0"/>
  </r>
  <r>
    <s v="F-154"/>
    <x v="18"/>
    <s v="D-0006"/>
    <x v="18"/>
    <s v="C/25/5, Thana Road Bus stand, Savar, Dhaka."/>
    <s v="01715414646"/>
    <x v="0"/>
    <s v="Abdul Matin"/>
    <x v="7"/>
    <s v="Savar"/>
    <x v="15"/>
    <s v="3000 4T 20W50"/>
    <n v="100"/>
    <n v="552.25"/>
    <n v="120"/>
    <n v="0"/>
    <n v="0"/>
    <n v="552.25"/>
    <n v="100"/>
    <n v="120"/>
    <n v="55225"/>
    <n v="0"/>
    <n v="55225"/>
    <n v="7203.260869565217"/>
    <n v="48021.739130434784"/>
    <s v="Cash"/>
    <n v="623"/>
    <s v="Flat Discount"/>
    <d v="2025-01-30T00:00:00"/>
    <s v="20W50 toal primari lifting was 1084 pcs purpose 15 tk =  16,260 taka &amp; transport discount 2 tk/ltr = 840, in total 17,100/- taka has been provided."/>
    <x v="0"/>
    <s v="Mineral"/>
    <x v="0"/>
    <x v="3"/>
    <x v="0"/>
    <n v="0"/>
    <x v="1"/>
    <n v="43461"/>
    <n v="4560.7391304347839"/>
    <s v="O-45687-D-0006"/>
    <x v="0"/>
  </r>
  <r>
    <s v="F-155"/>
    <x v="12"/>
    <s v="D-0015"/>
    <x v="12"/>
    <s v="26, City Corporation Market, Dayaganj, Dhaka-1100."/>
    <s v="01911563926"/>
    <x v="5"/>
    <s v="Abdul Matin"/>
    <x v="6"/>
    <s v="Wari "/>
    <x v="1"/>
    <s v="3000 4T PLUS 20W40"/>
    <n v="20"/>
    <n v="530"/>
    <n v="20"/>
    <m/>
    <n v="0"/>
    <n v="530"/>
    <n v="20"/>
    <n v="20"/>
    <n v="10600"/>
    <n v="0"/>
    <n v="10600"/>
    <n v="1382.608695652174"/>
    <n v="9217.391304347826"/>
    <s v="Cash"/>
    <n v="624"/>
    <s v="Flat Discount"/>
    <d v="2025-01-30T00:00:00"/>
    <s v="35,000/- taka gift amount + 10,000/- taka entertainment purpose + 67,500/- taka previous adjustment purpose = Total 1,12,500/- taka would be discount from the main amount."/>
    <x v="0"/>
    <s v="Mineral"/>
    <x v="0"/>
    <x v="1"/>
    <x v="0"/>
    <n v="0"/>
    <x v="0"/>
    <n v="8255.2000000000007"/>
    <n v="962.19130434782528"/>
    <s v="O-45679-D-0015"/>
    <x v="0"/>
  </r>
  <r>
    <s v="F-155"/>
    <x v="12"/>
    <s v="D-0015"/>
    <x v="12"/>
    <s v="26, City Corporation Market, Dayaganj, Dhaka-1100."/>
    <s v="01911563926"/>
    <x v="5"/>
    <s v="Abdul Matin"/>
    <x v="6"/>
    <s v="Wari "/>
    <x v="12"/>
    <s v="3000 4T 20W50"/>
    <n v="1280"/>
    <n v="495"/>
    <n v="1280"/>
    <m/>
    <n v="0"/>
    <n v="495"/>
    <n v="1280"/>
    <n v="1280"/>
    <n v="633600"/>
    <n v="0"/>
    <n v="633600"/>
    <n v="82643.478260869568"/>
    <n v="550956.52173913049"/>
    <s v="Cash"/>
    <n v="624"/>
    <s v="Flat Discount"/>
    <d v="2025-01-30T00:00:00"/>
    <s v="35,000/- taka gift amount + 10,000/- taka entertainment purpose + 67,500/- taka previous adjustment purpose = Total 1,12,500/- taka would be discount from the main amount."/>
    <x v="0"/>
    <s v="Mineral"/>
    <x v="0"/>
    <x v="3"/>
    <x v="0"/>
    <n v="0"/>
    <x v="0"/>
    <n v="467097.60000000003"/>
    <n v="83858.921739130456"/>
    <s v="O-45679-D-0015"/>
    <x v="0"/>
  </r>
  <r>
    <s v="F-155"/>
    <x v="12"/>
    <s v="D-0015"/>
    <x v="12"/>
    <s v="26, City Corporation Market, Dayaganj, Dhaka-1100."/>
    <s v="01911563926"/>
    <x v="5"/>
    <s v="Abdul Matin"/>
    <x v="6"/>
    <s v="Wari "/>
    <x v="15"/>
    <s v="3000 4T 20W50"/>
    <n v="600"/>
    <n v="595"/>
    <n v="720"/>
    <m/>
    <n v="0"/>
    <n v="595"/>
    <n v="600"/>
    <n v="720"/>
    <n v="357000"/>
    <n v="0"/>
    <n v="357000"/>
    <n v="46565.217391304344"/>
    <n v="310434.78260869568"/>
    <s v="Cash"/>
    <n v="624"/>
    <s v="Flat Discount"/>
    <d v="2025-01-30T00:00:00"/>
    <s v="35,000/- taka gift amount + 10,000/- taka entertainment purpose + 67,500/- taka previous adjustment purpose = Total 1,12,500/- taka would be discount from the main amount."/>
    <x v="0"/>
    <s v="Mineral"/>
    <x v="0"/>
    <x v="3"/>
    <x v="0"/>
    <n v="0"/>
    <x v="1"/>
    <n v="260766"/>
    <n v="49668.782608695677"/>
    <s v="O-45679-D-0015"/>
    <x v="0"/>
  </r>
  <r>
    <s v="F-156"/>
    <x v="19"/>
    <s v="D-0005"/>
    <x v="35"/>
    <s v="Rajshahi Sadar, Rajshahi"/>
    <n v="1715299768"/>
    <x v="7"/>
    <s v="Raihan Siddiqui"/>
    <x v="19"/>
    <s v="Rajshahi Sadar"/>
    <x v="0"/>
    <s v="3000 4T PLUS 10W30"/>
    <n v="240"/>
    <n v="540"/>
    <n v="240"/>
    <n v="0"/>
    <n v="0"/>
    <n v="540"/>
    <n v="240"/>
    <n v="240"/>
    <n v="129600"/>
    <n v="0"/>
    <n v="129600"/>
    <n v="16904.347826086956"/>
    <n v="112695.65217391304"/>
    <s v="Cash"/>
    <n v="625"/>
    <s v="Regular"/>
    <d v="2025-02-03T00:00:00"/>
    <s v=""/>
    <x v="3"/>
    <s v="Mineral"/>
    <x v="0"/>
    <x v="0"/>
    <x v="0"/>
    <n v="0"/>
    <x v="0"/>
    <n v="91039.2"/>
    <n v="21656.452173913043"/>
    <s v="O-45690-D-0005"/>
    <x v="0"/>
  </r>
  <r>
    <s v="F-156"/>
    <x v="19"/>
    <s v="D-0005"/>
    <x v="35"/>
    <s v="Rajshahi Sadar, Rajshahi"/>
    <n v="1715299768"/>
    <x v="7"/>
    <s v="Raihan Siddiqui"/>
    <x v="19"/>
    <s v="Rajshahi Sadar"/>
    <x v="21"/>
    <s v="31004T GOLD 10W30"/>
    <n v="240"/>
    <n v="600"/>
    <n v="240"/>
    <n v="0"/>
    <n v="0"/>
    <n v="600"/>
    <n v="240"/>
    <n v="240"/>
    <n v="144000"/>
    <n v="0"/>
    <n v="144000"/>
    <n v="18782.608695652172"/>
    <n v="125217.39130434782"/>
    <s v="Cash"/>
    <n v="625"/>
    <s v="Regular"/>
    <d v="2025-02-03T00:00:00"/>
    <s v=""/>
    <x v="3"/>
    <s v="Technosynthese"/>
    <x v="0"/>
    <x v="0"/>
    <x v="1"/>
    <n v="0"/>
    <x v="0"/>
    <n v="102024"/>
    <n v="23193.391304347824"/>
    <s v="O-45690-D-0005"/>
    <x v="0"/>
  </r>
  <r>
    <s v="F-156"/>
    <x v="19"/>
    <s v="D-0005"/>
    <x v="35"/>
    <s v="Rajshahi Sadar, Rajshahi"/>
    <n v="1715299768"/>
    <x v="7"/>
    <s v="Raihan Siddiqui"/>
    <x v="19"/>
    <s v="Rajshahi Sadar"/>
    <x v="7"/>
    <s v="7100 4T 10W30 ESTER CORE®"/>
    <n v="72"/>
    <n v="1080"/>
    <n v="72"/>
    <n v="0"/>
    <n v="0"/>
    <n v="1080"/>
    <n v="72"/>
    <n v="72"/>
    <n v="77760"/>
    <n v="0"/>
    <n v="77760"/>
    <n v="10142.608695652174"/>
    <n v="67617.391304347824"/>
    <s v="Cash"/>
    <n v="625"/>
    <s v="Regular"/>
    <d v="2025-02-03T00:00:00"/>
    <s v=""/>
    <x v="3"/>
    <s v="Synthetic"/>
    <x v="0"/>
    <x v="0"/>
    <x v="3"/>
    <n v="0"/>
    <x v="2"/>
    <n v="49669.919999999998"/>
    <n v="17947.471304347826"/>
    <s v="O-45690-D-0005"/>
    <x v="0"/>
  </r>
  <r>
    <s v="F-156"/>
    <x v="19"/>
    <s v="D-0005"/>
    <x v="35"/>
    <s v="Rajshahi Sadar, Rajshahi"/>
    <n v="1715299768"/>
    <x v="7"/>
    <s v="Raihan Siddiqui"/>
    <x v="19"/>
    <s v="Rajshahi Sadar"/>
    <x v="11"/>
    <s v="7100 4T 10W30 ESTER CORE®"/>
    <n v="120"/>
    <n v="1295"/>
    <n v="144"/>
    <n v="0"/>
    <n v="0"/>
    <n v="1295"/>
    <n v="120"/>
    <n v="144"/>
    <n v="155400"/>
    <n v="0"/>
    <n v="155400"/>
    <n v="20269.565217391304"/>
    <n v="135130.4347826087"/>
    <s v="Cash"/>
    <n v="625"/>
    <s v="Regular"/>
    <d v="2025-02-03T00:00:00"/>
    <s v=""/>
    <x v="3"/>
    <s v="Synthetic"/>
    <x v="0"/>
    <x v="0"/>
    <x v="3"/>
    <n v="0"/>
    <x v="1"/>
    <n v="93276"/>
    <n v="41854.434782608703"/>
    <s v="O-45690-D-0005"/>
    <x v="0"/>
  </r>
  <r>
    <s v="F-157"/>
    <x v="20"/>
    <s v="D-0025"/>
    <x v="25"/>
    <s v="Dhaka"/>
    <s v=""/>
    <x v="2"/>
    <s v="Captive Sales"/>
    <x v="13"/>
    <s v="Dhaka"/>
    <x v="1"/>
    <s v="3000 4T PLUS 20W40"/>
    <n v="6000"/>
    <n v="525"/>
    <n v="6000"/>
    <n v="0"/>
    <n v="0"/>
    <n v="525"/>
    <n v="6000"/>
    <n v="6000"/>
    <n v="3150000"/>
    <n v="0"/>
    <n v="3150000"/>
    <n v="410869.5652173913"/>
    <n v="2739130.4347826089"/>
    <s v="Cash"/>
    <n v="626"/>
    <s v="Custom"/>
    <d v="2025-02-06T00:00:00"/>
    <s v=""/>
    <x v="2"/>
    <s v="Mineral"/>
    <x v="0"/>
    <x v="1"/>
    <x v="0"/>
    <n v="0"/>
    <x v="0"/>
    <n v="2476560"/>
    <n v="262570.43478260888"/>
    <s v="O-45694-D-0025"/>
    <x v="0"/>
  </r>
  <r>
    <s v="F-157"/>
    <x v="20"/>
    <s v="D-0025"/>
    <x v="25"/>
    <s v="Dhaka"/>
    <s v=""/>
    <x v="2"/>
    <s v="Captive Sales"/>
    <x v="13"/>
    <s v="Dhaka"/>
    <x v="2"/>
    <s v="3000 4T PLUS 10W40"/>
    <n v="3000"/>
    <n v="525"/>
    <n v="3000"/>
    <n v="0"/>
    <n v="0"/>
    <n v="525"/>
    <n v="3000"/>
    <n v="3000"/>
    <n v="1575000"/>
    <n v="0"/>
    <n v="1575000"/>
    <n v="205434.78260869565"/>
    <n v="1369565.2173913044"/>
    <s v="Cash"/>
    <n v="626"/>
    <s v="Custom"/>
    <d v="2025-02-06T00:00:00"/>
    <s v=""/>
    <x v="2"/>
    <s v="Mineral"/>
    <x v="0"/>
    <x v="2"/>
    <x v="0"/>
    <n v="0"/>
    <x v="0"/>
    <n v="1154550"/>
    <n v="215015.21739130444"/>
    <s v="O-45694-D-0025"/>
    <x v="0"/>
  </r>
  <r>
    <s v="F-157"/>
    <x v="20"/>
    <s v="D-0025"/>
    <x v="25"/>
    <s v="Dhaka"/>
    <s v=""/>
    <x v="2"/>
    <s v="Captive Sales"/>
    <x v="13"/>
    <s v="Dhaka"/>
    <x v="6"/>
    <s v="51004T 10W40 ESTER"/>
    <n v="1752"/>
    <n v="830"/>
    <n v="1752"/>
    <n v="0"/>
    <n v="0"/>
    <n v="830"/>
    <n v="1752"/>
    <n v="1752"/>
    <n v="1454160"/>
    <n v="0"/>
    <n v="1454160"/>
    <n v="189673.04347826086"/>
    <n v="1264486.956521739"/>
    <s v="Cash"/>
    <n v="626"/>
    <s v="Custom"/>
    <d v="2025-02-06T00:00:00"/>
    <s v=""/>
    <x v="2"/>
    <s v="Technosynthese"/>
    <x v="0"/>
    <x v="2"/>
    <x v="2"/>
    <n v="0"/>
    <x v="2"/>
    <n v="1065794.1600000001"/>
    <n v="198692.79652173887"/>
    <s v="O-45694-D-0025"/>
    <x v="0"/>
  </r>
  <r>
    <s v="F-157"/>
    <x v="20"/>
    <s v="D-0025"/>
    <x v="25"/>
    <s v="Dhaka"/>
    <s v=""/>
    <x v="2"/>
    <s v="Captive Sales"/>
    <x v="13"/>
    <s v="Dhaka"/>
    <x v="29"/>
    <s v="Fork Oil Expert"/>
    <n v="4256"/>
    <n v="115"/>
    <n v="744.8"/>
    <n v="0"/>
    <n v="0"/>
    <n v="115"/>
    <n v="4256"/>
    <n v="744.8"/>
    <n v="489440"/>
    <n v="0"/>
    <n v="489440"/>
    <n v="63840"/>
    <n v="425600"/>
    <s v="Cash"/>
    <n v="626"/>
    <s v="Custom"/>
    <d v="2025-02-06T00:00:00"/>
    <s v=""/>
    <x v="2"/>
    <s v="Care Products"/>
    <x v="1"/>
    <x v="4"/>
    <x v="7"/>
    <n v="0"/>
    <x v="8"/>
    <n v="352184"/>
    <n v="73416"/>
    <s v="O-45694-D-0025"/>
    <x v="0"/>
  </r>
  <r>
    <s v="F-157"/>
    <x v="20"/>
    <s v="D-0025"/>
    <x v="25"/>
    <s v="Dhaka"/>
    <s v=""/>
    <x v="2"/>
    <s v="Captive Sales"/>
    <x v="13"/>
    <s v="Dhaka"/>
    <x v="18"/>
    <s v="Inugel Expert Coolant"/>
    <n v="200"/>
    <n v="340"/>
    <n v="200"/>
    <n v="0"/>
    <n v="0"/>
    <n v="340"/>
    <n v="200"/>
    <n v="200"/>
    <n v="68000"/>
    <n v="0"/>
    <n v="68000"/>
    <n v="8869.565217391304"/>
    <n v="59130.434782608696"/>
    <s v="Cash"/>
    <n v="626"/>
    <s v="Custom"/>
    <d v="2025-02-06T00:00:00"/>
    <s v=""/>
    <x v="2"/>
    <s v="Care Products"/>
    <x v="1"/>
    <x v="4"/>
    <x v="9"/>
    <n v="0"/>
    <x v="0"/>
    <n v="46128"/>
    <n v="13002.434782608696"/>
    <s v="O-45694-D-0025"/>
    <x v="0"/>
  </r>
  <r>
    <s v="F-157"/>
    <x v="20"/>
    <s v="D-0025"/>
    <x v="25"/>
    <s v="Dhaka"/>
    <s v=""/>
    <x v="2"/>
    <s v="Captive Sales"/>
    <x v="13"/>
    <s v="Dhaka"/>
    <x v="30"/>
    <s v="C1 CHAIN CLEAN"/>
    <n v="552"/>
    <n v="1000"/>
    <n v="220.8"/>
    <n v="0"/>
    <n v="0"/>
    <n v="1000"/>
    <n v="552"/>
    <n v="220.8"/>
    <n v="552000"/>
    <n v="0"/>
    <n v="552000"/>
    <n v="72000"/>
    <n v="480000"/>
    <s v="Cash"/>
    <n v="626"/>
    <s v="Custom"/>
    <d v="2025-02-06T00:00:00"/>
    <s v=""/>
    <x v="2"/>
    <s v="Care Products"/>
    <x v="1"/>
    <x v="4"/>
    <x v="14"/>
    <n v="0"/>
    <x v="9"/>
    <n v="371938.58972273569"/>
    <n v="108061.41027726431"/>
    <s v="O-45694-D-0025"/>
    <x v="0"/>
  </r>
  <r>
    <s v="F-157"/>
    <x v="20"/>
    <s v="D-0025"/>
    <x v="25"/>
    <s v="Dhaka"/>
    <s v=""/>
    <x v="2"/>
    <s v="Captive Sales"/>
    <x v="13"/>
    <s v="Dhaka"/>
    <x v="31"/>
    <s v="C1 CHAIN CLEAN"/>
    <n v="260"/>
    <n v="460"/>
    <n v="39"/>
    <n v="-2.2204460492503131E-16"/>
    <n v="0"/>
    <n v="460.00000000000006"/>
    <n v="260"/>
    <n v="39"/>
    <n v="119600"/>
    <n v="0"/>
    <n v="119600.00000000001"/>
    <n v="15600.000000000002"/>
    <n v="104000.00000000001"/>
    <s v="Cash"/>
    <n v="626"/>
    <s v="Custom"/>
    <d v="2025-02-06T00:00:00"/>
    <s v=""/>
    <x v="2"/>
    <s v="Care Products"/>
    <x v="1"/>
    <x v="4"/>
    <x v="14"/>
    <n v="0"/>
    <x v="10"/>
    <n v="92844.097101449282"/>
    <n v="11155.902898550732"/>
    <s v="O-45694-D-0025"/>
    <x v="0"/>
  </r>
  <r>
    <s v="F-157"/>
    <x v="20"/>
    <s v="D-0025"/>
    <x v="25"/>
    <s v="Dhaka"/>
    <s v=""/>
    <x v="2"/>
    <s v="Captive Sales"/>
    <x v="13"/>
    <s v="Dhaka"/>
    <x v="32"/>
    <s v="C2 CHAIN LUBE ROAD"/>
    <n v="255"/>
    <n v="955"/>
    <n v="102"/>
    <n v="0"/>
    <n v="0"/>
    <n v="955"/>
    <n v="255"/>
    <n v="102"/>
    <n v="243525"/>
    <n v="0"/>
    <n v="243525"/>
    <n v="31764.130434782608"/>
    <n v="211760.86956521738"/>
    <s v="Cash"/>
    <n v="626"/>
    <s v="Custom"/>
    <d v="2025-02-06T00:00:00"/>
    <s v=""/>
    <x v="2"/>
    <s v="Care Products"/>
    <x v="1"/>
    <x v="4"/>
    <x v="14"/>
    <n v="0"/>
    <x v="9"/>
    <n v="180139.39780219781"/>
    <n v="31621.471763019566"/>
    <s v="O-45694-D-0025"/>
    <x v="0"/>
  </r>
  <r>
    <s v="F-157"/>
    <x v="20"/>
    <s v="D-0025"/>
    <x v="25"/>
    <s v="Dhaka"/>
    <s v=""/>
    <x v="2"/>
    <s v="Captive Sales"/>
    <x v="13"/>
    <s v="Dhaka"/>
    <x v="33"/>
    <s v="Helmet &amp; Visor Clean"/>
    <n v="213"/>
    <n v="610"/>
    <n v="53.25"/>
    <n v="0"/>
    <n v="0"/>
    <n v="610"/>
    <n v="213"/>
    <n v="53.25"/>
    <n v="129930"/>
    <n v="0"/>
    <n v="129930"/>
    <n v="16947.391304347828"/>
    <n v="112982.60869565218"/>
    <s v="Cash"/>
    <n v="626"/>
    <s v="Custom"/>
    <d v="2025-02-06T00:00:00"/>
    <s v=""/>
    <x v="2"/>
    <s v="Care Products"/>
    <x v="1"/>
    <x v="4"/>
    <x v="15"/>
    <n v="0"/>
    <x v="11"/>
    <n v="97858.59"/>
    <n v="15124.018695652179"/>
    <s v="O-45694-D-0025"/>
    <x v="0"/>
  </r>
  <r>
    <s v="F-158"/>
    <x v="20"/>
    <s v="D-0025"/>
    <x v="25"/>
    <s v="Dhaka"/>
    <s v=""/>
    <x v="2"/>
    <s v="Captive Sales"/>
    <x v="13"/>
    <s v="Dhaka"/>
    <x v="34"/>
    <s v="Helmet Interior Clean"/>
    <n v="222"/>
    <n v="670"/>
    <n v="55.5"/>
    <n v="0"/>
    <n v="0"/>
    <n v="670"/>
    <n v="222"/>
    <n v="55.5"/>
    <n v="148740"/>
    <n v="0"/>
    <n v="148740"/>
    <n v="19400.869565217392"/>
    <n v="129339.13043478261"/>
    <s v="Cash"/>
    <n v="627"/>
    <s v="Custom"/>
    <d v="2025-02-06T00:00:00"/>
    <s v=""/>
    <x v="2"/>
    <s v="Care Products"/>
    <x v="1"/>
    <x v="4"/>
    <x v="15"/>
    <n v="0"/>
    <x v="11"/>
    <n v="111719.28"/>
    <n v="17619.850434782609"/>
    <s v="O-45694-D-0025"/>
    <x v="0"/>
  </r>
  <r>
    <s v="F-158"/>
    <x v="20"/>
    <s v="D-0025"/>
    <x v="25"/>
    <s v="Dhaka"/>
    <s v=""/>
    <x v="2"/>
    <s v="Captive Sales"/>
    <x v="13"/>
    <s v="Dhaka"/>
    <x v="35"/>
    <s v="Tire Repair"/>
    <n v="113"/>
    <n v="610"/>
    <n v="33.9"/>
    <n v="0"/>
    <n v="0"/>
    <n v="610"/>
    <n v="113"/>
    <n v="33.9"/>
    <n v="68930"/>
    <n v="0"/>
    <n v="68930"/>
    <n v="8990.8695652173919"/>
    <n v="59939.130434782608"/>
    <s v="Cash"/>
    <n v="627"/>
    <s v="Custom"/>
    <d v="2025-02-06T00:00:00"/>
    <s v=""/>
    <x v="2"/>
    <s v="Care Products"/>
    <x v="1"/>
    <x v="4"/>
    <x v="16"/>
    <n v="0"/>
    <x v="12"/>
    <n v="89498.26"/>
    <n v="-29559.129565217387"/>
    <s v="O-45694-D-0025"/>
    <x v="0"/>
  </r>
  <r>
    <s v="F-158"/>
    <x v="20"/>
    <s v="D-0025"/>
    <x v="25"/>
    <s v="Dhaka"/>
    <s v=""/>
    <x v="2"/>
    <s v="Captive Sales"/>
    <x v="13"/>
    <s v="Dhaka"/>
    <x v="17"/>
    <s v="Engine Flush"/>
    <n v="4872"/>
    <n v="195"/>
    <n v="243.60000000000002"/>
    <n v="0"/>
    <n v="0"/>
    <n v="195"/>
    <n v="4872"/>
    <n v="243.60000000000002"/>
    <n v="950040"/>
    <n v="0"/>
    <n v="950040"/>
    <n v="123918.26086956522"/>
    <n v="826121.73913043481"/>
    <s v="Cash"/>
    <n v="627"/>
    <s v="Custom"/>
    <d v="2025-02-06T00:00:00"/>
    <s v=""/>
    <x v="2"/>
    <s v="Care Products"/>
    <x v="1"/>
    <x v="4"/>
    <x v="8"/>
    <n v="0"/>
    <x v="7"/>
    <n v="633895.92000000004"/>
    <n v="192225.81913043477"/>
    <s v="O-45694-D-0025"/>
    <x v="0"/>
  </r>
  <r>
    <s v="F-158"/>
    <x v="20"/>
    <s v="D-0025"/>
    <x v="25"/>
    <s v="Dhaka"/>
    <s v=""/>
    <x v="2"/>
    <s v="Captive Sales"/>
    <x v="13"/>
    <s v="Dhaka"/>
    <x v="13"/>
    <s v="Brake Fluid DOT 4"/>
    <n v="11840"/>
    <n v="120"/>
    <n v="1184"/>
    <n v="0"/>
    <n v="0"/>
    <n v="120"/>
    <n v="11840"/>
    <n v="1184"/>
    <n v="1420800"/>
    <n v="0"/>
    <n v="1420800"/>
    <n v="185321.73913043478"/>
    <n v="1235478.2608695652"/>
    <s v="Cash"/>
    <n v="627"/>
    <s v="Custom"/>
    <d v="2025-02-06T00:00:00"/>
    <s v=""/>
    <x v="2"/>
    <s v="Care Products"/>
    <x v="1"/>
    <x v="4"/>
    <x v="5"/>
    <n v="0"/>
    <x v="4"/>
    <n v="856623.99999999988"/>
    <n v="378854.2608695653"/>
    <s v="O-45694-D-0025"/>
    <x v="0"/>
  </r>
  <r>
    <s v="F-158"/>
    <x v="20"/>
    <s v="D-0025"/>
    <x v="25"/>
    <s v="Dhaka"/>
    <s v=""/>
    <x v="2"/>
    <s v="Captive Sales"/>
    <x v="13"/>
    <s v="Dhaka"/>
    <x v="22"/>
    <s v="System Keep Clean Petrol"/>
    <n v="7876"/>
    <n v="170"/>
    <n v="393.8"/>
    <n v="0"/>
    <n v="0"/>
    <n v="170"/>
    <n v="7876"/>
    <n v="393.8"/>
    <n v="1338920"/>
    <n v="0"/>
    <n v="1338920"/>
    <n v="174641.73913043478"/>
    <n v="1164278.2608695652"/>
    <s v="Cash"/>
    <n v="627"/>
    <s v="Custom"/>
    <d v="2025-02-06T00:00:00"/>
    <s v=""/>
    <x v="2"/>
    <s v="Care Products"/>
    <x v="1"/>
    <x v="4"/>
    <x v="8"/>
    <n v="0"/>
    <x v="7"/>
    <n v="1040183.32"/>
    <n v="124094.94086956524"/>
    <s v="O-45694-D-0025"/>
    <x v="0"/>
  </r>
  <r>
    <s v="F-158"/>
    <x v="20"/>
    <s v="D-0025"/>
    <x v="25"/>
    <s v="Dhaka"/>
    <s v=""/>
    <x v="2"/>
    <s v="Captive Sales"/>
    <x v="13"/>
    <s v="Dhaka"/>
    <x v="36"/>
    <s v="Engine Flush"/>
    <n v="95"/>
    <n v="200"/>
    <n v="23.75"/>
    <n v="0"/>
    <n v="0"/>
    <n v="200"/>
    <n v="95"/>
    <n v="23.75"/>
    <n v="19000"/>
    <n v="0"/>
    <n v="19000"/>
    <n v="2478.2608695652175"/>
    <n v="16521.739130434784"/>
    <s v="Cash"/>
    <n v="627"/>
    <s v="Custom"/>
    <d v="2025-02-06T00:00:00"/>
    <s v=""/>
    <x v="2"/>
    <s v="Care Products"/>
    <x v="1"/>
    <x v="4"/>
    <x v="8"/>
    <n v="0"/>
    <x v="13"/>
    <n v="63301.350000000006"/>
    <n v="-46779.610869565222"/>
    <s v="O-45694-D-0025"/>
    <x v="0"/>
  </r>
  <r>
    <s v="F-158"/>
    <x v="20"/>
    <s v="D-0025"/>
    <x v="25"/>
    <s v="Dhaka"/>
    <s v=""/>
    <x v="2"/>
    <s v="Captive Sales"/>
    <x v="13"/>
    <s v="Dhaka"/>
    <x v="37"/>
    <s v="System Keep Clean Petrol"/>
    <n v="1200"/>
    <n v="950"/>
    <n v="240"/>
    <n v="0"/>
    <n v="0"/>
    <n v="950"/>
    <n v="1200"/>
    <n v="240"/>
    <n v="1140000"/>
    <n v="0"/>
    <n v="1140000"/>
    <n v="148695.65217391305"/>
    <n v="991304.34782608692"/>
    <s v="Cash"/>
    <n v="627"/>
    <s v="Custom"/>
    <d v="2025-02-06T00:00:00"/>
    <s v=""/>
    <x v="2"/>
    <s v="Care Products"/>
    <x v="1"/>
    <x v="4"/>
    <x v="8"/>
    <n v="0"/>
    <x v="14"/>
    <n v="527568"/>
    <n v="463736.34782608692"/>
    <s v="O-45694-D-0025"/>
    <x v="0"/>
  </r>
  <r>
    <s v="F-158"/>
    <x v="20"/>
    <s v="D-0025"/>
    <x v="25"/>
    <s v="Dhaka"/>
    <s v=""/>
    <x v="2"/>
    <s v="Captive Sales"/>
    <x v="13"/>
    <s v="Dhaka"/>
    <x v="38"/>
    <s v="EZ LUBE"/>
    <n v="69"/>
    <n v="200"/>
    <n v="5.1749999999999998"/>
    <n v="-2.2204460492503131E-16"/>
    <n v="0"/>
    <n v="200.00000000000003"/>
    <n v="69"/>
    <n v="5.1749999999999998"/>
    <n v="13800"/>
    <n v="0"/>
    <n v="13800.000000000002"/>
    <n v="1800.0000000000002"/>
    <n v="12000.000000000002"/>
    <s v="Cash"/>
    <n v="627"/>
    <s v="Custom"/>
    <d v="2025-02-06T00:00:00"/>
    <s v=""/>
    <x v="2"/>
    <s v="Care Products"/>
    <x v="1"/>
    <x v="4"/>
    <x v="17"/>
    <n v="0"/>
    <x v="15"/>
    <n v="9126.630000000001"/>
    <n v="2873.3700000000008"/>
    <s v="O-45694-D-0025"/>
    <x v="0"/>
  </r>
  <r>
    <s v="F-158"/>
    <x v="20"/>
    <s v="D-0025"/>
    <x v="25"/>
    <s v="Dhaka"/>
    <s v=""/>
    <x v="2"/>
    <s v="Captive Sales"/>
    <x v="13"/>
    <s v="Dhaka"/>
    <x v="39"/>
    <s v="EZ LUBE"/>
    <n v="115"/>
    <n v="650"/>
    <n v="46"/>
    <n v="0"/>
    <n v="0"/>
    <n v="650"/>
    <n v="115"/>
    <n v="46"/>
    <n v="74750"/>
    <n v="0"/>
    <n v="74750"/>
    <n v="9750"/>
    <n v="65000"/>
    <s v="Cash"/>
    <n v="627"/>
    <s v="Custom"/>
    <d v="2025-02-06T00:00:00"/>
    <s v=""/>
    <x v="2"/>
    <s v="Care Products"/>
    <x v="1"/>
    <x v="4"/>
    <x v="17"/>
    <n v="0"/>
    <x v="9"/>
    <n v="48754.25"/>
    <n v="16245.75"/>
    <s v="O-45694-D-0025"/>
    <x v="0"/>
  </r>
  <r>
    <s v="F-159"/>
    <x v="20"/>
    <s v="D-0014"/>
    <x v="36"/>
    <s v="Medda Bus Stand, Brahmanbaria"/>
    <s v="01725-423635"/>
    <x v="3"/>
    <s v="Razur Rahman (Bipul)"/>
    <x v="3"/>
    <s v="Paduar Bazar Bisso Road"/>
    <x v="2"/>
    <s v="3000 4T PLUS 10W40"/>
    <n v="40"/>
    <n v="550"/>
    <n v="40"/>
    <n v="9.0909090909090384E-3"/>
    <n v="0"/>
    <n v="545"/>
    <n v="40"/>
    <n v="40"/>
    <n v="22000"/>
    <n v="0"/>
    <n v="21800"/>
    <n v="2843.478260869565"/>
    <n v="18956.521739130436"/>
    <s v="Cash"/>
    <n v="628"/>
    <s v="Regular"/>
    <d v="2025-02-09T00:00:00"/>
    <s v=""/>
    <x v="1"/>
    <s v="Mineral"/>
    <x v="0"/>
    <x v="2"/>
    <x v="0"/>
    <n v="0"/>
    <x v="0"/>
    <n v="15394"/>
    <n v="3562.5217391304359"/>
    <s v="O-45694-D-0014"/>
    <x v="0"/>
  </r>
  <r>
    <s v="F-159"/>
    <x v="20"/>
    <s v="D-0014"/>
    <x v="36"/>
    <s v="Medda Bus Stand, Brahmanbaria"/>
    <s v="01725-423635"/>
    <x v="3"/>
    <s v="Razur Rahman (Bipul)"/>
    <x v="3"/>
    <s v="Paduar Bazar Bisso Road"/>
    <x v="4"/>
    <s v="3000 4T PLUS 20W40"/>
    <n v="20"/>
    <n v="645"/>
    <n v="24"/>
    <n v="7.7519379844961378E-3"/>
    <n v="0"/>
    <n v="640"/>
    <n v="20"/>
    <n v="24"/>
    <n v="12900"/>
    <n v="0"/>
    <n v="12800"/>
    <n v="1669.5652173913043"/>
    <n v="11130.434782608696"/>
    <s v="Cash"/>
    <n v="628"/>
    <s v="Regular"/>
    <d v="2025-02-09T00:00:00"/>
    <s v=""/>
    <x v="1"/>
    <s v="Mineral"/>
    <x v="0"/>
    <x v="1"/>
    <x v="0"/>
    <n v="0"/>
    <x v="1"/>
    <n v="9397.9559070121941"/>
    <n v="1732.4788755965019"/>
    <s v="O-45694-D-0014"/>
    <x v="0"/>
  </r>
  <r>
    <s v="F-159"/>
    <x v="20"/>
    <s v="D-0014"/>
    <x v="36"/>
    <s v="Medda Bus Stand, Brahmanbaria"/>
    <s v="01725-423635"/>
    <x v="3"/>
    <s v="Razur Rahman (Bipul)"/>
    <x v="3"/>
    <s v="Paduar Bazar Bisso Road"/>
    <x v="12"/>
    <s v="3000 4T 20W50"/>
    <n v="20"/>
    <n v="495"/>
    <n v="20"/>
    <n v="1.0101010101010055E-2"/>
    <n v="0"/>
    <n v="490"/>
    <n v="20"/>
    <n v="20"/>
    <n v="9900"/>
    <n v="0"/>
    <n v="9800"/>
    <n v="1278.2608695652175"/>
    <n v="8521.7391304347821"/>
    <s v="Cash"/>
    <n v="628"/>
    <s v="Regular"/>
    <d v="2025-02-09T00:00:00"/>
    <s v=""/>
    <x v="1"/>
    <s v="Mineral"/>
    <x v="0"/>
    <x v="3"/>
    <x v="0"/>
    <n v="0"/>
    <x v="0"/>
    <n v="7298.4000000000005"/>
    <n v="1223.3391304347815"/>
    <s v="O-45694-D-0014"/>
    <x v="0"/>
  </r>
  <r>
    <s v="F-160"/>
    <x v="20"/>
    <s v="D-0023"/>
    <x v="37"/>
    <s v="26,J.K.M.C,Saha Road(Bro Bazar), Mymensingh"/>
    <n v="1712284667"/>
    <x v="6"/>
    <s v="Raihan Siddiqui"/>
    <x v="9"/>
    <s v="Rangpur"/>
    <x v="0"/>
    <s v="3000 4T PLUS 10W30"/>
    <n v="20"/>
    <n v="540"/>
    <n v="20"/>
    <n v="0"/>
    <n v="0"/>
    <n v="540"/>
    <n v="20"/>
    <n v="20"/>
    <n v="10800"/>
    <n v="0"/>
    <n v="10800"/>
    <n v="1408.695652173913"/>
    <n v="9391.3043478260861"/>
    <s v="Cash"/>
    <n v="629"/>
    <s v="Regular"/>
    <d v="2025-02-09T00:00:00"/>
    <s v=""/>
    <x v="3"/>
    <s v="Mineral"/>
    <x v="0"/>
    <x v="0"/>
    <x v="0"/>
    <n v="0"/>
    <x v="0"/>
    <n v="7586.5999999999995"/>
    <n v="1804.7043478260866"/>
    <s v="O-45694-D-0023"/>
    <x v="0"/>
  </r>
  <r>
    <s v="F-160"/>
    <x v="20"/>
    <s v="D-0023"/>
    <x v="37"/>
    <s v="26,J.K.M.C,Saha Road(Bro Bazar), Mymensingh"/>
    <n v="1712284667"/>
    <x v="6"/>
    <s v="Raihan Siddiqui"/>
    <x v="9"/>
    <s v="Rangpur"/>
    <x v="2"/>
    <s v="3000 4T PLUS 10W40"/>
    <n v="80"/>
    <n v="550"/>
    <n v="80"/>
    <n v="0"/>
    <n v="0"/>
    <n v="550"/>
    <n v="80"/>
    <n v="80"/>
    <n v="44000"/>
    <n v="0"/>
    <n v="44000"/>
    <n v="5739.130434782609"/>
    <n v="38260.869565217392"/>
    <s v="Cash"/>
    <n v="629"/>
    <s v="Regular"/>
    <d v="2025-02-09T00:00:00"/>
    <s v=""/>
    <x v="3"/>
    <s v="Mineral"/>
    <x v="0"/>
    <x v="2"/>
    <x v="0"/>
    <n v="0"/>
    <x v="0"/>
    <n v="30788"/>
    <n v="7472.8695652173919"/>
    <s v="O-45694-D-0023"/>
    <x v="0"/>
  </r>
  <r>
    <s v="F-160"/>
    <x v="20"/>
    <s v="D-0023"/>
    <x v="37"/>
    <s v="26,J.K.M.C,Saha Road(Bro Bazar), Mymensingh"/>
    <n v="1712284667"/>
    <x v="6"/>
    <s v="Raihan Siddiqui"/>
    <x v="9"/>
    <s v="Rangpur"/>
    <x v="15"/>
    <s v="3000 4T 20W50"/>
    <n v="20"/>
    <n v="595"/>
    <n v="24"/>
    <n v="0"/>
    <n v="0"/>
    <n v="595"/>
    <n v="20"/>
    <n v="24"/>
    <n v="11900"/>
    <n v="0"/>
    <n v="11900"/>
    <n v="1552.1739130434783"/>
    <n v="10347.826086956522"/>
    <s v="Cash"/>
    <n v="629"/>
    <s v="Regular"/>
    <d v="2025-02-09T00:00:00"/>
    <s v=""/>
    <x v="3"/>
    <s v="Mineral"/>
    <x v="0"/>
    <x v="3"/>
    <x v="0"/>
    <n v="0"/>
    <x v="1"/>
    <n v="8692.2000000000007"/>
    <n v="1655.6260869565212"/>
    <s v="O-45694-D-0023"/>
    <x v="0"/>
  </r>
  <r>
    <s v="F-161"/>
    <x v="20"/>
    <s v="D-0010"/>
    <x v="9"/>
    <s v="Hawkars Market, Chowmuhoni"/>
    <s v="01710-639669"/>
    <x v="3"/>
    <s v="Razur Rahman (Bipul)"/>
    <x v="4"/>
    <s v="Chowmuhoni"/>
    <x v="0"/>
    <s v="3000 4T PLUS 10W30"/>
    <n v="20"/>
    <n v="540"/>
    <n v="20"/>
    <n v="0"/>
    <n v="0"/>
    <n v="540"/>
    <n v="20"/>
    <n v="20"/>
    <n v="10800"/>
    <n v="0"/>
    <n v="10800"/>
    <n v="1408.695652173913"/>
    <n v="9391.3043478260861"/>
    <s v="Cash"/>
    <n v="630"/>
    <s v="Regular"/>
    <d v="2025-02-09T00:00:00"/>
    <s v=""/>
    <x v="1"/>
    <s v="Mineral"/>
    <x v="0"/>
    <x v="0"/>
    <x v="0"/>
    <n v="0"/>
    <x v="0"/>
    <n v="7586.5999999999995"/>
    <n v="1804.7043478260866"/>
    <s v="O-45694-D-0010"/>
    <x v="0"/>
  </r>
  <r>
    <s v="F-161"/>
    <x v="20"/>
    <s v="D-0010"/>
    <x v="9"/>
    <s v="Hawkars Market, Chowmuhoni"/>
    <s v="01710-639669"/>
    <x v="3"/>
    <s v="Razur Rahman (Bipul)"/>
    <x v="4"/>
    <s v="Chowmuhoni"/>
    <x v="2"/>
    <s v="3000 4T PLUS 10W40"/>
    <n v="40"/>
    <n v="550"/>
    <n v="40"/>
    <n v="0"/>
    <n v="0"/>
    <n v="550"/>
    <n v="40"/>
    <n v="40"/>
    <n v="22000"/>
    <n v="0"/>
    <n v="22000"/>
    <n v="2869.5652173913045"/>
    <n v="19130.434782608696"/>
    <s v="Cash"/>
    <n v="630"/>
    <s v="Regular"/>
    <d v="2025-02-09T00:00:00"/>
    <s v=""/>
    <x v="1"/>
    <s v="Mineral"/>
    <x v="0"/>
    <x v="2"/>
    <x v="0"/>
    <n v="0"/>
    <x v="0"/>
    <n v="15394"/>
    <n v="3736.434782608696"/>
    <s v="O-45694-D-0010"/>
    <x v="0"/>
  </r>
  <r>
    <s v="F-161"/>
    <x v="20"/>
    <s v="D-0010"/>
    <x v="9"/>
    <s v="Hawkars Market, Chowmuhoni"/>
    <s v="01710-639669"/>
    <x v="3"/>
    <s v="Razur Rahman (Bipul)"/>
    <x v="4"/>
    <s v="Chowmuhoni"/>
    <x v="3"/>
    <s v="3000 4T PLUS 10W30"/>
    <n v="40"/>
    <n v="650"/>
    <n v="48"/>
    <n v="-2.2204460492503131E-16"/>
    <n v="0"/>
    <n v="650.00000000000011"/>
    <n v="40"/>
    <n v="48"/>
    <n v="26000"/>
    <n v="0"/>
    <n v="26000.000000000004"/>
    <n v="3391.3043478260875"/>
    <n v="22608.695652173916"/>
    <s v="Cash"/>
    <n v="630"/>
    <s v="Regular"/>
    <d v="2025-02-09T00:00:00"/>
    <s v=""/>
    <x v="1"/>
    <s v="Mineral"/>
    <x v="0"/>
    <x v="0"/>
    <x v="0"/>
    <n v="0"/>
    <x v="1"/>
    <n v="17556"/>
    <n v="5052.6956521739157"/>
    <s v="O-45694-D-0010"/>
    <x v="0"/>
  </r>
  <r>
    <s v="F-161"/>
    <x v="20"/>
    <s v="D-0010"/>
    <x v="9"/>
    <s v="Hawkars Market, Chowmuhoni"/>
    <s v="01710-639669"/>
    <x v="3"/>
    <s v="Razur Rahman (Bipul)"/>
    <x v="4"/>
    <s v="Chowmuhoni"/>
    <x v="4"/>
    <s v="3000 4T PLUS 20W40"/>
    <n v="40"/>
    <n v="645"/>
    <n v="48"/>
    <n v="0"/>
    <n v="0"/>
    <n v="645"/>
    <n v="40"/>
    <n v="48"/>
    <n v="25800"/>
    <n v="0"/>
    <n v="25800"/>
    <n v="3365.217391304348"/>
    <n v="22434.782608695652"/>
    <s v="Cash"/>
    <n v="630"/>
    <s v="Regular"/>
    <d v="2025-02-09T00:00:00"/>
    <s v=""/>
    <x v="1"/>
    <s v="Mineral"/>
    <x v="0"/>
    <x v="1"/>
    <x v="0"/>
    <n v="0"/>
    <x v="1"/>
    <n v="18795.911814024388"/>
    <n v="3638.8707946712639"/>
    <s v="O-45694-D-0010"/>
    <x v="0"/>
  </r>
  <r>
    <s v="F-162"/>
    <x v="21"/>
    <s v="D-0019"/>
    <x v="38"/>
    <s v="Faridpur Sadar."/>
    <s v="01923-641421"/>
    <x v="4"/>
    <s v="Abdul Matin"/>
    <x v="20"/>
    <s v="Puratan Bus Stand Faridpur"/>
    <x v="0"/>
    <s v="3000 4T PLUS 10W30"/>
    <n v="300"/>
    <n v="540"/>
    <n v="300"/>
    <n v="1.851851851851849E-2"/>
    <n v="0"/>
    <n v="530"/>
    <n v="300"/>
    <n v="300"/>
    <n v="162000"/>
    <n v="1500"/>
    <n v="159000"/>
    <n v="20739.130434782608"/>
    <n v="138260.86956521738"/>
    <s v="Cash"/>
    <n v="631"/>
    <s v="Regular"/>
    <s v=""/>
    <s v=""/>
    <x v="0"/>
    <s v="Mineral"/>
    <x v="0"/>
    <x v="0"/>
    <x v="0"/>
    <n v="0"/>
    <x v="0"/>
    <n v="113799"/>
    <n v="24461.869565217377"/>
    <s v="O-45698-D-0019"/>
    <x v="0"/>
  </r>
  <r>
    <s v="F-162"/>
    <x v="21"/>
    <s v="D-0019"/>
    <x v="38"/>
    <s v="Faridpur Sadar."/>
    <s v="01923-641421"/>
    <x v="4"/>
    <s v="Abdul Matin"/>
    <x v="20"/>
    <s v="Puratan Bus Stand Faridpur"/>
    <x v="1"/>
    <s v="3000 4T PLUS 20W40"/>
    <n v="400"/>
    <n v="535"/>
    <n v="400"/>
    <n v="1.8691588785046731E-2"/>
    <n v="0"/>
    <n v="525"/>
    <n v="400"/>
    <n v="400"/>
    <n v="214000"/>
    <n v="2000"/>
    <n v="210000"/>
    <n v="27391.304347826088"/>
    <n v="182608.69565217392"/>
    <s v="Cash"/>
    <n v="631"/>
    <s v="Regular"/>
    <s v=""/>
    <s v=""/>
    <x v="0"/>
    <s v="Mineral"/>
    <x v="0"/>
    <x v="1"/>
    <x v="0"/>
    <n v="0"/>
    <x v="0"/>
    <n v="165104"/>
    <n v="17504.695652173919"/>
    <s v="O-45698-D-0019"/>
    <x v="0"/>
  </r>
  <r>
    <s v="F-162"/>
    <x v="21"/>
    <s v="D-0019"/>
    <x v="38"/>
    <s v="Faridpur Sadar."/>
    <s v="01923-641421"/>
    <x v="4"/>
    <s v="Abdul Matin"/>
    <x v="20"/>
    <s v="Puratan Bus Stand Faridpur"/>
    <x v="3"/>
    <s v="3000 4T PLUS 10W30"/>
    <n v="200"/>
    <n v="650"/>
    <n v="240"/>
    <n v="1.6923076923076708E-2"/>
    <n v="0"/>
    <n v="639.00000000000011"/>
    <n v="200"/>
    <n v="240"/>
    <n v="130000"/>
    <n v="1200"/>
    <n v="127800.00000000003"/>
    <n v="16669.565217391308"/>
    <n v="111130.43478260873"/>
    <s v="Cash"/>
    <n v="631"/>
    <s v="Regular"/>
    <s v=""/>
    <s v=""/>
    <x v="0"/>
    <s v="Mineral"/>
    <x v="0"/>
    <x v="0"/>
    <x v="0"/>
    <n v="0"/>
    <x v="1"/>
    <n v="87780"/>
    <n v="23350.434782608732"/>
    <s v="O-45698-D-0019"/>
    <x v="0"/>
  </r>
  <r>
    <s v="F-162"/>
    <x v="21"/>
    <s v="D-0019"/>
    <x v="38"/>
    <s v="Faridpur Sadar."/>
    <s v="01923-641421"/>
    <x v="4"/>
    <s v="Abdul Matin"/>
    <x v="20"/>
    <s v="Puratan Bus Stand Faridpur"/>
    <x v="4"/>
    <s v="3000 4T PLUS 20W40"/>
    <n v="200"/>
    <n v="645"/>
    <n v="240"/>
    <n v="1.7054263565891459E-2"/>
    <n v="0"/>
    <n v="634"/>
    <n v="200"/>
    <n v="240"/>
    <n v="129000"/>
    <n v="1200"/>
    <n v="126800"/>
    <n v="16539.130434782608"/>
    <n v="110260.86956521739"/>
    <s v="Cash"/>
    <n v="631"/>
    <s v="Regular"/>
    <s v=""/>
    <s v=""/>
    <x v="0"/>
    <s v="Mineral"/>
    <x v="0"/>
    <x v="1"/>
    <x v="0"/>
    <n v="0"/>
    <x v="1"/>
    <n v="93979.559070121948"/>
    <n v="16281.310495095444"/>
    <s v="O-45698-D-0019"/>
    <x v="0"/>
  </r>
  <r>
    <s v="F-162"/>
    <x v="21"/>
    <s v="D-0019"/>
    <x v="38"/>
    <s v="Faridpur Sadar."/>
    <s v="01923-641421"/>
    <x v="4"/>
    <s v="Abdul Matin"/>
    <x v="20"/>
    <s v="Puratan Bus Stand Faridpur"/>
    <x v="12"/>
    <s v="3000 4T 20W50"/>
    <n v="40"/>
    <n v="495"/>
    <n v="40"/>
    <n v="3.8383838383838409E-2"/>
    <n v="0"/>
    <n v="476"/>
    <n v="40"/>
    <n v="40"/>
    <n v="19800"/>
    <n v="200"/>
    <n v="19040"/>
    <n v="2483.478260869565"/>
    <n v="16556.521739130436"/>
    <s v="Cash"/>
    <n v="631"/>
    <s v="Regular"/>
    <s v=""/>
    <s v=""/>
    <x v="0"/>
    <s v="Mineral"/>
    <x v="0"/>
    <x v="3"/>
    <x v="0"/>
    <n v="0"/>
    <x v="0"/>
    <n v="14596.800000000001"/>
    <n v="1959.7217391304348"/>
    <s v="O-45698-D-0019"/>
    <x v="0"/>
  </r>
  <r>
    <s v="F-162"/>
    <x v="21"/>
    <s v="D-0019"/>
    <x v="38"/>
    <s v="Faridpur Sadar."/>
    <s v="01923-641421"/>
    <x v="4"/>
    <s v="Abdul Matin"/>
    <x v="20"/>
    <s v="Puratan Bus Stand Faridpur"/>
    <x v="15"/>
    <s v="3000 4T 20W50"/>
    <n v="240"/>
    <n v="595"/>
    <n v="288"/>
    <n v="3.6638655462184921E-2"/>
    <n v="0"/>
    <n v="573.20000000000005"/>
    <n v="240"/>
    <n v="288"/>
    <n v="142800"/>
    <n v="1440"/>
    <n v="137568"/>
    <n v="17943.652173913044"/>
    <n v="119624.34782608696"/>
    <s v="Cash"/>
    <n v="631"/>
    <s v="Regular"/>
    <s v=""/>
    <s v=""/>
    <x v="0"/>
    <s v="Mineral"/>
    <x v="0"/>
    <x v="3"/>
    <x v="0"/>
    <n v="0"/>
    <x v="1"/>
    <n v="104306.40000000001"/>
    <n v="15317.947826086951"/>
    <s v="O-45698-D-0019"/>
    <x v="0"/>
  </r>
  <r>
    <s v="F-163"/>
    <x v="22"/>
    <s v="D-0026"/>
    <x v="33"/>
    <s v="Dhaka"/>
    <m/>
    <x v="2"/>
    <s v="Captive Sales"/>
    <x v="17"/>
    <s v="Gazipur"/>
    <x v="40"/>
    <s v="Tekma Mega Fleet LD 15W40"/>
    <m/>
    <n v="0"/>
    <n v="0"/>
    <s v=""/>
    <n v="4"/>
    <n v="0"/>
    <n v="4"/>
    <n v="44"/>
    <n v="0"/>
    <n v="0"/>
    <n v="0"/>
    <n v="0"/>
    <n v="0"/>
    <s v="free"/>
    <s v=""/>
    <s v="Flat Discount"/>
    <d v="2025-02-09T00:00:00"/>
    <s v="sample checking purpose"/>
    <x v="2"/>
    <s v="Mineral"/>
    <x v="3"/>
    <x v="6"/>
    <x v="18"/>
    <n v="44"/>
    <x v="16"/>
    <n v="16442.919999999998"/>
    <n v="-16442.919999999998"/>
    <s v="O-45697-D-0026"/>
    <x v="0"/>
  </r>
  <r>
    <s v="F-163"/>
    <x v="22"/>
    <s v="D-0026"/>
    <x v="33"/>
    <s v="Dhaka"/>
    <m/>
    <x v="2"/>
    <s v="Captive Sales"/>
    <x v="17"/>
    <s v="Gazipur"/>
    <x v="41"/>
    <s v="Tekma Mega Fleet LD 15W40"/>
    <m/>
    <n v="0"/>
    <n v="0"/>
    <s v=""/>
    <n v="4"/>
    <n v="0"/>
    <n v="4"/>
    <n v="60"/>
    <n v="0"/>
    <n v="0"/>
    <n v="0"/>
    <n v="0"/>
    <n v="0"/>
    <s v="free"/>
    <s v=""/>
    <s v="Flat Discount"/>
    <d v="2025-02-09T00:00:00"/>
    <s v="sample checking purpose"/>
    <x v="2"/>
    <s v="Mineral"/>
    <x v="3"/>
    <x v="6"/>
    <x v="18"/>
    <n v="60"/>
    <x v="17"/>
    <n v="22139.48"/>
    <n v="-22139.48"/>
    <s v="O-45697-D-0026"/>
    <x v="0"/>
  </r>
  <r>
    <s v="F-163"/>
    <x v="22"/>
    <s v="D-0026"/>
    <x v="33"/>
    <s v="Dhaka"/>
    <m/>
    <x v="2"/>
    <s v="Captive Sales"/>
    <x v="17"/>
    <s v="Gazipur"/>
    <x v="42"/>
    <s v="Tekma Mega Fleet LD 15W40"/>
    <m/>
    <n v="0"/>
    <n v="0"/>
    <s v=""/>
    <n v="12"/>
    <n v="0"/>
    <n v="12"/>
    <n v="12"/>
    <n v="0"/>
    <n v="0"/>
    <n v="0"/>
    <n v="0"/>
    <n v="0"/>
    <s v="free"/>
    <s v=""/>
    <s v="Flat Discount"/>
    <d v="2025-02-09T00:00:00"/>
    <s v="sample checking purpose"/>
    <x v="2"/>
    <s v="Mineral"/>
    <x v="3"/>
    <x v="6"/>
    <x v="18"/>
    <n v="12"/>
    <x v="0"/>
    <n v="4996.5599999999995"/>
    <n v="-4996.5599999999995"/>
    <s v="O-45697-D-0026"/>
    <x v="0"/>
  </r>
  <r>
    <s v="F-167"/>
    <x v="23"/>
    <s v="D-0026"/>
    <x v="33"/>
    <s v="Dhaka"/>
    <s v=""/>
    <x v="2"/>
    <s v="Captive Sales"/>
    <x v="17"/>
    <s v="Dhaka"/>
    <x v="40"/>
    <s v="Tekma Mega Fleet LD 15W40"/>
    <n v="190"/>
    <n v="4400"/>
    <n v="2090"/>
    <n v="0"/>
    <n v="0"/>
    <n v="4400"/>
    <n v="190"/>
    <n v="2090"/>
    <n v="836000"/>
    <n v="0"/>
    <n v="836000"/>
    <n v="109043.47826086957"/>
    <n v="726956.52173913049"/>
    <s v="Cash"/>
    <n v="635"/>
    <s v="Flat Discount"/>
    <d v="2025-02-16T00:00:00"/>
    <s v=""/>
    <x v="2"/>
    <s v="Mineral"/>
    <x v="3"/>
    <x v="6"/>
    <x v="18"/>
    <n v="0"/>
    <x v="16"/>
    <n v="781038.7"/>
    <n v="-54082.178260869463"/>
    <s v="O-45701-D-0026"/>
    <x v="0"/>
  </r>
  <r>
    <s v="F-167"/>
    <x v="23"/>
    <s v="D-0026"/>
    <x v="33"/>
    <s v="Dhaka"/>
    <s v=""/>
    <x v="2"/>
    <s v="Captive Sales"/>
    <x v="17"/>
    <s v="Dhaka"/>
    <x v="41"/>
    <s v="Tekma Mega Fleet LD 15W40"/>
    <n v="93"/>
    <n v="6000"/>
    <n v="1395"/>
    <n v="0"/>
    <n v="0"/>
    <n v="6000"/>
    <n v="93"/>
    <n v="1395"/>
    <n v="558000"/>
    <n v="0"/>
    <n v="558000"/>
    <n v="72782.608695652176"/>
    <n v="485217.39130434784"/>
    <s v="Cash"/>
    <n v="635"/>
    <s v="Flat Discount"/>
    <d v="2025-02-16T00:00:00"/>
    <s v=""/>
    <x v="2"/>
    <s v="Mineral"/>
    <x v="3"/>
    <x v="6"/>
    <x v="18"/>
    <n v="0"/>
    <x v="17"/>
    <n v="514742.91"/>
    <n v="-29525.518695652136"/>
    <s v="O-45701-D-0026"/>
    <x v="0"/>
  </r>
  <r>
    <s v="F-167"/>
    <x v="23"/>
    <s v="D-0026"/>
    <x v="33"/>
    <s v="Dhaka"/>
    <s v=""/>
    <x v="2"/>
    <s v="Captive Sales"/>
    <x v="17"/>
    <s v="Dhaka"/>
    <x v="42"/>
    <s v="Tekma Mega Fleet LD 15W40"/>
    <n v="201"/>
    <n v="400"/>
    <n v="201"/>
    <n v="0"/>
    <n v="0"/>
    <n v="400"/>
    <n v="201"/>
    <n v="201"/>
    <n v="80400"/>
    <n v="0"/>
    <n v="80400"/>
    <n v="10486.95652173913"/>
    <n v="69913.043478260865"/>
    <s v="Cash"/>
    <n v="635"/>
    <s v="Flat Discount"/>
    <d v="2025-02-16T00:00:00"/>
    <s v=""/>
    <x v="2"/>
    <s v="Mineral"/>
    <x v="3"/>
    <x v="6"/>
    <x v="18"/>
    <n v="0"/>
    <x v="0"/>
    <n v="83692.38"/>
    <n v="-13779.33652173914"/>
    <s v="O-45701-D-0026"/>
    <x v="0"/>
  </r>
  <r>
    <s v="F-164"/>
    <x v="20"/>
    <s v="D-0006"/>
    <x v="18"/>
    <s v=""/>
    <s v=""/>
    <x v="0"/>
    <s v="Abdul Matin"/>
    <x v="7"/>
    <s v="Savar"/>
    <x v="0"/>
    <s v="3000 4T PLUS 10W30"/>
    <n v="200"/>
    <n v="540"/>
    <n v="200"/>
    <n v="1.2962962962962954E-2"/>
    <n v="0"/>
    <n v="533"/>
    <n v="200"/>
    <n v="200"/>
    <n v="108000"/>
    <n v="1400"/>
    <n v="106600"/>
    <n v="13904.347826086956"/>
    <n v="92695.65217391304"/>
    <s v="Cash"/>
    <n v="632"/>
    <s v="Regular"/>
    <d v="2025-02-13T00:00:00"/>
    <s v=""/>
    <x v="0"/>
    <s v="Mineral"/>
    <x v="0"/>
    <x v="0"/>
    <x v="0"/>
    <n v="0"/>
    <x v="0"/>
    <n v="75866"/>
    <n v="16829.65217391304"/>
    <s v="O-45694-D-0006"/>
    <x v="0"/>
  </r>
  <r>
    <s v="F-164"/>
    <x v="20"/>
    <s v="D-0006"/>
    <x v="18"/>
    <s v=""/>
    <s v=""/>
    <x v="0"/>
    <s v="Abdul Matin"/>
    <x v="7"/>
    <s v="Savar"/>
    <x v="3"/>
    <s v="3000 4T PLUS 10W30"/>
    <n v="300"/>
    <n v="650"/>
    <n v="360"/>
    <n v="1.2923076923076926E-2"/>
    <n v="0"/>
    <n v="641.6"/>
    <n v="300"/>
    <n v="360"/>
    <n v="195000"/>
    <n v="2520"/>
    <n v="192480"/>
    <n v="25106.08695652174"/>
    <n v="167373.91304347827"/>
    <s v="Cash"/>
    <n v="632"/>
    <s v="Regular"/>
    <d v="2025-02-13T00:00:00"/>
    <s v=""/>
    <x v="0"/>
    <s v="Mineral"/>
    <x v="0"/>
    <x v="0"/>
    <x v="0"/>
    <n v="0"/>
    <x v="1"/>
    <n v="131670"/>
    <n v="35703.913043478271"/>
    <s v="O-45694-D-0006"/>
    <x v="0"/>
  </r>
  <r>
    <s v="F-164"/>
    <x v="20"/>
    <s v="D-0006"/>
    <x v="18"/>
    <s v=""/>
    <s v=""/>
    <x v="0"/>
    <s v="Abdul Matin"/>
    <x v="7"/>
    <s v="Savar"/>
    <x v="4"/>
    <s v="3000 4T PLUS 20W40"/>
    <n v="100"/>
    <n v="645"/>
    <n v="120"/>
    <n v="1.3023255813953472E-2"/>
    <n v="0"/>
    <n v="636.6"/>
    <n v="100"/>
    <n v="120"/>
    <n v="64500"/>
    <n v="840"/>
    <n v="63660"/>
    <n v="8303.4782608695659"/>
    <n v="55356.521739130432"/>
    <s v="Cash"/>
    <n v="632"/>
    <s v="Regular"/>
    <d v="2025-02-13T00:00:00"/>
    <s v=""/>
    <x v="0"/>
    <s v="Mineral"/>
    <x v="0"/>
    <x v="1"/>
    <x v="0"/>
    <n v="0"/>
    <x v="1"/>
    <n v="46989.779535060974"/>
    <n v="8366.7422040694582"/>
    <s v="O-45694-D-0006"/>
    <x v="0"/>
  </r>
  <r>
    <s v="F-165"/>
    <x v="21"/>
    <s v="D-0014"/>
    <x v="39"/>
    <s v="Station Road, Cumilla"/>
    <s v="01728-083399"/>
    <x v="3"/>
    <s v="Razur Rahman (Bipul)"/>
    <x v="3"/>
    <s v="Paduar Bazar Bisso Road"/>
    <x v="2"/>
    <s v="3000 4T PLUS 10W40"/>
    <n v="40"/>
    <n v="550"/>
    <n v="40"/>
    <n v="9.0909090909090384E-3"/>
    <n v="0"/>
    <n v="545"/>
    <n v="40"/>
    <n v="40"/>
    <n v="22000"/>
    <n v="0"/>
    <n v="21800"/>
    <n v="2843.478260869565"/>
    <n v="18956.521739130436"/>
    <s v="Cash"/>
    <n v="633"/>
    <s v="Regular"/>
    <d v="2025-02-13T00:00:00"/>
    <s v=""/>
    <x v="1"/>
    <s v="Mineral"/>
    <x v="0"/>
    <x v="2"/>
    <x v="0"/>
    <n v="0"/>
    <x v="0"/>
    <n v="15394"/>
    <n v="3562.5217391304359"/>
    <s v="O-45698-D-0014"/>
    <x v="0"/>
  </r>
  <r>
    <s v="F-165"/>
    <x v="21"/>
    <s v="D-0014"/>
    <x v="39"/>
    <s v="Station Road, Cumilla"/>
    <s v="01728-083399"/>
    <x v="3"/>
    <s v="Razur Rahman (Bipul)"/>
    <x v="3"/>
    <s v="Paduar Bazar Bisso Road"/>
    <x v="12"/>
    <s v="3000 4T 20W50"/>
    <n v="100"/>
    <n v="495"/>
    <n v="100"/>
    <n v="2.4242424242424288E-2"/>
    <n v="0"/>
    <n v="483"/>
    <n v="100"/>
    <n v="100"/>
    <n v="49500"/>
    <n v="0"/>
    <n v="48300"/>
    <n v="6300"/>
    <n v="42000"/>
    <s v="Cash"/>
    <n v="633"/>
    <s v="Regular"/>
    <d v="2025-02-13T00:00:00"/>
    <s v=""/>
    <x v="1"/>
    <s v="Mineral"/>
    <x v="0"/>
    <x v="3"/>
    <x v="0"/>
    <n v="0"/>
    <x v="0"/>
    <n v="36492"/>
    <n v="5508"/>
    <s v="O-45698-D-0014"/>
    <x v="0"/>
  </r>
  <r>
    <s v="F-165"/>
    <x v="21"/>
    <s v="D-0014"/>
    <x v="39"/>
    <s v="Station Road, Cumilla"/>
    <s v="01728-083399"/>
    <x v="3"/>
    <s v="Razur Rahman (Bipul)"/>
    <x v="3"/>
    <s v="Paduar Bazar Bisso Road"/>
    <x v="15"/>
    <s v="3000 4T 20W50"/>
    <n v="40"/>
    <n v="595"/>
    <n v="48"/>
    <n v="2.2521008403361353E-2"/>
    <n v="0"/>
    <n v="581.6"/>
    <n v="40"/>
    <n v="48"/>
    <n v="23800"/>
    <n v="0"/>
    <n v="23264"/>
    <n v="3034.4347826086955"/>
    <n v="20229.565217391304"/>
    <s v="Cash"/>
    <n v="633"/>
    <s v="Regular"/>
    <d v="2025-02-13T00:00:00"/>
    <s v=""/>
    <x v="1"/>
    <s v="Mineral"/>
    <x v="0"/>
    <x v="3"/>
    <x v="0"/>
    <n v="0"/>
    <x v="1"/>
    <n v="17384.400000000001"/>
    <n v="2845.1652173913026"/>
    <s v="O-45698-D-0014"/>
    <x v="0"/>
  </r>
  <r>
    <s v="F-166"/>
    <x v="24"/>
    <s v="D-0027"/>
    <x v="40"/>
    <s v="Tejgaon"/>
    <s v=""/>
    <x v="2"/>
    <s v="Captive Sales"/>
    <x v="21"/>
    <s v="Dhaka"/>
    <x v="14"/>
    <s v="8100 X.Max 0W40"/>
    <n v="52"/>
    <n v="3000"/>
    <n v="208"/>
    <n v="0"/>
    <n v="0"/>
    <n v="3000"/>
    <n v="52"/>
    <n v="208"/>
    <n v="156000"/>
    <n v="0"/>
    <n v="156000"/>
    <n v="20347.82608695652"/>
    <n v="135652.17391304349"/>
    <s v="Cash"/>
    <n v="634"/>
    <s v="Custom"/>
    <d v="2025-02-14T00:00:00"/>
    <s v=""/>
    <x v="2"/>
    <s v="Synthetic"/>
    <x v="2"/>
    <x v="5"/>
    <x v="6"/>
    <n v="0"/>
    <x v="5"/>
    <n v="152670.44"/>
    <n v="-17018.266086956515"/>
    <s v="O-45702-D-0027"/>
    <x v="0"/>
  </r>
  <r>
    <s v="F-168"/>
    <x v="23"/>
    <s v="D-0026"/>
    <x v="33"/>
    <s v="Tejgaon"/>
    <s v=""/>
    <x v="2"/>
    <s v="Captive Sales"/>
    <x v="17"/>
    <s v="Dhaka"/>
    <x v="43"/>
    <s v="Tekma Turbo 20W50"/>
    <m/>
    <n v="0"/>
    <n v="0"/>
    <s v=""/>
    <n v="4"/>
    <n v="0"/>
    <n v="4"/>
    <n v="4"/>
    <n v="0"/>
    <n v="0"/>
    <n v="0"/>
    <n v="0"/>
    <n v="0"/>
    <s v="free"/>
    <s v=""/>
    <s v="Custom"/>
    <d v="2025-02-16T00:00:00"/>
    <s v="Sample purpose to Rangs workshop"/>
    <x v="2"/>
    <s v="Mineral"/>
    <x v="3"/>
    <x v="3"/>
    <x v="18"/>
    <n v="4"/>
    <x v="0"/>
    <n v="1478.44"/>
    <n v="-1478.44"/>
    <s v="O-45701-D-0026"/>
    <x v="0"/>
  </r>
  <r>
    <s v="F-168"/>
    <x v="23"/>
    <s v="D-0026"/>
    <x v="33"/>
    <s v="Tejgaon"/>
    <s v=""/>
    <x v="2"/>
    <s v="Captive Sales"/>
    <x v="17"/>
    <s v="Dhaka"/>
    <x v="44"/>
    <s v="Tekma Turbo 20W50"/>
    <m/>
    <n v="0"/>
    <n v="0"/>
    <s v=""/>
    <n v="2"/>
    <n v="0"/>
    <n v="2"/>
    <n v="22"/>
    <n v="0"/>
    <n v="0"/>
    <n v="0"/>
    <n v="0"/>
    <n v="0"/>
    <s v="free"/>
    <s v=""/>
    <s v="Custom"/>
    <d v="2025-02-16T00:00:00"/>
    <s v="Sample purpose to Rangs workshop"/>
    <x v="2"/>
    <s v="Mineral"/>
    <x v="3"/>
    <x v="3"/>
    <x v="18"/>
    <n v="22"/>
    <x v="16"/>
    <n v="7787.14"/>
    <n v="-7787.14"/>
    <s v="O-45701-D-0026"/>
    <x v="0"/>
  </r>
  <r>
    <s v="F-168"/>
    <x v="23"/>
    <s v="D-0026"/>
    <x v="33"/>
    <s v="Tejgaon"/>
    <s v=""/>
    <x v="2"/>
    <s v="Captive Sales"/>
    <x v="17"/>
    <s v="Dhaka"/>
    <x v="45"/>
    <s v="Tekma Turbo 20W50"/>
    <m/>
    <n v="0"/>
    <n v="0"/>
    <s v=""/>
    <n v="2"/>
    <n v="0"/>
    <n v="2"/>
    <n v="30"/>
    <n v="0"/>
    <n v="0"/>
    <n v="0"/>
    <n v="0"/>
    <n v="0"/>
    <s v="free"/>
    <s v=""/>
    <s v="Custom"/>
    <d v="2025-02-16T00:00:00"/>
    <s v="Sample purpose to Rangs workshop"/>
    <x v="2"/>
    <s v="Mineral"/>
    <x v="3"/>
    <x v="3"/>
    <x v="18"/>
    <n v="30"/>
    <x v="17"/>
    <n v="10110.08"/>
    <n v="-10110.08"/>
    <s v="O-45701-D-0026"/>
    <x v="0"/>
  </r>
  <r>
    <s v="F-168"/>
    <x v="23"/>
    <s v="D-0026"/>
    <x v="33"/>
    <s v="Tejgaon"/>
    <s v=""/>
    <x v="2"/>
    <s v="Captive Sales"/>
    <x v="17"/>
    <s v="Dhaka"/>
    <x v="46"/>
    <s v="Tekma Turbo 20W50"/>
    <m/>
    <n v="0"/>
    <n v="0"/>
    <s v=""/>
    <n v="2"/>
    <n v="0"/>
    <n v="2"/>
    <n v="10"/>
    <n v="0"/>
    <n v="0"/>
    <n v="0"/>
    <n v="0"/>
    <n v="0"/>
    <s v="free"/>
    <s v=""/>
    <s v="Custom"/>
    <d v="2025-02-16T00:00:00"/>
    <s v="Sample purpose to Rangs workshop"/>
    <x v="2"/>
    <s v="Mineral"/>
    <x v="3"/>
    <x v="3"/>
    <x v="18"/>
    <n v="10"/>
    <x v="18"/>
    <n v="3660.3"/>
    <n v="-3660.3"/>
    <s v="O-45701-D-0026"/>
    <x v="0"/>
  </r>
  <r>
    <s v="F-168"/>
    <x v="23"/>
    <s v="D-0026"/>
    <x v="33"/>
    <s v="Tejgaon"/>
    <s v=""/>
    <x v="2"/>
    <s v="Captive Sales"/>
    <x v="17"/>
    <s v="Dhaka"/>
    <x v="47"/>
    <s v="Tekma Turbo 20W50"/>
    <m/>
    <n v="0"/>
    <n v="0"/>
    <s v=""/>
    <n v="2"/>
    <n v="0"/>
    <n v="2"/>
    <n v="36"/>
    <n v="0"/>
    <n v="0"/>
    <n v="0"/>
    <n v="0"/>
    <n v="0"/>
    <s v="free"/>
    <s v=""/>
    <s v="Custom"/>
    <d v="2025-02-16T00:00:00"/>
    <s v="Sample purpose to Rangs workshop"/>
    <x v="2"/>
    <s v="Mineral"/>
    <x v="3"/>
    <x v="3"/>
    <x v="18"/>
    <n v="36"/>
    <x v="19"/>
    <n v="12059.48"/>
    <n v="-12059.48"/>
    <s v="O-45701-D-0026"/>
    <x v="0"/>
  </r>
  <r>
    <s v="F-175"/>
    <x v="25"/>
    <s v="D-0001"/>
    <x v="41"/>
    <s v="Jhenaidah sadar"/>
    <s v="01729-324717"/>
    <x v="4"/>
    <s v="Abdul Matin"/>
    <x v="10"/>
    <s v="Pangsha"/>
    <x v="0"/>
    <s v="3000 4T PLUS 10W30"/>
    <n v="60"/>
    <n v="540"/>
    <n v="60"/>
    <n v="9.2592592592593004E-3"/>
    <n v="0"/>
    <n v="535"/>
    <n v="60"/>
    <n v="60"/>
    <n v="32400"/>
    <n v="0"/>
    <n v="32100"/>
    <n v="4186.95652173913"/>
    <n v="27913.043478260868"/>
    <s v="Cash"/>
    <n v="642"/>
    <s v="Regular"/>
    <d v="2025-02-19T00:00:00"/>
    <s v="delivery system:sundarban courier "/>
    <x v="0"/>
    <s v="Mineral"/>
    <x v="0"/>
    <x v="0"/>
    <x v="0"/>
    <n v="0"/>
    <x v="0"/>
    <n v="22759.8"/>
    <n v="5153.2434782608689"/>
    <s v="O-45707-D-0001"/>
    <x v="0"/>
  </r>
  <r>
    <s v="F-175"/>
    <x v="25"/>
    <s v="D-0001"/>
    <x v="41"/>
    <s v="Jhenaidah sadar"/>
    <s v="01729-324717"/>
    <x v="4"/>
    <s v="Abdul Matin"/>
    <x v="10"/>
    <s v="Pangsha"/>
    <x v="1"/>
    <s v="3000 4T PLUS 20W40"/>
    <n v="60"/>
    <n v="535"/>
    <n v="60"/>
    <n v="9.3457943925233655E-3"/>
    <n v="0"/>
    <n v="530"/>
    <n v="60"/>
    <n v="60"/>
    <n v="32100"/>
    <n v="0"/>
    <n v="31800"/>
    <n v="4147.826086956522"/>
    <n v="27652.17391304348"/>
    <s v="Cash"/>
    <n v="642"/>
    <s v="Regular"/>
    <d v="2025-02-19T00:00:00"/>
    <s v="delivery system:sundarban courier "/>
    <x v="0"/>
    <s v="Mineral"/>
    <x v="0"/>
    <x v="1"/>
    <x v="0"/>
    <n v="0"/>
    <x v="0"/>
    <n v="24765.599999999999"/>
    <n v="2886.5739130434813"/>
    <s v="O-45707-D-0001"/>
    <x v="0"/>
  </r>
  <r>
    <s v="F-175"/>
    <x v="25"/>
    <s v="D-0001"/>
    <x v="41"/>
    <s v="Jhenaidah sadar"/>
    <s v="01729-324717"/>
    <x v="4"/>
    <s v="Abdul Matin"/>
    <x v="10"/>
    <s v="Pangsha"/>
    <x v="12"/>
    <s v="3000 4T 20W50"/>
    <n v="40"/>
    <n v="495"/>
    <n v="40"/>
    <n v="1.0101010101010055E-2"/>
    <n v="0"/>
    <n v="490"/>
    <n v="40"/>
    <n v="40"/>
    <n v="19800"/>
    <n v="0"/>
    <n v="19600"/>
    <n v="2556.521739130435"/>
    <n v="17043.478260869564"/>
    <s v="Cash"/>
    <n v="642"/>
    <s v="Regular"/>
    <d v="2025-02-19T00:00:00"/>
    <s v="delivery system:sundarban courier "/>
    <x v="0"/>
    <s v="Mineral"/>
    <x v="0"/>
    <x v="3"/>
    <x v="0"/>
    <n v="0"/>
    <x v="0"/>
    <n v="14596.800000000001"/>
    <n v="2446.678260869563"/>
    <s v="O-45707-D-0001"/>
    <x v="0"/>
  </r>
  <r>
    <s v="F-176"/>
    <x v="25"/>
    <s v="D-0023"/>
    <x v="42"/>
    <s v="Munshipara, Dinajpur Sadar"/>
    <s v="01533-399630"/>
    <x v="6"/>
    <s v="Raihan Siddiqui"/>
    <x v="9"/>
    <s v="Rangpur"/>
    <x v="2"/>
    <s v="3000 4T PLUS 10W40"/>
    <n v="20"/>
    <n v="550"/>
    <n v="20"/>
    <n v="9.0909090909090384E-3"/>
    <n v="0"/>
    <n v="545"/>
    <n v="20"/>
    <n v="20"/>
    <n v="11000"/>
    <n v="0"/>
    <n v="10900"/>
    <n v="1421.7391304347825"/>
    <n v="9478.2608695652179"/>
    <s v="Cash"/>
    <n v="643"/>
    <s v="Regular"/>
    <d v="2025-02-19T00:00:00"/>
    <s v=""/>
    <x v="3"/>
    <s v="Mineral"/>
    <x v="0"/>
    <x v="2"/>
    <x v="0"/>
    <n v="0"/>
    <x v="0"/>
    <n v="7697"/>
    <n v="1781.2608695652179"/>
    <s v="O-45707-D-0023"/>
    <x v="0"/>
  </r>
  <r>
    <s v="F-176"/>
    <x v="25"/>
    <s v="D-0023"/>
    <x v="42"/>
    <s v="Munshipara, Dinajpur Sadar"/>
    <s v="01533-399630"/>
    <x v="6"/>
    <s v="Raihan Siddiqui"/>
    <x v="9"/>
    <s v="Rangpur"/>
    <x v="12"/>
    <s v="3000 4T 20W50"/>
    <n v="100"/>
    <n v="495"/>
    <n v="100"/>
    <n v="2.4242424242424288E-2"/>
    <n v="0"/>
    <n v="483"/>
    <n v="100"/>
    <n v="100"/>
    <n v="49500"/>
    <n v="0"/>
    <n v="48300"/>
    <n v="6300"/>
    <n v="42000"/>
    <s v="Cash"/>
    <n v="643"/>
    <s v="Regular"/>
    <d v="2025-02-19T00:00:00"/>
    <s v=""/>
    <x v="3"/>
    <s v="Mineral"/>
    <x v="0"/>
    <x v="3"/>
    <x v="0"/>
    <n v="0"/>
    <x v="0"/>
    <n v="36492"/>
    <n v="5508"/>
    <s v="O-45707-D-0023"/>
    <x v="0"/>
  </r>
  <r>
    <s v="F-170"/>
    <x v="26"/>
    <s v="D-0023"/>
    <x v="43"/>
    <s v="Tarajong Bazar,Rangpur "/>
    <n v="1713709479"/>
    <x v="6"/>
    <s v="Raihan Siddiqui"/>
    <x v="9"/>
    <s v="Rangpur"/>
    <x v="2"/>
    <s v="3000 4T PLUS 10W40"/>
    <n v="60"/>
    <n v="550"/>
    <n v="60"/>
    <n v="0"/>
    <n v="0"/>
    <n v="550"/>
    <n v="60"/>
    <n v="60"/>
    <n v="33000"/>
    <n v="0"/>
    <n v="33000"/>
    <n v="4304.347826086957"/>
    <n v="28695.652173913044"/>
    <s v="Cash"/>
    <n v="637"/>
    <s v="Regular"/>
    <d v="2025-02-19T00:00:00"/>
    <s v=""/>
    <x v="3"/>
    <s v="Mineral"/>
    <x v="0"/>
    <x v="2"/>
    <x v="0"/>
    <n v="0"/>
    <x v="0"/>
    <n v="23091"/>
    <n v="5604.652173913044"/>
    <s v="O-45704-D-0023"/>
    <x v="0"/>
  </r>
  <r>
    <s v="F-170"/>
    <x v="26"/>
    <s v="D-0023"/>
    <x v="43"/>
    <s v="Tarajong Bazar,Rangpur "/>
    <n v="1713709479"/>
    <x v="6"/>
    <s v="Raihan Siddiqui"/>
    <x v="9"/>
    <s v="Rangpur"/>
    <x v="3"/>
    <s v="3000 4T PLUS 10W30"/>
    <n v="20"/>
    <n v="650"/>
    <n v="24"/>
    <n v="-2.2204460492503131E-16"/>
    <n v="0"/>
    <n v="650.00000000000011"/>
    <n v="20"/>
    <n v="24"/>
    <n v="13000"/>
    <n v="0"/>
    <n v="13000.000000000002"/>
    <n v="1695.6521739130437"/>
    <n v="11304.347826086958"/>
    <s v="Cash"/>
    <n v="637"/>
    <s v="Regular"/>
    <d v="2025-02-19T00:00:00"/>
    <s v=""/>
    <x v="3"/>
    <s v="Mineral"/>
    <x v="0"/>
    <x v="0"/>
    <x v="0"/>
    <n v="0"/>
    <x v="1"/>
    <n v="8778"/>
    <n v="2526.3478260869579"/>
    <s v="O-45704-D-0023"/>
    <x v="0"/>
  </r>
  <r>
    <s v="F-170"/>
    <x v="26"/>
    <s v="D-0023"/>
    <x v="43"/>
    <s v="Tarajong Bazar,Rangpur "/>
    <n v="1713709479"/>
    <x v="6"/>
    <s v="Raihan Siddiqui"/>
    <x v="9"/>
    <s v="Rangpur"/>
    <x v="12"/>
    <s v="3000 4T 20W50"/>
    <n v="20"/>
    <n v="495"/>
    <n v="20"/>
    <n v="0"/>
    <n v="0"/>
    <n v="495"/>
    <n v="20"/>
    <n v="20"/>
    <n v="9900"/>
    <n v="0"/>
    <n v="9900"/>
    <n v="1291.304347826087"/>
    <n v="8608.6956521739139"/>
    <s v="Cash"/>
    <n v="637"/>
    <s v="Regular"/>
    <d v="2025-02-19T00:00:00"/>
    <s v=""/>
    <x v="3"/>
    <s v="Mineral"/>
    <x v="0"/>
    <x v="3"/>
    <x v="0"/>
    <n v="0"/>
    <x v="0"/>
    <n v="7298.4000000000005"/>
    <n v="1310.2956521739134"/>
    <s v="O-45704-D-0023"/>
    <x v="0"/>
  </r>
  <r>
    <s v="F-171"/>
    <x v="26"/>
    <s v="D-0014"/>
    <x v="44"/>
    <s v="Kaoutoli, Brahmanbaria"/>
    <s v="01734-078613"/>
    <x v="3"/>
    <s v="Razur Rahman (Bipul)"/>
    <x v="3"/>
    <s v="Paduar Bazar Bisso Road"/>
    <x v="0"/>
    <s v="3000 4T PLUS 10W30"/>
    <n v="20"/>
    <n v="540"/>
    <n v="20"/>
    <n v="9.2592592592593004E-3"/>
    <n v="0"/>
    <n v="535"/>
    <n v="20"/>
    <n v="20"/>
    <n v="10800"/>
    <n v="0"/>
    <n v="10700"/>
    <n v="1395.6521739130435"/>
    <n v="9304.347826086956"/>
    <s v="Cash"/>
    <n v="638"/>
    <s v="Regular"/>
    <d v="2025-02-19T00:00:00"/>
    <s v=""/>
    <x v="1"/>
    <s v="Mineral"/>
    <x v="0"/>
    <x v="0"/>
    <x v="0"/>
    <n v="0"/>
    <x v="0"/>
    <n v="7586.5999999999995"/>
    <n v="1717.7478260869566"/>
    <s v="O-45704-D-0014"/>
    <x v="0"/>
  </r>
  <r>
    <s v="F-171"/>
    <x v="26"/>
    <s v="D-0014"/>
    <x v="44"/>
    <s v="Kaoutoli, Brahmanbaria"/>
    <s v="01734-078613"/>
    <x v="3"/>
    <s v="Razur Rahman (Bipul)"/>
    <x v="3"/>
    <s v="Paduar Bazar Bisso Road"/>
    <x v="2"/>
    <s v="3000 4T PLUS 10W40"/>
    <n v="20"/>
    <n v="550"/>
    <n v="20"/>
    <n v="9.0909090909090384E-3"/>
    <n v="0"/>
    <n v="545"/>
    <n v="20"/>
    <n v="20"/>
    <n v="11000"/>
    <n v="0"/>
    <n v="10900"/>
    <n v="1421.7391304347825"/>
    <n v="9478.2608695652179"/>
    <s v="Cash"/>
    <n v="638"/>
    <s v="Regular"/>
    <d v="2025-02-19T00:00:00"/>
    <s v=""/>
    <x v="1"/>
    <s v="Mineral"/>
    <x v="0"/>
    <x v="2"/>
    <x v="0"/>
    <n v="0"/>
    <x v="0"/>
    <n v="7697"/>
    <n v="1781.2608695652179"/>
    <s v="O-45704-D-0014"/>
    <x v="0"/>
  </r>
  <r>
    <s v="F-171"/>
    <x v="26"/>
    <s v="D-0014"/>
    <x v="44"/>
    <s v="Kaoutoli, Brahmanbaria"/>
    <s v="01734-078613"/>
    <x v="3"/>
    <s v="Razur Rahman (Bipul)"/>
    <x v="3"/>
    <s v="Paduar Bazar Bisso Road"/>
    <x v="3"/>
    <s v="3000 4T PLUS 10W30"/>
    <n v="20"/>
    <n v="650"/>
    <n v="24"/>
    <n v="7.692307692307554E-3"/>
    <n v="0"/>
    <n v="645.00000000000011"/>
    <n v="20"/>
    <n v="24"/>
    <n v="13000"/>
    <n v="0"/>
    <n v="12900.000000000002"/>
    <n v="1682.6086956521742"/>
    <n v="11217.391304347828"/>
    <s v="Cash"/>
    <n v="638"/>
    <s v="Regular"/>
    <d v="2025-02-19T00:00:00"/>
    <s v=""/>
    <x v="1"/>
    <s v="Mineral"/>
    <x v="0"/>
    <x v="0"/>
    <x v="0"/>
    <n v="0"/>
    <x v="1"/>
    <n v="8778"/>
    <n v="2439.3913043478278"/>
    <s v="O-45704-D-0014"/>
    <x v="0"/>
  </r>
  <r>
    <s v="F-171"/>
    <x v="26"/>
    <s v="D-0014"/>
    <x v="44"/>
    <s v="Kaoutoli, Brahmanbaria"/>
    <s v="01734-078613"/>
    <x v="3"/>
    <s v="Razur Rahman (Bipul)"/>
    <x v="3"/>
    <s v="Paduar Bazar Bisso Road"/>
    <x v="12"/>
    <s v="3000 4T 20W50"/>
    <n v="20"/>
    <n v="495"/>
    <n v="20"/>
    <n v="1.0101010101010055E-2"/>
    <n v="0"/>
    <n v="490"/>
    <n v="20"/>
    <n v="20"/>
    <n v="9900"/>
    <n v="0"/>
    <n v="9800"/>
    <n v="1278.2608695652175"/>
    <n v="8521.7391304347821"/>
    <s v="Cash"/>
    <n v="638"/>
    <s v="Regular"/>
    <d v="2025-02-19T00:00:00"/>
    <s v=""/>
    <x v="1"/>
    <s v="Mineral"/>
    <x v="0"/>
    <x v="3"/>
    <x v="0"/>
    <n v="0"/>
    <x v="0"/>
    <n v="7298.4000000000005"/>
    <n v="1223.3391304347815"/>
    <s v="O-45704-D-0014"/>
    <x v="0"/>
  </r>
  <r>
    <s v="F-172"/>
    <x v="21"/>
    <s v="D-0001"/>
    <x v="45"/>
    <s v="akhra bazar,Kishoreganj "/>
    <n v="1918732041"/>
    <x v="4"/>
    <s v="Abdul Matin"/>
    <x v="10"/>
    <s v="Pangsha"/>
    <x v="0"/>
    <s v="3000 4T PLUS 10W30"/>
    <n v="40"/>
    <n v="540"/>
    <n v="40"/>
    <n v="9.2592592592593004E-3"/>
    <n v="0"/>
    <n v="535"/>
    <n v="40"/>
    <n v="40"/>
    <n v="21600"/>
    <n v="0"/>
    <n v="21400"/>
    <n v="2791.304347826087"/>
    <n v="18608.695652173912"/>
    <s v="Cash"/>
    <n v="639"/>
    <s v="Regular"/>
    <d v="2025-02-19T00:00:00"/>
    <s v="delivery system :saudagar courier "/>
    <x v="0"/>
    <s v="Mineral"/>
    <x v="0"/>
    <x v="0"/>
    <x v="0"/>
    <n v="0"/>
    <x v="0"/>
    <n v="15173.199999999999"/>
    <n v="3435.4956521739132"/>
    <s v="O-45698-D-0001"/>
    <x v="0"/>
  </r>
  <r>
    <s v="F-172"/>
    <x v="21"/>
    <s v="D-0001"/>
    <x v="45"/>
    <s v="akhra bazar,Kishoreganj "/>
    <n v="1918732041"/>
    <x v="4"/>
    <s v="Abdul Matin"/>
    <x v="10"/>
    <s v="Pangsha"/>
    <x v="3"/>
    <s v="3000 4T PLUS 10W30"/>
    <n v="40"/>
    <n v="650"/>
    <n v="48"/>
    <n v="7.692307692307554E-3"/>
    <n v="0"/>
    <n v="645.00000000000011"/>
    <n v="40"/>
    <n v="48"/>
    <n v="26000"/>
    <n v="0"/>
    <n v="25800.000000000004"/>
    <n v="3365.2173913043484"/>
    <n v="22434.782608695656"/>
    <s v="Cash"/>
    <n v="639"/>
    <s v="Regular"/>
    <d v="2025-02-19T00:00:00"/>
    <s v="delivery system :saudagar courier "/>
    <x v="0"/>
    <s v="Mineral"/>
    <x v="0"/>
    <x v="0"/>
    <x v="0"/>
    <n v="0"/>
    <x v="1"/>
    <n v="17556"/>
    <n v="4878.7826086956557"/>
    <s v="O-45698-D-0001"/>
    <x v="0"/>
  </r>
  <r>
    <s v="F-172"/>
    <x v="21"/>
    <s v="D-0001"/>
    <x v="45"/>
    <s v="akhra bazar,Kishoreganj "/>
    <n v="1918732041"/>
    <x v="4"/>
    <s v="Abdul Matin"/>
    <x v="10"/>
    <s v="Pangsha"/>
    <x v="4"/>
    <s v="3000 4T PLUS 20W40"/>
    <n v="20"/>
    <n v="645"/>
    <n v="24"/>
    <n v="7.7519379844961378E-3"/>
    <n v="0"/>
    <n v="640"/>
    <n v="20"/>
    <n v="24"/>
    <n v="12900"/>
    <n v="0"/>
    <n v="12800"/>
    <n v="1669.5652173913043"/>
    <n v="11130.434782608696"/>
    <s v="Cash"/>
    <n v="639"/>
    <s v="Regular"/>
    <d v="2025-02-19T00:00:00"/>
    <s v="delivery system :saudagar courier "/>
    <x v="0"/>
    <s v="Mineral"/>
    <x v="0"/>
    <x v="1"/>
    <x v="0"/>
    <n v="0"/>
    <x v="1"/>
    <n v="9397.9559070121941"/>
    <n v="1732.4788755965019"/>
    <s v="O-45698-D-0001"/>
    <x v="0"/>
  </r>
  <r>
    <s v="F-172"/>
    <x v="21"/>
    <s v="D-0001"/>
    <x v="45"/>
    <s v="akhra bazar,Kishoreganj "/>
    <n v="1918732041"/>
    <x v="4"/>
    <s v="Abdul Matin"/>
    <x v="10"/>
    <s v="Pangsha"/>
    <x v="7"/>
    <s v="7100 4T 10W30 ESTER CORE®"/>
    <n v="36"/>
    <n v="1080"/>
    <n v="36"/>
    <n v="4.6296296296296502E-3"/>
    <n v="0"/>
    <n v="1075"/>
    <n v="36"/>
    <n v="36"/>
    <n v="38880"/>
    <n v="0"/>
    <n v="38700"/>
    <n v="5047.826086956522"/>
    <n v="33652.17391304348"/>
    <s v="Cash"/>
    <n v="639"/>
    <s v="Regular"/>
    <d v="2025-02-19T00:00:00"/>
    <s v="delivery system :saudagar courier "/>
    <x v="0"/>
    <s v="Synthetic"/>
    <x v="0"/>
    <x v="0"/>
    <x v="3"/>
    <n v="0"/>
    <x v="2"/>
    <n v="24834.959999999999"/>
    <n v="8817.2139130434807"/>
    <s v="O-45698-D-0001"/>
    <x v="0"/>
  </r>
  <r>
    <s v="F-172"/>
    <x v="21"/>
    <s v="D-0001"/>
    <x v="45"/>
    <s v="akhra bazar,Kishoreganj "/>
    <n v="1918732041"/>
    <x v="4"/>
    <s v="Abdul Matin"/>
    <x v="10"/>
    <s v="Pangsha"/>
    <x v="12"/>
    <s v="3000 4T 20W50"/>
    <n v="40"/>
    <n v="495"/>
    <n v="40"/>
    <n v="1.0101010101010055E-2"/>
    <n v="0"/>
    <n v="490"/>
    <n v="40"/>
    <n v="40"/>
    <n v="19800"/>
    <n v="0"/>
    <n v="19600"/>
    <n v="2556.521739130435"/>
    <n v="17043.478260869564"/>
    <s v="Cash"/>
    <n v="639"/>
    <s v="Regular"/>
    <d v="2025-02-19T00:00:00"/>
    <s v="delivery system :saudagar courier "/>
    <x v="0"/>
    <s v="Mineral"/>
    <x v="0"/>
    <x v="3"/>
    <x v="0"/>
    <n v="0"/>
    <x v="0"/>
    <n v="14596.800000000001"/>
    <n v="2446.678260869563"/>
    <s v="O-45698-D-0001"/>
    <x v="0"/>
  </r>
  <r>
    <s v="F-173"/>
    <x v="27"/>
    <s v="D-0023"/>
    <x v="46"/>
    <s v="Joldhaka Bazar,Nilphamari "/>
    <n v="1722254955"/>
    <x v="6"/>
    <s v="Raihan Siddiqui"/>
    <x v="9"/>
    <s v="Rangpur"/>
    <x v="0"/>
    <s v="3000 4T PLUS 10W30"/>
    <n v="80"/>
    <n v="540"/>
    <n v="80"/>
    <n v="0"/>
    <n v="0"/>
    <n v="540"/>
    <n v="80"/>
    <n v="80"/>
    <n v="43200"/>
    <n v="0"/>
    <n v="43200"/>
    <n v="5634.782608695652"/>
    <n v="37565.217391304344"/>
    <s v="Cash"/>
    <n v="640"/>
    <s v="Regular"/>
    <d v="2025-02-19T00:00:00"/>
    <s v=""/>
    <x v="3"/>
    <s v="Mineral"/>
    <x v="0"/>
    <x v="0"/>
    <x v="0"/>
    <n v="0"/>
    <x v="0"/>
    <n v="30346.399999999998"/>
    <n v="7218.8173913043465"/>
    <s v="O-45706-D-0023"/>
    <x v="0"/>
  </r>
  <r>
    <s v="F-173"/>
    <x v="27"/>
    <s v="D-0023"/>
    <x v="46"/>
    <s v="Joldhaka Bazar,Nilphamari "/>
    <n v="1722254955"/>
    <x v="6"/>
    <s v="Raihan Siddiqui"/>
    <x v="9"/>
    <s v="Rangpur"/>
    <x v="2"/>
    <s v="3000 4T PLUS 10W40"/>
    <n v="80"/>
    <n v="550"/>
    <n v="80"/>
    <n v="0"/>
    <n v="0"/>
    <n v="550"/>
    <n v="80"/>
    <n v="80"/>
    <n v="44000"/>
    <n v="0"/>
    <n v="44000"/>
    <n v="5739.130434782609"/>
    <n v="38260.869565217392"/>
    <s v="Cash"/>
    <n v="640"/>
    <s v="Regular"/>
    <d v="2025-02-19T00:00:00"/>
    <s v=""/>
    <x v="3"/>
    <s v="Mineral"/>
    <x v="0"/>
    <x v="2"/>
    <x v="0"/>
    <n v="0"/>
    <x v="0"/>
    <n v="30788"/>
    <n v="7472.8695652173919"/>
    <s v="O-45706-D-0023"/>
    <x v="0"/>
  </r>
  <r>
    <s v="F-173"/>
    <x v="27"/>
    <s v="D-0023"/>
    <x v="46"/>
    <s v="Joldhaka Bazar,Nilphamari "/>
    <n v="1722254955"/>
    <x v="6"/>
    <s v="Raihan Siddiqui"/>
    <x v="9"/>
    <s v="Rangpur"/>
    <x v="7"/>
    <s v="7100 4T 10W30 ESTER CORE®"/>
    <n v="12"/>
    <n v="1080"/>
    <n v="12"/>
    <n v="0"/>
    <n v="0"/>
    <n v="1080"/>
    <n v="12"/>
    <n v="12"/>
    <n v="12960"/>
    <n v="0"/>
    <n v="12960"/>
    <n v="1690.4347826086957"/>
    <n v="11269.565217391304"/>
    <s v="Cash"/>
    <n v="640"/>
    <s v="Regular"/>
    <d v="2025-02-19T00:00:00"/>
    <s v=""/>
    <x v="3"/>
    <s v="Synthetic"/>
    <x v="0"/>
    <x v="0"/>
    <x v="3"/>
    <n v="0"/>
    <x v="2"/>
    <n v="8278.32"/>
    <n v="2991.2452173913043"/>
    <s v="O-45706-D-0023"/>
    <x v="0"/>
  </r>
  <r>
    <s v="F-174"/>
    <x v="27"/>
    <s v="D-0014"/>
    <x v="39"/>
    <s v="Dharmopur, Cumilla"/>
    <s v="01728-083399"/>
    <x v="3"/>
    <s v="Razur Rahman (Bipul)"/>
    <x v="3"/>
    <s v="Paduar Bazar Bisso Road"/>
    <x v="2"/>
    <s v="3000 4T PLUS 10W40"/>
    <n v="100"/>
    <n v="550"/>
    <n v="100"/>
    <n v="0"/>
    <n v="0"/>
    <n v="550"/>
    <n v="100"/>
    <n v="100"/>
    <n v="55000"/>
    <n v="0"/>
    <n v="55000"/>
    <n v="7173.913043478261"/>
    <n v="47826.086956521736"/>
    <s v="Cash"/>
    <n v="641"/>
    <s v="Regular"/>
    <d v="2025-02-19T00:00:00"/>
    <s v=""/>
    <x v="1"/>
    <s v="Mineral"/>
    <x v="0"/>
    <x v="2"/>
    <x v="0"/>
    <n v="0"/>
    <x v="0"/>
    <n v="38485"/>
    <n v="9341.0869565217363"/>
    <s v="O-45706-D-0014"/>
    <x v="0"/>
  </r>
  <r>
    <s v="F-169"/>
    <x v="26"/>
    <s v="D-0023"/>
    <x v="47"/>
    <s v="Zam Zam tower,Housing Mor,Madical Road,Dinajpur"/>
    <n v="1682261616"/>
    <x v="6"/>
    <s v="Raihan Siddiqui"/>
    <x v="9"/>
    <s v="Rangpur"/>
    <x v="0"/>
    <s v="3000 4T PLUS 10W30"/>
    <n v="20"/>
    <n v="540"/>
    <n v="20"/>
    <n v="9.2592592592593004E-3"/>
    <n v="0"/>
    <n v="535"/>
    <n v="20"/>
    <n v="20"/>
    <n v="10800"/>
    <n v="0"/>
    <n v="10700"/>
    <n v="1395.6521739130435"/>
    <n v="9304.347826086956"/>
    <s v="Cash"/>
    <n v="636"/>
    <s v="Regular"/>
    <d v="2025-02-19T00:00:00"/>
    <s v=""/>
    <x v="3"/>
    <s v="Mineral"/>
    <x v="0"/>
    <x v="0"/>
    <x v="0"/>
    <n v="0"/>
    <x v="0"/>
    <n v="7586.5999999999995"/>
    <n v="1717.7478260869566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1"/>
    <s v="3000 4T PLUS 20W40"/>
    <n v="20"/>
    <n v="535"/>
    <n v="20"/>
    <n v="9.3457943925233655E-3"/>
    <n v="0"/>
    <n v="530"/>
    <n v="20"/>
    <n v="20"/>
    <n v="10700"/>
    <n v="0"/>
    <n v="10600"/>
    <n v="1382.608695652174"/>
    <n v="9217.391304347826"/>
    <s v="Cash"/>
    <n v="636"/>
    <s v="Regular"/>
    <d v="2025-02-19T00:00:00"/>
    <s v=""/>
    <x v="3"/>
    <s v="Mineral"/>
    <x v="0"/>
    <x v="1"/>
    <x v="0"/>
    <n v="0"/>
    <x v="0"/>
    <n v="8255.2000000000007"/>
    <n v="962.19130434782528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2"/>
    <s v="3000 4T PLUS 10W40"/>
    <n v="20"/>
    <n v="550"/>
    <n v="20"/>
    <n v="9.0909090909090384E-3"/>
    <n v="0"/>
    <n v="545"/>
    <n v="20"/>
    <n v="20"/>
    <n v="11000"/>
    <n v="0"/>
    <n v="10900"/>
    <n v="1421.7391304347825"/>
    <n v="9478.2608695652179"/>
    <s v="Cash"/>
    <n v="636"/>
    <s v="Regular"/>
    <d v="2025-02-19T00:00:00"/>
    <s v=""/>
    <x v="3"/>
    <s v="Mineral"/>
    <x v="0"/>
    <x v="2"/>
    <x v="0"/>
    <n v="0"/>
    <x v="0"/>
    <n v="7697"/>
    <n v="1781.2608695652179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5"/>
    <s v="31004T GOLD 20W50"/>
    <n v="40"/>
    <n v="600"/>
    <n v="40"/>
    <n v="8.3333333333333037E-3"/>
    <n v="0"/>
    <n v="595"/>
    <n v="40"/>
    <n v="40"/>
    <n v="24000"/>
    <n v="0"/>
    <n v="23800"/>
    <n v="3104.3478260869565"/>
    <n v="20695.652173913044"/>
    <s v="Cash"/>
    <n v="636"/>
    <s v="Regular"/>
    <d v="2025-02-19T00:00:00"/>
    <s v=""/>
    <x v="3"/>
    <s v="Technosynthese"/>
    <x v="0"/>
    <x v="3"/>
    <x v="1"/>
    <n v="0"/>
    <x v="0"/>
    <n v="18775.599999999999"/>
    <n v="1920.0521739130454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21"/>
    <s v="31004T GOLD 10W30"/>
    <n v="20"/>
    <n v="600"/>
    <n v="20"/>
    <n v="8.3333333333333037E-3"/>
    <n v="0"/>
    <n v="595"/>
    <n v="20"/>
    <n v="20"/>
    <n v="12000"/>
    <n v="0"/>
    <n v="11900"/>
    <n v="1552.1739130434783"/>
    <n v="10347.826086956522"/>
    <s v="Cash"/>
    <n v="636"/>
    <s v="Regular"/>
    <d v="2025-02-19T00:00:00"/>
    <s v=""/>
    <x v="3"/>
    <s v="Technosynthese"/>
    <x v="0"/>
    <x v="0"/>
    <x v="1"/>
    <n v="0"/>
    <x v="0"/>
    <n v="8502"/>
    <n v="1845.826086956522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19"/>
    <s v="51004T 10W30 ESTER"/>
    <n v="12"/>
    <n v="860"/>
    <n v="12"/>
    <n v="5.8139534883721034E-3"/>
    <n v="0"/>
    <n v="855"/>
    <n v="12"/>
    <n v="12"/>
    <n v="10320"/>
    <n v="0"/>
    <n v="10260"/>
    <n v="1338.2608695652175"/>
    <n v="8921.7391304347821"/>
    <s v="Cash"/>
    <n v="636"/>
    <s v="Regular"/>
    <d v="2025-02-19T00:00:00"/>
    <s v=""/>
    <x v="3"/>
    <s v="Technosynthese"/>
    <x v="0"/>
    <x v="0"/>
    <x v="2"/>
    <n v="0"/>
    <x v="2"/>
    <n v="7231.68"/>
    <n v="1690.0591304347818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6"/>
    <s v="51004T 10W40 ESTER"/>
    <n v="24"/>
    <n v="860"/>
    <n v="24"/>
    <n v="5.8139534883721034E-3"/>
    <n v="0"/>
    <n v="855"/>
    <n v="24"/>
    <n v="24"/>
    <n v="20640"/>
    <n v="0"/>
    <n v="20520"/>
    <n v="2676.521739130435"/>
    <n v="17843.478260869564"/>
    <s v="Cash"/>
    <n v="636"/>
    <s v="Regular"/>
    <d v="2025-02-19T00:00:00"/>
    <s v=""/>
    <x v="3"/>
    <s v="Technosynthese"/>
    <x v="0"/>
    <x v="2"/>
    <x v="2"/>
    <n v="0"/>
    <x v="2"/>
    <n v="14599.920000000002"/>
    <n v="3243.5582608695622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12"/>
    <s v="3000 4T 20W50"/>
    <n v="80"/>
    <n v="495"/>
    <n v="80"/>
    <n v="2.4242424242424288E-2"/>
    <n v="0"/>
    <n v="483"/>
    <n v="80"/>
    <n v="80"/>
    <n v="39600"/>
    <n v="0"/>
    <n v="38640"/>
    <n v="5040"/>
    <n v="33600"/>
    <s v="Cash"/>
    <n v="636"/>
    <s v="Regular"/>
    <d v="2025-02-19T00:00:00"/>
    <s v=""/>
    <x v="3"/>
    <s v="Mineral"/>
    <x v="0"/>
    <x v="3"/>
    <x v="0"/>
    <n v="0"/>
    <x v="0"/>
    <n v="29193.600000000002"/>
    <n v="4406.3999999999978"/>
    <s v="O-45704-D-0023"/>
    <x v="0"/>
  </r>
  <r>
    <s v="F-169"/>
    <x v="26"/>
    <s v="D-0023"/>
    <x v="47"/>
    <s v="Zam Zam tower,Housing Mor,Madical Road,Dinajpur"/>
    <n v="1682261616"/>
    <x v="6"/>
    <s v="Raihan Siddiqui"/>
    <x v="9"/>
    <s v="Rangpur"/>
    <x v="15"/>
    <s v="3000 4T 20W50"/>
    <n v="20"/>
    <n v="595"/>
    <n v="24"/>
    <n v="2.2521008403361353E-2"/>
    <n v="0"/>
    <n v="581.6"/>
    <n v="20"/>
    <n v="24"/>
    <n v="11900"/>
    <n v="0"/>
    <n v="11632"/>
    <n v="1517.2173913043478"/>
    <n v="10114.782608695652"/>
    <s v="Cash"/>
    <n v="636"/>
    <s v="Regular"/>
    <d v="2025-02-19T00:00:00"/>
    <s v=""/>
    <x v="3"/>
    <s v="Mineral"/>
    <x v="0"/>
    <x v="3"/>
    <x v="0"/>
    <n v="0"/>
    <x v="1"/>
    <n v="8692.2000000000007"/>
    <n v="1422.5826086956513"/>
    <s v="O-45704-D-0023"/>
    <x v="0"/>
  </r>
  <r>
    <s v="F-177"/>
    <x v="27"/>
    <s v="D-0006"/>
    <x v="18"/>
    <s v=""/>
    <s v=""/>
    <x v="0"/>
    <s v="Abdul Matin"/>
    <x v="7"/>
    <s v="Savar"/>
    <x v="0"/>
    <s v="3000 4T PLUS 10W30"/>
    <n v="400"/>
    <n v="540"/>
    <n v="400"/>
    <n v="1.2962962962962954E-2"/>
    <n v="0"/>
    <n v="533"/>
    <n v="400"/>
    <n v="400"/>
    <n v="216000"/>
    <n v="2800"/>
    <n v="213200"/>
    <n v="27808.695652173912"/>
    <n v="185391.30434782608"/>
    <s v="Cash"/>
    <n v="644"/>
    <s v="Regular"/>
    <d v="2025-02-23T00:00:00"/>
    <s v=""/>
    <x v="0"/>
    <s v="Mineral"/>
    <x v="0"/>
    <x v="0"/>
    <x v="0"/>
    <n v="0"/>
    <x v="0"/>
    <n v="151732"/>
    <n v="33659.304347826081"/>
    <s v="O-45706-D-0006"/>
    <x v="0"/>
  </r>
  <r>
    <s v="F-177"/>
    <x v="27"/>
    <s v="D-0006"/>
    <x v="18"/>
    <s v=""/>
    <s v=""/>
    <x v="0"/>
    <s v="Abdul Matin"/>
    <x v="7"/>
    <s v="Savar"/>
    <x v="3"/>
    <s v="3000 4T PLUS 10W30"/>
    <n v="400"/>
    <n v="650"/>
    <n v="480"/>
    <n v="1.2923076923076926E-2"/>
    <n v="0"/>
    <n v="641.6"/>
    <n v="400"/>
    <n v="480"/>
    <n v="260000"/>
    <n v="3360"/>
    <n v="256640"/>
    <n v="33474.782608695656"/>
    <n v="223165.21739130435"/>
    <s v="Cash"/>
    <n v="644"/>
    <s v="Regular"/>
    <d v="2025-02-23T00:00:00"/>
    <s v=""/>
    <x v="0"/>
    <s v="Mineral"/>
    <x v="0"/>
    <x v="0"/>
    <x v="0"/>
    <n v="0"/>
    <x v="1"/>
    <n v="175560"/>
    <n v="47605.217391304352"/>
    <s v="O-45706-D-0006"/>
    <x v="0"/>
  </r>
  <r>
    <s v="F-177"/>
    <x v="27"/>
    <s v="D-0006"/>
    <x v="18"/>
    <s v=""/>
    <s v=""/>
    <x v="0"/>
    <s v="Abdul Matin"/>
    <x v="7"/>
    <s v="Savar"/>
    <x v="4"/>
    <s v="3000 4T PLUS 20W40"/>
    <n v="600"/>
    <n v="645"/>
    <n v="720"/>
    <n v="1.3023255813953472E-2"/>
    <n v="0"/>
    <n v="636.6"/>
    <n v="600"/>
    <n v="720"/>
    <n v="387000"/>
    <n v="5040"/>
    <n v="381960"/>
    <n v="49820.869565217392"/>
    <n v="332139.13043478259"/>
    <s v="Cash"/>
    <n v="644"/>
    <s v="Regular"/>
    <d v="2025-02-23T00:00:00"/>
    <s v=""/>
    <x v="0"/>
    <s v="Mineral"/>
    <x v="0"/>
    <x v="1"/>
    <x v="0"/>
    <n v="0"/>
    <x v="1"/>
    <n v="281938.67721036583"/>
    <n v="50200.453224416764"/>
    <s v="O-45706-D-0006"/>
    <x v="0"/>
  </r>
  <r>
    <s v="F-178"/>
    <x v="27"/>
    <s v="D-0023"/>
    <x v="48"/>
    <s v="Registriri para, Tangail Sadar"/>
    <n v="1521308494"/>
    <x v="6"/>
    <s v="Raihan Siddiqui"/>
    <x v="9"/>
    <s v="Rangpur"/>
    <x v="0"/>
    <s v="3000 4T PLUS 10W30"/>
    <n v="20"/>
    <n v="540"/>
    <n v="20"/>
    <n v="9.2592592592593004E-3"/>
    <n v="0"/>
    <n v="535"/>
    <n v="20"/>
    <n v="20"/>
    <n v="10800"/>
    <n v="0"/>
    <n v="10700"/>
    <n v="1395.6521739130435"/>
    <n v="9304.347826086956"/>
    <s v="Cash"/>
    <n v="645"/>
    <s v="Regular"/>
    <d v="2025-02-23T00:00:00"/>
    <s v=""/>
    <x v="3"/>
    <s v="Mineral"/>
    <x v="0"/>
    <x v="0"/>
    <x v="0"/>
    <n v="0"/>
    <x v="0"/>
    <n v="7586.5999999999995"/>
    <n v="1717.7478260869566"/>
    <s v="O-45706-D-0023"/>
    <x v="0"/>
  </r>
  <r>
    <s v="F-178"/>
    <x v="27"/>
    <s v="D-0023"/>
    <x v="48"/>
    <s v="Registriri para, Tangail Sadar"/>
    <n v="1521308494"/>
    <x v="6"/>
    <s v="Raihan Siddiqui"/>
    <x v="9"/>
    <s v="Rangpur"/>
    <x v="5"/>
    <s v="31004T GOLD 20W50"/>
    <n v="20"/>
    <n v="600"/>
    <n v="20"/>
    <n v="8.3333333333333037E-3"/>
    <n v="0"/>
    <n v="595"/>
    <n v="20"/>
    <n v="20"/>
    <n v="12000"/>
    <n v="0"/>
    <n v="11900"/>
    <n v="1552.1739130434783"/>
    <n v="10347.826086956522"/>
    <s v="Cash"/>
    <n v="645"/>
    <s v="Regular"/>
    <d v="2025-02-23T00:00:00"/>
    <s v=""/>
    <x v="3"/>
    <s v="Technosynthese"/>
    <x v="0"/>
    <x v="3"/>
    <x v="1"/>
    <n v="0"/>
    <x v="0"/>
    <n v="9387.7999999999993"/>
    <n v="960.0260869565227"/>
    <s v="O-45706-D-0023"/>
    <x v="0"/>
  </r>
  <r>
    <s v="F-178"/>
    <x v="27"/>
    <s v="D-0023"/>
    <x v="48"/>
    <s v="Registriri para, Tangail Sadar"/>
    <n v="1521308494"/>
    <x v="6"/>
    <s v="Raihan Siddiqui"/>
    <x v="9"/>
    <s v="Rangpur"/>
    <x v="21"/>
    <s v="31004T GOLD 10W30"/>
    <n v="20"/>
    <n v="600"/>
    <n v="20"/>
    <n v="8.3333333333333037E-3"/>
    <n v="0"/>
    <n v="595"/>
    <n v="20"/>
    <n v="20"/>
    <n v="12000"/>
    <n v="0"/>
    <n v="11900"/>
    <n v="1552.1739130434783"/>
    <n v="10347.826086956522"/>
    <s v="Cash"/>
    <n v="645"/>
    <s v="Regular"/>
    <d v="2025-02-23T00:00:00"/>
    <s v=""/>
    <x v="3"/>
    <s v="Technosynthese"/>
    <x v="0"/>
    <x v="0"/>
    <x v="1"/>
    <n v="0"/>
    <x v="0"/>
    <n v="8502"/>
    <n v="1845.826086956522"/>
    <s v="O-45706-D-0023"/>
    <x v="0"/>
  </r>
  <r>
    <s v="F-178"/>
    <x v="27"/>
    <s v="D-0023"/>
    <x v="48"/>
    <s v="Registriri para, Tangail Sadar"/>
    <n v="1521308494"/>
    <x v="6"/>
    <s v="Raihan Siddiqui"/>
    <x v="9"/>
    <s v="Rangpur"/>
    <x v="6"/>
    <s v="51004T 10W40 ESTER"/>
    <n v="12"/>
    <n v="860"/>
    <n v="12"/>
    <n v="5.8139534883721034E-3"/>
    <n v="0"/>
    <n v="855"/>
    <n v="12"/>
    <n v="12"/>
    <n v="10320"/>
    <n v="0"/>
    <n v="10260"/>
    <n v="1338.2608695652175"/>
    <n v="8921.7391304347821"/>
    <s v="Cash"/>
    <n v="645"/>
    <s v="Regular"/>
    <d v="2025-02-23T00:00:00"/>
    <s v=""/>
    <x v="3"/>
    <s v="Technosynthese"/>
    <x v="0"/>
    <x v="2"/>
    <x v="2"/>
    <n v="0"/>
    <x v="2"/>
    <n v="7299.9600000000009"/>
    <n v="1621.7791304347811"/>
    <s v="O-45706-D-0023"/>
    <x v="0"/>
  </r>
  <r>
    <s v="F-178"/>
    <x v="27"/>
    <s v="D-0023"/>
    <x v="48"/>
    <s v="Registriri para, Tangail Sadar"/>
    <n v="1521308494"/>
    <x v="6"/>
    <s v="Raihan Siddiqui"/>
    <x v="9"/>
    <s v="Rangpur"/>
    <x v="7"/>
    <s v="7100 4T 10W30 ESTER CORE®"/>
    <n v="12"/>
    <n v="1080"/>
    <n v="12"/>
    <n v="4.6296296296296502E-3"/>
    <n v="0"/>
    <n v="1075"/>
    <n v="12"/>
    <n v="12"/>
    <n v="12960"/>
    <n v="0"/>
    <n v="12900"/>
    <n v="1682.608695652174"/>
    <n v="11217.391304347826"/>
    <s v="Cash"/>
    <n v="645"/>
    <s v="Regular"/>
    <d v="2025-02-23T00:00:00"/>
    <s v=""/>
    <x v="3"/>
    <s v="Synthetic"/>
    <x v="0"/>
    <x v="0"/>
    <x v="3"/>
    <n v="0"/>
    <x v="2"/>
    <n v="8278.32"/>
    <n v="2939.0713043478263"/>
    <s v="O-45706-D-0023"/>
    <x v="0"/>
  </r>
  <r>
    <s v="F-178"/>
    <x v="27"/>
    <s v="D-0023"/>
    <x v="48"/>
    <s v="Registriri para, Tangail Sadar"/>
    <n v="1521308494"/>
    <x v="6"/>
    <s v="Raihan Siddiqui"/>
    <x v="9"/>
    <s v="Rangpur"/>
    <x v="9"/>
    <s v="7100 4T 20W50 ESTER CORE®"/>
    <n v="12"/>
    <n v="1080"/>
    <n v="12"/>
    <n v="4.6296296296296502E-3"/>
    <n v="0"/>
    <n v="1075"/>
    <n v="12"/>
    <n v="12"/>
    <n v="12960"/>
    <n v="0"/>
    <n v="12900"/>
    <n v="1682.608695652174"/>
    <n v="11217.391304347826"/>
    <s v="Cash"/>
    <n v="645"/>
    <s v="Regular"/>
    <d v="2025-02-23T00:00:00"/>
    <s v=""/>
    <x v="3"/>
    <s v="Synthetic"/>
    <x v="0"/>
    <x v="3"/>
    <x v="3"/>
    <n v="0"/>
    <x v="2"/>
    <n v="9164.380799999999"/>
    <n v="2053.010504347827"/>
    <s v="O-45706-D-0023"/>
    <x v="0"/>
  </r>
  <r>
    <s v="F-178"/>
    <x v="27"/>
    <s v="D-0023"/>
    <x v="48"/>
    <s v="Registriri para, Tangail Sadar"/>
    <n v="1521308494"/>
    <x v="6"/>
    <s v="Raihan Siddiqui"/>
    <x v="9"/>
    <s v="Rangpur"/>
    <x v="12"/>
    <s v="3000 4T 20W50"/>
    <n v="100"/>
    <n v="495"/>
    <n v="100"/>
    <n v="2.4242424242424288E-2"/>
    <n v="0"/>
    <n v="483"/>
    <n v="100"/>
    <n v="100"/>
    <n v="49500"/>
    <n v="0"/>
    <n v="48300"/>
    <n v="6300"/>
    <n v="42000"/>
    <s v="Cash"/>
    <n v="645"/>
    <s v="Regular"/>
    <d v="2025-02-23T00:00:00"/>
    <s v=""/>
    <x v="3"/>
    <s v="Mineral"/>
    <x v="0"/>
    <x v="3"/>
    <x v="0"/>
    <n v="0"/>
    <x v="0"/>
    <n v="36492"/>
    <n v="5508"/>
    <s v="O-45706-D-0023"/>
    <x v="0"/>
  </r>
  <r>
    <s v="F-179"/>
    <x v="28"/>
    <s v="D-0023"/>
    <x v="49"/>
    <s v="Banglipur, Saidpur"/>
    <s v="01998-480255"/>
    <x v="6"/>
    <s v="Raihan Siddiqui"/>
    <x v="9"/>
    <s v="Rangpur"/>
    <x v="2"/>
    <s v="3000 4T PLUS 10W40"/>
    <n v="80"/>
    <n v="550"/>
    <n v="80"/>
    <n v="0"/>
    <n v="0"/>
    <n v="550"/>
    <n v="80"/>
    <n v="80"/>
    <n v="44000"/>
    <n v="0"/>
    <n v="44000"/>
    <n v="5739.130434782609"/>
    <n v="38260.869565217392"/>
    <s v="Cash"/>
    <n v="646"/>
    <s v="Regular"/>
    <d v="2025-02-23T00:00:00"/>
    <s v=""/>
    <x v="3"/>
    <s v="Mineral"/>
    <x v="0"/>
    <x v="2"/>
    <x v="0"/>
    <n v="0"/>
    <x v="0"/>
    <n v="30788"/>
    <n v="7472.8695652173919"/>
    <s v="O-45708-D-0023"/>
    <x v="0"/>
  </r>
  <r>
    <s v="F-179"/>
    <x v="28"/>
    <s v="D-0023"/>
    <x v="49"/>
    <s v="Banglipur, Saidpur"/>
    <s v="01998-480255"/>
    <x v="6"/>
    <s v="Raihan Siddiqui"/>
    <x v="9"/>
    <s v="Rangpur"/>
    <x v="3"/>
    <s v="3000 4T PLUS 10W30"/>
    <n v="20"/>
    <n v="650"/>
    <n v="24"/>
    <n v="-2.2204460492503131E-16"/>
    <n v="0"/>
    <n v="650.00000000000011"/>
    <n v="20"/>
    <n v="24"/>
    <n v="13000"/>
    <n v="0"/>
    <n v="13000.000000000002"/>
    <n v="1695.6521739130437"/>
    <n v="11304.347826086958"/>
    <s v="Cash"/>
    <n v="646"/>
    <s v="Regular"/>
    <d v="2025-02-23T00:00:00"/>
    <s v=""/>
    <x v="3"/>
    <s v="Mineral"/>
    <x v="0"/>
    <x v="0"/>
    <x v="0"/>
    <n v="0"/>
    <x v="1"/>
    <n v="8778"/>
    <n v="2526.3478260869579"/>
    <s v="O-45708-D-0023"/>
    <x v="0"/>
  </r>
  <r>
    <s v="F-179"/>
    <x v="28"/>
    <s v="D-0023"/>
    <x v="49"/>
    <s v="Banglipur, Saidpur"/>
    <s v="01998-480255"/>
    <x v="6"/>
    <s v="Raihan Siddiqui"/>
    <x v="9"/>
    <s v="Rangpur"/>
    <x v="18"/>
    <s v="Inugel Expert Coolant"/>
    <n v="20"/>
    <n v="425"/>
    <n v="20"/>
    <n v="0"/>
    <n v="0"/>
    <n v="425"/>
    <n v="20"/>
    <n v="20"/>
    <n v="8500"/>
    <n v="0"/>
    <n v="8500"/>
    <n v="1108.695652173913"/>
    <n v="7391.304347826087"/>
    <s v="Cash"/>
    <n v="646"/>
    <s v="Regular"/>
    <d v="2025-02-23T00:00:00"/>
    <s v=""/>
    <x v="3"/>
    <s v="Care Products"/>
    <x v="1"/>
    <x v="4"/>
    <x v="9"/>
    <n v="0"/>
    <x v="0"/>
    <n v="4612.7999999999993"/>
    <n v="2778.5043478260877"/>
    <s v="O-45708-D-0023"/>
    <x v="0"/>
  </r>
  <r>
    <s v="F-179"/>
    <x v="28"/>
    <s v="D-0023"/>
    <x v="49"/>
    <s v="Banglipur, Saidpur"/>
    <s v="01998-480255"/>
    <x v="6"/>
    <s v="Raihan Siddiqui"/>
    <x v="9"/>
    <s v="Rangpur"/>
    <x v="15"/>
    <s v="3000 4T 20W50"/>
    <n v="20"/>
    <n v="595"/>
    <n v="24"/>
    <n v="0"/>
    <n v="0"/>
    <n v="595"/>
    <n v="20"/>
    <n v="24"/>
    <n v="11900"/>
    <n v="0"/>
    <n v="11900"/>
    <n v="1552.1739130434783"/>
    <n v="10347.826086956522"/>
    <s v="Cash"/>
    <n v="646"/>
    <s v="Regular"/>
    <d v="2025-02-23T00:00:00"/>
    <s v=""/>
    <x v="3"/>
    <s v="Mineral"/>
    <x v="0"/>
    <x v="3"/>
    <x v="0"/>
    <n v="0"/>
    <x v="1"/>
    <n v="8692.2000000000007"/>
    <n v="1655.6260869565212"/>
    <s v="O-45708-D-0023"/>
    <x v="0"/>
  </r>
  <r>
    <s v="F-180"/>
    <x v="28"/>
    <s v="D-0023"/>
    <x v="50"/>
    <s v="Salo Market, Shapla, Rangpur Sadar"/>
    <n v="1737144950"/>
    <x v="6"/>
    <s v="Raihan Siddiqui"/>
    <x v="9"/>
    <s v="Rangpur"/>
    <x v="0"/>
    <s v="3000 4T PLUS 10W30"/>
    <n v="120"/>
    <n v="535"/>
    <n v="120"/>
    <n v="0"/>
    <n v="0"/>
    <n v="535"/>
    <n v="120"/>
    <n v="120"/>
    <n v="64200"/>
    <n v="0"/>
    <n v="64200"/>
    <n v="8373.9130434782601"/>
    <n v="55826.086956521736"/>
    <s v="Cash"/>
    <n v="647"/>
    <s v="Flat Discount"/>
    <d v="2025-02-23T00:00:00"/>
    <s v="5tk/ unit discount on all products except (3000 10w30 1.2L)"/>
    <x v="3"/>
    <s v="Mineral"/>
    <x v="0"/>
    <x v="0"/>
    <x v="0"/>
    <n v="0"/>
    <x v="0"/>
    <n v="45519.6"/>
    <n v="10306.486956521738"/>
    <s v="O-45708-D-0023"/>
    <x v="0"/>
  </r>
  <r>
    <s v="F-180"/>
    <x v="28"/>
    <s v="D-0023"/>
    <x v="50"/>
    <s v="Salo Market, Shapla, Rangpur Sadar"/>
    <n v="1737144950"/>
    <x v="6"/>
    <s v="Raihan Siddiqui"/>
    <x v="9"/>
    <s v="Rangpur"/>
    <x v="2"/>
    <s v="3000 4T PLUS 10W40"/>
    <n v="280"/>
    <n v="545"/>
    <n v="280"/>
    <n v="0"/>
    <n v="0"/>
    <n v="545"/>
    <n v="280"/>
    <n v="280"/>
    <n v="152600"/>
    <n v="0"/>
    <n v="152600"/>
    <n v="19904.347826086956"/>
    <n v="132695.65217391305"/>
    <s v="Cash"/>
    <n v="647"/>
    <s v="Flat Discount"/>
    <d v="2025-02-23T00:00:00"/>
    <s v="5tk/ unit discount on all products except (3000 10w30 1.2L)"/>
    <x v="3"/>
    <s v="Mineral"/>
    <x v="0"/>
    <x v="2"/>
    <x v="0"/>
    <n v="0"/>
    <x v="0"/>
    <n v="107758"/>
    <n v="24937.652173913055"/>
    <s v="O-45708-D-0023"/>
    <x v="0"/>
  </r>
  <r>
    <s v="F-180"/>
    <x v="28"/>
    <s v="D-0023"/>
    <x v="50"/>
    <s v="Salo Market, Shapla, Rangpur Sadar"/>
    <n v="1737144950"/>
    <x v="6"/>
    <s v="Raihan Siddiqui"/>
    <x v="9"/>
    <s v="Rangpur"/>
    <x v="3"/>
    <s v="3000 4T PLUS 10W30"/>
    <n v="80"/>
    <n v="650"/>
    <n v="96"/>
    <n v="0"/>
    <n v="0"/>
    <n v="650"/>
    <n v="80"/>
    <n v="96"/>
    <n v="52000"/>
    <n v="0"/>
    <n v="52000"/>
    <n v="6782.608695652174"/>
    <n v="45217.391304347824"/>
    <s v="Cash"/>
    <n v="647"/>
    <s v="Flat Discount"/>
    <d v="2025-02-23T00:00:00"/>
    <s v="5tk/ unit discount on all products except (3000 10w30 1.2L)"/>
    <x v="3"/>
    <s v="Mineral"/>
    <x v="0"/>
    <x v="0"/>
    <x v="0"/>
    <n v="0"/>
    <x v="1"/>
    <n v="35112"/>
    <n v="10105.391304347824"/>
    <s v="O-45708-D-0023"/>
    <x v="0"/>
  </r>
  <r>
    <s v="F-180"/>
    <x v="28"/>
    <s v="D-0023"/>
    <x v="50"/>
    <s v="Salo Market, Shapla, Rangpur Sadar"/>
    <n v="1737144950"/>
    <x v="6"/>
    <s v="Raihan Siddiqui"/>
    <x v="9"/>
    <s v="Rangpur"/>
    <x v="7"/>
    <s v="7100 4T 10W30 ESTER CORE®"/>
    <n v="12"/>
    <n v="1075"/>
    <n v="12"/>
    <n v="0"/>
    <n v="0"/>
    <n v="1075"/>
    <n v="12"/>
    <n v="12"/>
    <n v="12900"/>
    <n v="0"/>
    <n v="12900"/>
    <n v="1682.608695652174"/>
    <n v="11217.391304347826"/>
    <s v="Cash"/>
    <n v="647"/>
    <s v="Flat Discount"/>
    <d v="2025-02-23T00:00:00"/>
    <s v="5tk/ unit discount on all products except (3000 10w30 1.2L)"/>
    <x v="3"/>
    <s v="Synthetic"/>
    <x v="0"/>
    <x v="0"/>
    <x v="3"/>
    <n v="0"/>
    <x v="2"/>
    <n v="8278.32"/>
    <n v="2939.0713043478263"/>
    <s v="O-45708-D-0023"/>
    <x v="0"/>
  </r>
  <r>
    <s v="F-181"/>
    <x v="29"/>
    <s v="D-0025"/>
    <x v="25"/>
    <s v="Dhaka"/>
    <s v=""/>
    <x v="2"/>
    <s v="Captive Sales"/>
    <x v="13"/>
    <s v="Dhaka"/>
    <x v="2"/>
    <s v="3000 4T PLUS 10W40"/>
    <n v="10000"/>
    <n v="525"/>
    <n v="10000"/>
    <n v="0"/>
    <n v="0"/>
    <n v="525"/>
    <n v="10000"/>
    <n v="10000"/>
    <n v="5250000"/>
    <n v="0"/>
    <n v="5250000"/>
    <n v="684782.60869565222"/>
    <n v="4565217.3913043477"/>
    <s v="Cash"/>
    <n v="648"/>
    <s v="Flat Discount"/>
    <d v="2025-02-24T00:00:00"/>
    <s v=""/>
    <x v="2"/>
    <s v="Mineral"/>
    <x v="0"/>
    <x v="2"/>
    <x v="0"/>
    <n v="0"/>
    <x v="0"/>
    <n v="3848500"/>
    <n v="716717.39130434766"/>
    <s v="O-45712-D-0025"/>
    <x v="0"/>
  </r>
  <r>
    <s v="F-181"/>
    <x v="29"/>
    <s v="D-0025"/>
    <x v="25"/>
    <s v="Dhaka"/>
    <s v=""/>
    <x v="2"/>
    <s v="Captive Sales"/>
    <x v="13"/>
    <s v="Dhaka"/>
    <x v="6"/>
    <s v="51004T 10W40 ESTER"/>
    <n v="3996"/>
    <n v="830"/>
    <n v="3996"/>
    <n v="0"/>
    <n v="0"/>
    <n v="830"/>
    <n v="3996"/>
    <n v="3996"/>
    <n v="3316680"/>
    <n v="0"/>
    <n v="3316680"/>
    <n v="432610.4347826087"/>
    <n v="2884069.5652173911"/>
    <s v="Cash"/>
    <n v="648"/>
    <s v="Flat Discount"/>
    <d v="2025-02-24T00:00:00"/>
    <s v=""/>
    <x v="2"/>
    <s v="Technosynthese"/>
    <x v="0"/>
    <x v="2"/>
    <x v="2"/>
    <n v="0"/>
    <x v="2"/>
    <n v="2430886.6800000002"/>
    <n v="453182.88521739095"/>
    <s v="O-45712-D-0025"/>
    <x v="0"/>
  </r>
  <r>
    <s v="F-182"/>
    <x v="29"/>
    <s v="D-0015"/>
    <x v="51"/>
    <s v="26, City Corporation Market, Dayaganj, Dhaka-1100."/>
    <s v="01911563926"/>
    <x v="5"/>
    <s v="Abdul Matin"/>
    <x v="6"/>
    <s v="Wari "/>
    <x v="0"/>
    <s v="3000 4T PLUS 10W30"/>
    <n v="600"/>
    <n v="530"/>
    <n v="600"/>
    <m/>
    <n v="0"/>
    <n v="530"/>
    <n v="600"/>
    <n v="600"/>
    <n v="318000"/>
    <n v="0"/>
    <n v="318000"/>
    <n v="41478.260869565216"/>
    <n v="276521.73913043475"/>
    <s v="Cash"/>
    <n v="649"/>
    <s v="Flat Discount"/>
    <d v="2025-02-24T00:00:00"/>
    <s v="No Transport allowance will be provied."/>
    <x v="0"/>
    <s v="Mineral"/>
    <x v="0"/>
    <x v="0"/>
    <x v="0"/>
    <n v="0"/>
    <x v="0"/>
    <n v="227598"/>
    <n v="48923.739130434755"/>
    <s v="O-45712-D-0015"/>
    <x v="0"/>
  </r>
  <r>
    <s v="F-182"/>
    <x v="29"/>
    <s v="D-0015"/>
    <x v="51"/>
    <s v="26, City Corporation Market, Dayaganj, Dhaka-1100."/>
    <s v="01911563926"/>
    <x v="5"/>
    <s v="Abdul Matin"/>
    <x v="6"/>
    <s v="Wari "/>
    <x v="1"/>
    <s v="3000 4T PLUS 20W40"/>
    <n v="800"/>
    <n v="530"/>
    <n v="800"/>
    <m/>
    <n v="0"/>
    <n v="530"/>
    <n v="800"/>
    <n v="800"/>
    <n v="424000"/>
    <n v="0"/>
    <n v="424000"/>
    <n v="55304.34782608696"/>
    <n v="368695.65217391303"/>
    <s v="Cash"/>
    <n v="649"/>
    <s v="Flat Discount"/>
    <d v="2025-02-24T00:00:00"/>
    <s v="No Transport allowance will be provied."/>
    <x v="0"/>
    <s v="Mineral"/>
    <x v="0"/>
    <x v="1"/>
    <x v="0"/>
    <n v="0"/>
    <x v="0"/>
    <n v="330208"/>
    <n v="38487.652173913026"/>
    <s v="O-45712-D-0015"/>
    <x v="0"/>
  </r>
  <r>
    <s v="F-182"/>
    <x v="29"/>
    <s v="D-0015"/>
    <x v="51"/>
    <s v="26, City Corporation Market, Dayaganj, Dhaka-1100."/>
    <s v="01911563926"/>
    <x v="5"/>
    <s v="Abdul Matin"/>
    <x v="6"/>
    <s v="Wari "/>
    <x v="2"/>
    <s v="3000 4T PLUS 10W40"/>
    <n v="2000"/>
    <n v="530"/>
    <n v="2000"/>
    <m/>
    <n v="0"/>
    <n v="530"/>
    <n v="2000"/>
    <n v="2000"/>
    <n v="1060000"/>
    <n v="0"/>
    <n v="1060000"/>
    <n v="138260.86956521738"/>
    <n v="921739.13043478259"/>
    <s v="Cash"/>
    <n v="649"/>
    <s v="Flat Discount"/>
    <d v="2025-02-24T00:00:00"/>
    <s v="No Transport allowance will be provied."/>
    <x v="0"/>
    <s v="Mineral"/>
    <x v="0"/>
    <x v="2"/>
    <x v="0"/>
    <n v="0"/>
    <x v="0"/>
    <n v="769700"/>
    <n v="152039.13043478259"/>
    <s v="O-45712-D-0015"/>
    <x v="0"/>
  </r>
  <r>
    <s v="F-183"/>
    <x v="29"/>
    <s v="D-0009"/>
    <x v="23"/>
    <s v="4/4, Saidabad, Dhaka-1100."/>
    <s v="01784398413"/>
    <x v="5"/>
    <s v="Abdul Matin"/>
    <x v="12"/>
    <s v="Saydabad"/>
    <x v="6"/>
    <s v="51004T 10W40 ESTER"/>
    <n v="840"/>
    <n v="850"/>
    <n v="840"/>
    <m/>
    <n v="0"/>
    <n v="850"/>
    <n v="840"/>
    <n v="840"/>
    <n v="714000"/>
    <n v="0"/>
    <n v="714000"/>
    <n v="93130.434782608689"/>
    <n v="620869.56521739135"/>
    <s v="Cash"/>
    <n v="650"/>
    <s v="Flat Discount"/>
    <d v="2025-02-24T00:00:00"/>
    <s v="No transport allowance will be provided."/>
    <x v="0"/>
    <s v="Technosynthese"/>
    <x v="0"/>
    <x v="2"/>
    <x v="2"/>
    <n v="0"/>
    <x v="2"/>
    <n v="510997.2"/>
    <n v="109872.36521739134"/>
    <s v="O-45712-D-0009"/>
    <x v="0"/>
  </r>
  <r>
    <s v="F-184"/>
    <x v="30"/>
    <s v="D-0023"/>
    <x v="52"/>
    <s v="Station Road,Shapla,Rangpur "/>
    <n v="1780903329"/>
    <x v="6"/>
    <s v="Raihan Siddiqui"/>
    <x v="9"/>
    <s v="Rangpur"/>
    <x v="0"/>
    <s v="3000 4T PLUS 10W30"/>
    <n v="100"/>
    <n v="540"/>
    <n v="100"/>
    <n v="9.2592592592593004E-3"/>
    <n v="0"/>
    <n v="535"/>
    <n v="100"/>
    <n v="100"/>
    <n v="54000"/>
    <n v="0"/>
    <n v="53500"/>
    <n v="6978.260869565217"/>
    <n v="46521.739130434784"/>
    <s v="Cash"/>
    <n v="651"/>
    <s v="Regular"/>
    <d v="2025-02-26T00:00:00"/>
    <s v=""/>
    <x v="3"/>
    <s v="Mineral"/>
    <x v="0"/>
    <x v="0"/>
    <x v="0"/>
    <n v="0"/>
    <x v="0"/>
    <n v="37933"/>
    <n v="8588.7391304347839"/>
    <s v="O-45713-D-0023"/>
    <x v="0"/>
  </r>
  <r>
    <s v="F-184"/>
    <x v="30"/>
    <s v="D-0023"/>
    <x v="52"/>
    <s v="Station Road,Shapla,Rangpur "/>
    <n v="1780903329"/>
    <x v="6"/>
    <s v="Raihan Siddiqui"/>
    <x v="9"/>
    <s v="Rangpur"/>
    <x v="2"/>
    <s v="3000 4T PLUS 10W40"/>
    <n v="120"/>
    <n v="550"/>
    <n v="120"/>
    <n v="9.0909090909090384E-3"/>
    <n v="0"/>
    <n v="545"/>
    <n v="120"/>
    <n v="120"/>
    <n v="66000"/>
    <n v="0"/>
    <n v="65400"/>
    <n v="8530.434782608696"/>
    <n v="56869.565217391304"/>
    <s v="Cash"/>
    <n v="651"/>
    <s v="Regular"/>
    <d v="2025-02-26T00:00:00"/>
    <s v=""/>
    <x v="3"/>
    <s v="Mineral"/>
    <x v="0"/>
    <x v="2"/>
    <x v="0"/>
    <n v="0"/>
    <x v="0"/>
    <n v="46182"/>
    <n v="10687.565217391304"/>
    <s v="O-45713-D-0023"/>
    <x v="0"/>
  </r>
  <r>
    <s v="F-184"/>
    <x v="30"/>
    <s v="D-0023"/>
    <x v="52"/>
    <s v="Station Road,Shapla,Rangpur "/>
    <n v="1780903329"/>
    <x v="6"/>
    <s v="Raihan Siddiqui"/>
    <x v="9"/>
    <s v="Rangpur"/>
    <x v="12"/>
    <s v="3000 4T 20W50"/>
    <n v="120"/>
    <n v="495"/>
    <n v="120"/>
    <n v="2.4242424242424288E-2"/>
    <n v="0"/>
    <n v="483"/>
    <n v="120"/>
    <n v="120"/>
    <n v="59400"/>
    <n v="0"/>
    <n v="57960"/>
    <n v="7560"/>
    <n v="50400"/>
    <s v="Cash"/>
    <n v="651"/>
    <s v="Regular"/>
    <d v="2025-02-26T00:00:00"/>
    <s v=""/>
    <x v="3"/>
    <s v="Mineral"/>
    <x v="0"/>
    <x v="3"/>
    <x v="0"/>
    <n v="0"/>
    <x v="0"/>
    <n v="43790.400000000001"/>
    <n v="6609.5999999999985"/>
    <s v="O-45713-D-0023"/>
    <x v="0"/>
  </r>
  <r>
    <s v="F-185"/>
    <x v="29"/>
    <s v="D-0006"/>
    <x v="18"/>
    <s v="C/25/5, Thana Road Bus stand, Savar, Dhaka."/>
    <s v="01715414646"/>
    <x v="0"/>
    <s v="Abdul Matin"/>
    <x v="7"/>
    <s v="Savar"/>
    <x v="2"/>
    <s v="3000 4T PLUS 10W40"/>
    <n v="2000"/>
    <n v="550"/>
    <n v="2000"/>
    <n v="2.7272727272727226E-2"/>
    <n v="0"/>
    <n v="535"/>
    <n v="2000"/>
    <n v="2000"/>
    <n v="1100000"/>
    <n v="30000"/>
    <n v="1070000"/>
    <n v="139565.21739130435"/>
    <n v="930434.78260869568"/>
    <s v="Cash"/>
    <n v="652"/>
    <s v="Flat Discount"/>
    <d v="2025-03-05T00:00:00"/>
    <s v="20W50 toal primari lifting was 1084 pcs purpose 15 tk =  16,260 taka &amp; transport discount 2 tk/ltr = 840, in total 17,100/- taka has been provided."/>
    <x v="0"/>
    <s v="Mineral"/>
    <x v="0"/>
    <x v="2"/>
    <x v="0"/>
    <n v="0"/>
    <x v="0"/>
    <n v="769700"/>
    <n v="160734.78260869568"/>
    <s v="O-45712-D-0006"/>
    <x v="0"/>
  </r>
  <r>
    <s v="F-186"/>
    <x v="31"/>
    <s v="D-0018"/>
    <x v="53"/>
    <s v="Ice Factory Road , Kadamtali , Ctg "/>
    <s v="019 7770 3528"/>
    <x v="1"/>
    <s v="Razur Rahman (Bipul)"/>
    <x v="1"/>
    <s v="Kadamtoli"/>
    <x v="2"/>
    <s v="3000 4T PLUS 10W40"/>
    <n v="1005"/>
    <n v="535"/>
    <n v="1005"/>
    <n v="0"/>
    <n v="0"/>
    <n v="535"/>
    <n v="1005"/>
    <n v="1005"/>
    <n v="537675"/>
    <n v="0"/>
    <n v="537675"/>
    <n v="70131.521739130432"/>
    <n v="467543.47826086957"/>
    <s v="Cash"/>
    <n v="653"/>
    <s v="Flat Discount"/>
    <d v="2025-03-16T00:00:00"/>
    <s v="Products are in Special Rate &amp; KB's previous balance, 60,419 tk  will be deducted from the total amount. So 6,43,216tk will be Payble"/>
    <x v="1"/>
    <s v="Mineral"/>
    <x v="0"/>
    <x v="2"/>
    <x v="0"/>
    <n v="0"/>
    <x v="0"/>
    <n v="386774.25"/>
    <n v="80769.228260869568"/>
    <s v="O-45714-D-0018"/>
    <x v="0"/>
  </r>
  <r>
    <s v="F-186"/>
    <x v="31"/>
    <s v="D-0018"/>
    <x v="53"/>
    <s v="Ice Factory Road , Kadamtali , Ctg "/>
    <s v="019 7770 3528"/>
    <x v="1"/>
    <s v="Razur Rahman (Bipul)"/>
    <x v="1"/>
    <s v="Kadamtoli"/>
    <x v="11"/>
    <s v="7100 4T 10W30 ESTER CORE®"/>
    <n v="120"/>
    <n v="1260"/>
    <n v="144"/>
    <n v="0"/>
    <n v="0"/>
    <n v="1260"/>
    <n v="120"/>
    <n v="144"/>
    <n v="151200"/>
    <n v="0"/>
    <n v="151200"/>
    <n v="19721.739130434784"/>
    <n v="131478.26086956522"/>
    <s v="Cash"/>
    <n v="653"/>
    <s v="Flat Discount"/>
    <m/>
    <s v="Products are in Special Rate &amp; KB's previous balance, 60,419 tk  will be deducted from the total amount. So 6,43,216tk will be Payble"/>
    <x v="1"/>
    <s v="Synthetic"/>
    <x v="0"/>
    <x v="0"/>
    <x v="3"/>
    <n v="0"/>
    <x v="1"/>
    <n v="93276"/>
    <n v="38202.260869565216"/>
    <s v="O-45714-D-0018"/>
    <x v="0"/>
  </r>
  <r>
    <s v="F-186"/>
    <x v="31"/>
    <s v="D-0018"/>
    <x v="53"/>
    <s v="Ice Factory Road , Kadamtali , Ctg "/>
    <s v="019 7770 3528"/>
    <x v="1"/>
    <s v="Razur Rahman (Bipul)"/>
    <x v="1"/>
    <s v="Kadamtoli"/>
    <x v="17"/>
    <s v="Engine Flush"/>
    <n v="72"/>
    <n v="205"/>
    <n v="3.6"/>
    <n v="0"/>
    <n v="0"/>
    <n v="205"/>
    <n v="72"/>
    <n v="3.6"/>
    <n v="14760"/>
    <n v="0"/>
    <n v="14760"/>
    <n v="1925.2173913043478"/>
    <n v="12834.782608695652"/>
    <s v="Cash"/>
    <n v="653"/>
    <s v="Flat Discount"/>
    <m/>
    <s v="Products are in Special Rate &amp; KB's previous balance, 60,419 tk  will be deducted from the total amount. So 6,43,216tk will be Payble"/>
    <x v="1"/>
    <s v="Care Products"/>
    <x v="1"/>
    <x v="4"/>
    <x v="8"/>
    <n v="0"/>
    <x v="7"/>
    <n v="9367.9200000000019"/>
    <n v="3466.8626086956501"/>
    <s v="O-45714-D-0018"/>
    <x v="0"/>
  </r>
  <r>
    <s v="F-187"/>
    <x v="32"/>
    <s v="D-0014"/>
    <x v="54"/>
    <s v="Laksam, Cumilla"/>
    <s v="01836-199020"/>
    <x v="3"/>
    <s v="Razur Rahman (Bipul)"/>
    <x v="3"/>
    <s v="Paduar Bazar Bisso Road"/>
    <x v="0"/>
    <s v="3000 4T PLUS 10W30"/>
    <n v="80"/>
    <n v="540"/>
    <n v="80"/>
    <n v="0"/>
    <n v="0"/>
    <n v="540"/>
    <n v="80"/>
    <n v="80"/>
    <n v="43200"/>
    <n v="0"/>
    <n v="43200"/>
    <n v="5634.782608695652"/>
    <n v="37565.217391304344"/>
    <s v="Cash"/>
    <n v="654"/>
    <s v="Regular"/>
    <d v="2025-03-05T00:00:00"/>
    <s v=""/>
    <x v="1"/>
    <s v="Mineral"/>
    <x v="0"/>
    <x v="0"/>
    <x v="0"/>
    <n v="0"/>
    <x v="0"/>
    <n v="30346.399999999998"/>
    <n v="7218.8173913043465"/>
    <s v="O-45715-D-0014"/>
    <x v="0"/>
  </r>
  <r>
    <s v="F-187"/>
    <x v="32"/>
    <s v="D-0014"/>
    <x v="54"/>
    <s v="Laksam, Cumilla"/>
    <s v="01836-199020"/>
    <x v="3"/>
    <s v="Razur Rahman (Bipul)"/>
    <x v="3"/>
    <s v="Paduar Bazar Bisso Road"/>
    <x v="2"/>
    <s v="3000 4T PLUS 10W40"/>
    <n v="80"/>
    <n v="540"/>
    <n v="80"/>
    <n v="0"/>
    <n v="0"/>
    <n v="540"/>
    <n v="80"/>
    <n v="80"/>
    <n v="43200"/>
    <n v="0"/>
    <n v="43200"/>
    <n v="5634.782608695652"/>
    <n v="37565.217391304344"/>
    <s v="Cash"/>
    <n v="654"/>
    <s v="Regular"/>
    <d v="2025-03-05T00:00:00"/>
    <s v=""/>
    <x v="1"/>
    <s v="Mineral"/>
    <x v="0"/>
    <x v="2"/>
    <x v="0"/>
    <n v="0"/>
    <x v="0"/>
    <n v="30788"/>
    <n v="6777.2173913043443"/>
    <s v="O-45715-D-0014"/>
    <x v="0"/>
  </r>
  <r>
    <s v="F-188"/>
    <x v="32"/>
    <s v="D-0014"/>
    <x v="39"/>
    <s v="Dhormapur, Cumilla"/>
    <s v="01728-083399"/>
    <x v="3"/>
    <s v="Razur Rahman (Bipul)"/>
    <x v="3"/>
    <s v="Paduar Bazar Bisso Road"/>
    <x v="1"/>
    <s v="3000 4T PLUS 20W40"/>
    <n v="20"/>
    <n v="535"/>
    <n v="20"/>
    <n v="0"/>
    <n v="0"/>
    <n v="535"/>
    <n v="20"/>
    <n v="20"/>
    <n v="10700"/>
    <n v="0"/>
    <n v="10700"/>
    <n v="1395.6521739130435"/>
    <n v="9304.347826086956"/>
    <s v="Cash"/>
    <n v="655"/>
    <s v="Regular"/>
    <d v="2025-03-05T00:00:00"/>
    <s v=""/>
    <x v="1"/>
    <s v="Mineral"/>
    <x v="0"/>
    <x v="1"/>
    <x v="0"/>
    <n v="0"/>
    <x v="0"/>
    <n v="8255.2000000000007"/>
    <n v="1049.1478260869553"/>
    <s v="O-45715-D-0014"/>
    <x v="0"/>
  </r>
  <r>
    <s v="F-188"/>
    <x v="32"/>
    <s v="D-0014"/>
    <x v="39"/>
    <s v="Dhormapur, Cumilla"/>
    <s v="01728-083399"/>
    <x v="3"/>
    <s v="Razur Rahman (Bipul)"/>
    <x v="3"/>
    <s v="Paduar Bazar Bisso Road"/>
    <x v="2"/>
    <s v="3000 4T PLUS 10W40"/>
    <n v="180"/>
    <n v="540"/>
    <n v="180"/>
    <n v="0"/>
    <n v="0"/>
    <n v="540"/>
    <n v="180"/>
    <n v="180"/>
    <n v="97200"/>
    <n v="0"/>
    <n v="97200"/>
    <n v="12678.260869565218"/>
    <n v="84521.739130434784"/>
    <s v="Cash"/>
    <n v="655"/>
    <s v="Regular"/>
    <d v="2025-03-05T00:00:00"/>
    <s v=""/>
    <x v="1"/>
    <s v="Mineral"/>
    <x v="0"/>
    <x v="2"/>
    <x v="0"/>
    <n v="0"/>
    <x v="0"/>
    <n v="69273"/>
    <n v="15248.739130434784"/>
    <s v="O-45715-D-0014"/>
    <x v="0"/>
  </r>
  <r>
    <s v="F-189"/>
    <x v="31"/>
    <s v="D-0035"/>
    <x v="55"/>
    <s v="Wari"/>
    <s v="+88001715108464"/>
    <x v="5"/>
    <s v="Abdul Matin"/>
    <x v="22"/>
    <s v="Savar"/>
    <x v="0"/>
    <s v="3000 4T PLUS 10W30"/>
    <n v="200"/>
    <n v="535"/>
    <n v="200"/>
    <n v="0"/>
    <n v="0"/>
    <n v="535"/>
    <n v="200"/>
    <n v="200"/>
    <n v="107000"/>
    <n v="0"/>
    <n v="107000"/>
    <n v="13956.521739130434"/>
    <n v="93043.478260869568"/>
    <s v="Cash"/>
    <n v="656"/>
    <s v="Custom"/>
    <d v="2025-03-05T00:00:00"/>
    <s v="Special price and No transport Allowance"/>
    <x v="0"/>
    <s v="Mineral"/>
    <x v="0"/>
    <x v="0"/>
    <x v="0"/>
    <n v="0"/>
    <x v="0"/>
    <n v="75866"/>
    <n v="17177.478260869568"/>
    <s v="O-45714-D-0035"/>
    <x v="0"/>
  </r>
  <r>
    <s v="F-189"/>
    <x v="31"/>
    <s v="D-0035"/>
    <x v="55"/>
    <s v="Wari"/>
    <s v="+88001715108464"/>
    <x v="5"/>
    <s v="Abdul Matin"/>
    <x v="22"/>
    <s v="Savar"/>
    <x v="1"/>
    <s v="3000 4T PLUS 20W40"/>
    <n v="400"/>
    <n v="535"/>
    <n v="400"/>
    <n v="0"/>
    <n v="0"/>
    <n v="535"/>
    <n v="400"/>
    <n v="400"/>
    <n v="214000"/>
    <n v="0"/>
    <n v="214000"/>
    <n v="27913.043478260868"/>
    <n v="186086.95652173914"/>
    <s v="Cash"/>
    <n v="656"/>
    <s v="Custom"/>
    <d v="2025-03-05T00:00:00"/>
    <s v="Special price and No transport Allowance"/>
    <x v="0"/>
    <s v="Mineral"/>
    <x v="0"/>
    <x v="1"/>
    <x v="0"/>
    <n v="0"/>
    <x v="0"/>
    <n v="165104"/>
    <n v="20982.956521739135"/>
    <s v="O-45714-D-0035"/>
    <x v="0"/>
  </r>
  <r>
    <s v="F-189"/>
    <x v="31"/>
    <s v="D-0035"/>
    <x v="55"/>
    <s v="Wari"/>
    <s v="+88001715108464"/>
    <x v="5"/>
    <s v="Abdul Matin"/>
    <x v="22"/>
    <s v="Savar"/>
    <x v="2"/>
    <s v="3000 4T PLUS 10W40"/>
    <n v="1000"/>
    <n v="540"/>
    <n v="1000"/>
    <n v="0"/>
    <n v="0"/>
    <n v="540"/>
    <n v="1000"/>
    <n v="1000"/>
    <n v="540000"/>
    <n v="0"/>
    <n v="540000"/>
    <n v="70434.782608695648"/>
    <n v="469565.21739130432"/>
    <s v="Cash"/>
    <n v="656"/>
    <s v="Custom"/>
    <d v="2025-03-05T00:00:00"/>
    <s v="Special price and No transport Allowance"/>
    <x v="0"/>
    <s v="Mineral"/>
    <x v="0"/>
    <x v="2"/>
    <x v="0"/>
    <n v="0"/>
    <x v="0"/>
    <n v="384850"/>
    <n v="84715.217391304323"/>
    <s v="O-45714-D-0035"/>
    <x v="0"/>
  </r>
  <r>
    <s v="F-189"/>
    <x v="31"/>
    <s v="D-0035"/>
    <x v="55"/>
    <s v="Wari"/>
    <s v="+88001715108464"/>
    <x v="5"/>
    <s v="Abdul Matin"/>
    <x v="22"/>
    <s v="Savar"/>
    <x v="4"/>
    <s v="3000 4T PLUS 20W40"/>
    <n v="200"/>
    <n v="640"/>
    <n v="240"/>
    <n v="0"/>
    <n v="0"/>
    <n v="640"/>
    <n v="200"/>
    <n v="240"/>
    <n v="128000"/>
    <n v="0"/>
    <n v="128000"/>
    <n v="16695.652173913044"/>
    <n v="111304.34782608696"/>
    <s v="Cash"/>
    <n v="656"/>
    <s v="Custom"/>
    <d v="2025-03-05T00:00:00"/>
    <s v="Special price and No transport Allowance"/>
    <x v="0"/>
    <s v="Mineral"/>
    <x v="0"/>
    <x v="1"/>
    <x v="0"/>
    <n v="0"/>
    <x v="1"/>
    <n v="93979.559070121948"/>
    <n v="17324.788755965012"/>
    <s v="O-45714-D-0035"/>
    <x v="0"/>
  </r>
  <r>
    <s v="F-189"/>
    <x v="31"/>
    <s v="D-0035"/>
    <x v="55"/>
    <s v="Wari"/>
    <s v="+88001715108464"/>
    <x v="5"/>
    <s v="Abdul Matin"/>
    <x v="22"/>
    <s v="Savar"/>
    <x v="21"/>
    <s v="31004T GOLD 10W30"/>
    <n v="400"/>
    <n v="590"/>
    <n v="400"/>
    <n v="0"/>
    <n v="0"/>
    <n v="590"/>
    <n v="400"/>
    <n v="400"/>
    <n v="236000"/>
    <n v="0"/>
    <n v="236000"/>
    <n v="30782.608695652172"/>
    <n v="205217.39130434784"/>
    <s v="Cash"/>
    <n v="656"/>
    <s v="Custom"/>
    <d v="2025-03-05T00:00:00"/>
    <s v="Special price and No transport Allowance"/>
    <x v="0"/>
    <s v="Technosynthese"/>
    <x v="0"/>
    <x v="0"/>
    <x v="1"/>
    <n v="0"/>
    <x v="0"/>
    <n v="170040"/>
    <n v="35177.391304347839"/>
    <s v="O-45714-D-0035"/>
    <x v="0"/>
  </r>
  <r>
    <s v="F-189"/>
    <x v="31"/>
    <s v="D-0035"/>
    <x v="55"/>
    <s v="Wari"/>
    <s v="+88001715108464"/>
    <x v="5"/>
    <s v="Abdul Matin"/>
    <x v="22"/>
    <s v="Savar"/>
    <x v="11"/>
    <s v="7100 4T 10W30 ESTER CORE®"/>
    <n v="200"/>
    <n v="1285"/>
    <n v="240"/>
    <n v="-2.2204460492503131E-16"/>
    <n v="0"/>
    <n v="1285.0000000000002"/>
    <n v="200"/>
    <n v="240"/>
    <n v="257000"/>
    <n v="0"/>
    <n v="257000.00000000006"/>
    <n v="33521.739130434791"/>
    <n v="223478.26086956527"/>
    <s v="Cash"/>
    <n v="656"/>
    <s v="Custom"/>
    <d v="2025-03-05T00:00:00"/>
    <s v="Special price and No transport Allowance"/>
    <x v="0"/>
    <s v="Synthetic"/>
    <x v="0"/>
    <x v="0"/>
    <x v="3"/>
    <n v="0"/>
    <x v="1"/>
    <n v="155460"/>
    <n v="68018.260869565274"/>
    <s v="O-45714-D-0035"/>
    <x v="0"/>
  </r>
  <r>
    <s v="F-190"/>
    <x v="32"/>
    <s v="D-0023"/>
    <x v="48"/>
    <s v="Registriri para, Tangail Sadar"/>
    <n v="1521308494"/>
    <x v="6"/>
    <s v="Raihan Siddiqui"/>
    <x v="9"/>
    <s v="Rangpur"/>
    <x v="0"/>
    <s v="3000 4T PLUS 10W30"/>
    <n v="40"/>
    <n v="540"/>
    <n v="40"/>
    <n v="9.2592592592593004E-3"/>
    <n v="0"/>
    <n v="535"/>
    <n v="40"/>
    <n v="40"/>
    <n v="21600"/>
    <n v="0"/>
    <n v="21400"/>
    <n v="2791.304347826087"/>
    <n v="18608.695652173912"/>
    <s v="Cash"/>
    <n v="657"/>
    <s v="Regular"/>
    <d v="2025-03-05T00:00:00"/>
    <s v=""/>
    <x v="3"/>
    <s v="Mineral"/>
    <x v="0"/>
    <x v="0"/>
    <x v="0"/>
    <n v="0"/>
    <x v="0"/>
    <n v="15173.199999999999"/>
    <n v="3435.4956521739132"/>
    <s v="O-45715-D-0023"/>
    <x v="0"/>
  </r>
  <r>
    <s v="F-190"/>
    <x v="32"/>
    <s v="D-0023"/>
    <x v="48"/>
    <s v="Registriri para, Tangail Sadar"/>
    <n v="1521308494"/>
    <x v="6"/>
    <s v="Raihan Siddiqui"/>
    <x v="9"/>
    <s v="Rangpur"/>
    <x v="1"/>
    <s v="3000 4T PLUS 20W40"/>
    <n v="40"/>
    <n v="535"/>
    <n v="40"/>
    <n v="9.3457943925233655E-3"/>
    <n v="0"/>
    <n v="530"/>
    <n v="40"/>
    <n v="40"/>
    <n v="21400"/>
    <n v="0"/>
    <n v="21200"/>
    <n v="2765.217391304348"/>
    <n v="18434.782608695652"/>
    <s v="Cash"/>
    <n v="657"/>
    <s v="Regular"/>
    <d v="2025-03-05T00:00:00"/>
    <s v=""/>
    <x v="3"/>
    <s v="Mineral"/>
    <x v="0"/>
    <x v="1"/>
    <x v="0"/>
    <n v="0"/>
    <x v="0"/>
    <n v="16510.400000000001"/>
    <n v="1924.3826086956506"/>
    <s v="O-45715-D-0023"/>
    <x v="0"/>
  </r>
  <r>
    <s v="F-190"/>
    <x v="32"/>
    <s v="D-0023"/>
    <x v="48"/>
    <s v="Registriri para, Tangail Sadar"/>
    <n v="1521308494"/>
    <x v="6"/>
    <s v="Raihan Siddiqui"/>
    <x v="9"/>
    <s v="Rangpur"/>
    <x v="2"/>
    <s v="3000 4T PLUS 10W40"/>
    <n v="120"/>
    <n v="550"/>
    <n v="120"/>
    <n v="9.0909090909090384E-3"/>
    <n v="0"/>
    <n v="545"/>
    <n v="120"/>
    <n v="120"/>
    <n v="66000"/>
    <n v="0"/>
    <n v="65400"/>
    <n v="8530.434782608696"/>
    <n v="56869.565217391304"/>
    <s v="Cash"/>
    <n v="657"/>
    <s v="Regular"/>
    <d v="2025-03-05T00:00:00"/>
    <s v=""/>
    <x v="3"/>
    <s v="Mineral"/>
    <x v="0"/>
    <x v="2"/>
    <x v="0"/>
    <n v="0"/>
    <x v="0"/>
    <n v="46182"/>
    <n v="10687.565217391304"/>
    <s v="O-45715-D-0023"/>
    <x v="0"/>
  </r>
  <r>
    <s v="F-190"/>
    <x v="32"/>
    <s v="D-0023"/>
    <x v="48"/>
    <s v="Registriri para, Tangail Sadar"/>
    <n v="1521308494"/>
    <x v="6"/>
    <s v="Raihan Siddiqui"/>
    <x v="9"/>
    <s v="Rangpur"/>
    <x v="12"/>
    <s v="3000 4T 20W50"/>
    <n v="80"/>
    <n v="495"/>
    <n v="80"/>
    <n v="2.4242424242424288E-2"/>
    <n v="0"/>
    <n v="483"/>
    <n v="80"/>
    <n v="80"/>
    <n v="39600"/>
    <n v="0"/>
    <n v="38640"/>
    <n v="5040"/>
    <n v="33600"/>
    <s v="Cash"/>
    <n v="657"/>
    <s v="Regular"/>
    <d v="2025-03-05T00:00:00"/>
    <s v=""/>
    <x v="3"/>
    <s v="Mineral"/>
    <x v="0"/>
    <x v="3"/>
    <x v="0"/>
    <n v="0"/>
    <x v="0"/>
    <n v="29193.600000000002"/>
    <n v="4406.3999999999978"/>
    <s v="O-45715-D-0023"/>
    <x v="0"/>
  </r>
  <r>
    <s v="F-190"/>
    <x v="32"/>
    <s v="D-0023"/>
    <x v="48"/>
    <s v="Registriri para, Tangail Sadar"/>
    <n v="1521308494"/>
    <x v="6"/>
    <s v="Raihan Siddiqui"/>
    <x v="9"/>
    <s v="Rangpur"/>
    <x v="15"/>
    <s v="3000 4T 20W50"/>
    <n v="20"/>
    <n v="595"/>
    <n v="24"/>
    <n v="2.2521008403361353E-2"/>
    <n v="0"/>
    <n v="581.6"/>
    <n v="20"/>
    <n v="24"/>
    <n v="11900"/>
    <n v="0"/>
    <n v="11632"/>
    <n v="1517.2173913043478"/>
    <n v="10114.782608695652"/>
    <s v="Cash"/>
    <n v="657"/>
    <s v="Regular"/>
    <d v="2025-03-05T00:00:00"/>
    <s v=""/>
    <x v="3"/>
    <s v="Mineral"/>
    <x v="0"/>
    <x v="3"/>
    <x v="0"/>
    <n v="0"/>
    <x v="1"/>
    <n v="8692.2000000000007"/>
    <n v="1422.5826086956513"/>
    <s v="O-45715-D-0023"/>
    <x v="0"/>
  </r>
  <r>
    <s v="F-191"/>
    <x v="32"/>
    <s v="D-0001"/>
    <x v="56"/>
    <s v="kushtia sadar"/>
    <n v="1715857748"/>
    <x v="4"/>
    <s v="Abdul Matin"/>
    <x v="10"/>
    <s v="Pangsha"/>
    <x v="2"/>
    <s v="3000 4T PLUS 10W40"/>
    <n v="1000"/>
    <n v="540"/>
    <n v="1000"/>
    <n v="0"/>
    <n v="0"/>
    <n v="540"/>
    <n v="1000"/>
    <n v="1000"/>
    <n v="540000"/>
    <n v="0"/>
    <n v="540000"/>
    <n v="70434.782608695648"/>
    <n v="469565.21739130432"/>
    <s v="Cash"/>
    <n v="658"/>
    <s v="Flat Discount"/>
    <d v="2025-03-05T00:00:00"/>
    <s v="delivery system:sundarban courier "/>
    <x v="0"/>
    <s v="Mineral"/>
    <x v="0"/>
    <x v="2"/>
    <x v="0"/>
    <n v="0"/>
    <x v="0"/>
    <n v="384850"/>
    <n v="84715.217391304323"/>
    <s v="O-45715-D-0001"/>
    <x v="0"/>
  </r>
  <r>
    <s v="F-191"/>
    <x v="32"/>
    <s v="D-0001"/>
    <x v="56"/>
    <s v="kushtia sadar"/>
    <n v="1715857748"/>
    <x v="4"/>
    <s v="Abdul Matin"/>
    <x v="10"/>
    <s v="Pangsha"/>
    <x v="5"/>
    <s v="31004T GOLD 20W50"/>
    <n v="20"/>
    <n v="595"/>
    <n v="20"/>
    <n v="0"/>
    <n v="0"/>
    <n v="595"/>
    <n v="20"/>
    <n v="20"/>
    <n v="11900"/>
    <n v="0"/>
    <n v="11900"/>
    <n v="1552.1739130434783"/>
    <n v="10347.826086956522"/>
    <s v="Cash"/>
    <n v="658"/>
    <s v="Flat Discount"/>
    <d v="2025-03-05T00:00:00"/>
    <s v="delivery system:sundarban courier "/>
    <x v="0"/>
    <s v="Technosynthese"/>
    <x v="0"/>
    <x v="3"/>
    <x v="1"/>
    <n v="0"/>
    <x v="0"/>
    <n v="9387.7999999999993"/>
    <n v="960.0260869565227"/>
    <s v="O-45715-D-0001"/>
    <x v="0"/>
  </r>
  <r>
    <s v="F-191"/>
    <x v="32"/>
    <s v="D-0001"/>
    <x v="56"/>
    <s v="kushtia sadar"/>
    <n v="1715857748"/>
    <x v="4"/>
    <s v="Abdul Matin"/>
    <x v="10"/>
    <s v="Pangsha"/>
    <x v="7"/>
    <s v="7100 4T 10W30 ESTER CORE®"/>
    <n v="36"/>
    <n v="1075"/>
    <n v="36"/>
    <n v="0"/>
    <n v="0"/>
    <n v="1075"/>
    <n v="36"/>
    <n v="36"/>
    <n v="38700"/>
    <n v="0"/>
    <n v="38700"/>
    <n v="5047.826086956522"/>
    <n v="33652.17391304348"/>
    <s v="Cash"/>
    <n v="658"/>
    <s v="Flat Discount"/>
    <d v="2025-03-05T00:00:00"/>
    <s v="delivery system:sundarban courier "/>
    <x v="0"/>
    <s v="Synthetic"/>
    <x v="0"/>
    <x v="0"/>
    <x v="3"/>
    <n v="0"/>
    <x v="2"/>
    <n v="24834.959999999999"/>
    <n v="8817.2139130434807"/>
    <s v="O-45715-D-0001"/>
    <x v="0"/>
  </r>
  <r>
    <s v="F-191"/>
    <x v="32"/>
    <s v="D-0001"/>
    <x v="56"/>
    <s v="kushtia sadar"/>
    <n v="1715857748"/>
    <x v="4"/>
    <s v="Abdul Matin"/>
    <x v="10"/>
    <s v="Pangsha"/>
    <x v="9"/>
    <s v="7100 4T 20W50 ESTER CORE®"/>
    <n v="84"/>
    <n v="1075"/>
    <n v="84"/>
    <n v="0"/>
    <n v="0"/>
    <n v="1075"/>
    <n v="84"/>
    <n v="84"/>
    <n v="90300"/>
    <n v="0"/>
    <n v="90300"/>
    <n v="11778.260869565218"/>
    <n v="78521.739130434784"/>
    <s v="Cash"/>
    <n v="658"/>
    <s v="Flat Discount"/>
    <d v="2025-03-05T00:00:00"/>
    <s v="delivery system:sundarban courier "/>
    <x v="0"/>
    <s v="Synthetic"/>
    <x v="0"/>
    <x v="3"/>
    <x v="3"/>
    <n v="0"/>
    <x v="2"/>
    <n v="64150.6656"/>
    <n v="14371.073530434784"/>
    <s v="O-45715-D-0001"/>
    <x v="0"/>
  </r>
  <r>
    <s v="F-191"/>
    <x v="32"/>
    <s v="D-0001"/>
    <x v="56"/>
    <s v="kushtia sadar"/>
    <n v="1715857748"/>
    <x v="4"/>
    <s v="Abdul Matin"/>
    <x v="10"/>
    <s v="Pangsha"/>
    <x v="11"/>
    <s v="7100 4T 10W30 ESTER CORE®"/>
    <n v="40"/>
    <n v="1290"/>
    <n v="48"/>
    <n v="0"/>
    <n v="0"/>
    <n v="1290"/>
    <n v="40"/>
    <n v="48"/>
    <n v="51600"/>
    <n v="0"/>
    <n v="51600"/>
    <n v="6730.434782608696"/>
    <n v="44869.565217391304"/>
    <s v="Cash"/>
    <n v="658"/>
    <s v="Flat Discount"/>
    <d v="2025-03-05T00:00:00"/>
    <s v="delivery system:sundarban courier "/>
    <x v="0"/>
    <s v="Synthetic"/>
    <x v="0"/>
    <x v="0"/>
    <x v="3"/>
    <n v="0"/>
    <x v="1"/>
    <n v="31092"/>
    <n v="13777.565217391304"/>
    <s v="O-45715-D-0001"/>
    <x v="0"/>
  </r>
  <r>
    <s v="F-191"/>
    <x v="32"/>
    <s v="D-0001"/>
    <x v="56"/>
    <s v="kushtia sadar"/>
    <n v="1715857748"/>
    <x v="4"/>
    <s v="Abdul Matin"/>
    <x v="10"/>
    <s v="Pangsha"/>
    <x v="12"/>
    <s v="3000 4T 20W50"/>
    <n v="60"/>
    <n v="480"/>
    <n v="60"/>
    <n v="0"/>
    <n v="0"/>
    <n v="480"/>
    <n v="60"/>
    <n v="60"/>
    <n v="28800"/>
    <n v="0"/>
    <n v="28800"/>
    <n v="3756.521739130435"/>
    <n v="25043.478260869564"/>
    <s v="Cash"/>
    <n v="658"/>
    <s v="Flat Discount"/>
    <d v="2025-03-05T00:00:00"/>
    <s v="delivery system:sundarban courier "/>
    <x v="0"/>
    <s v="Mineral"/>
    <x v="0"/>
    <x v="3"/>
    <x v="0"/>
    <n v="0"/>
    <x v="0"/>
    <n v="21895.200000000001"/>
    <n v="3148.2782608695634"/>
    <s v="O-45715-D-0001"/>
    <x v="0"/>
  </r>
  <r>
    <s v="F-192"/>
    <x v="32"/>
    <s v="D-0055"/>
    <x v="57"/>
    <s v="Motijhil"/>
    <s v="+88001679878727"/>
    <x v="5"/>
    <s v="Abdul Matin"/>
    <x v="23"/>
    <s v="Motijhil"/>
    <x v="12"/>
    <s v="3000 4T 20W50"/>
    <n v="2000"/>
    <n v="440"/>
    <n v="2000"/>
    <n v="0"/>
    <n v="0"/>
    <n v="440"/>
    <n v="2000"/>
    <n v="2000"/>
    <n v="880000"/>
    <n v="0"/>
    <n v="880000"/>
    <n v="114782.60869565218"/>
    <n v="765217.39130434778"/>
    <s v="Cash"/>
    <n v="659"/>
    <s v="Custom"/>
    <d v="2025-03-17T00:00:00"/>
    <s v="Special Price"/>
    <x v="0"/>
    <s v="Mineral"/>
    <x v="0"/>
    <x v="3"/>
    <x v="0"/>
    <n v="0"/>
    <x v="0"/>
    <n v="729840"/>
    <n v="35377.391304347781"/>
    <s v="O-45715-D-0055"/>
    <x v="0"/>
  </r>
  <r>
    <s v="F-193"/>
    <x v="32"/>
    <s v="D-0003"/>
    <x v="20"/>
    <s v="Taltola, Sylhet"/>
    <s v="01711-700652"/>
    <x v="3"/>
    <s v="Razur Rahman (Bipul)"/>
    <x v="8"/>
    <s v="Taltola"/>
    <x v="12"/>
    <s v="3000 4T 20W50"/>
    <n v="500"/>
    <n v="475"/>
    <n v="500"/>
    <n v="0"/>
    <n v="0"/>
    <n v="475"/>
    <n v="500"/>
    <n v="500"/>
    <n v="237500"/>
    <n v="0"/>
    <n v="237500"/>
    <n v="30978.260869565216"/>
    <n v="206521.73913043478"/>
    <s v="Cash"/>
    <n v="660"/>
    <s v="Flat Discount"/>
    <d v="2025-03-25T00:00:00"/>
    <s v="Special Rate"/>
    <x v="1"/>
    <s v="Mineral"/>
    <x v="0"/>
    <x v="3"/>
    <x v="0"/>
    <n v="0"/>
    <x v="0"/>
    <n v="182460"/>
    <n v="24061.739130434784"/>
    <s v="O-45715-D-0003"/>
    <x v="0"/>
  </r>
  <r>
    <s v="F-194"/>
    <x v="26"/>
    <m/>
    <x v="58"/>
    <s v=""/>
    <s v=""/>
    <x v="0"/>
    <s v="Abdul Matin"/>
    <x v="24"/>
    <s v=""/>
    <x v="23"/>
    <s v="2000 Multi Power 20W50"/>
    <m/>
    <n v="0"/>
    <m/>
    <s v=""/>
    <n v="2"/>
    <n v="0"/>
    <n v="2"/>
    <n v="8"/>
    <n v="0"/>
    <n v="0"/>
    <n v="0"/>
    <n v="0"/>
    <n v="0"/>
    <s v="free"/>
    <s v=""/>
    <s v="Custom"/>
    <d v="2025-02-16T00:00:00"/>
    <s v="Samples FOC to Vehicle Solution "/>
    <x v="0"/>
    <s v="Mineral"/>
    <x v="2"/>
    <x v="3"/>
    <x v="10"/>
    <n v="8"/>
    <x v="5"/>
    <n v="2190.9"/>
    <n v="-2190.9"/>
    <s v="O-45704-"/>
    <x v="0"/>
  </r>
  <r>
    <s v="F-194"/>
    <x v="26"/>
    <m/>
    <x v="58"/>
    <s v=""/>
    <s v=""/>
    <x v="0"/>
    <s v="Abdul Matin"/>
    <x v="24"/>
    <s v=""/>
    <x v="24"/>
    <s v="4000 Motion Plus 15W40"/>
    <m/>
    <n v="0"/>
    <m/>
    <s v=""/>
    <n v="2"/>
    <n v="0"/>
    <n v="2"/>
    <n v="8"/>
    <n v="0"/>
    <n v="0"/>
    <n v="0"/>
    <n v="0"/>
    <n v="0"/>
    <s v="free"/>
    <s v=""/>
    <s v="Custom"/>
    <d v="2025-02-16T00:00:00"/>
    <s v="Samples FOC to Vehicle Solution "/>
    <x v="0"/>
    <s v="Mineral"/>
    <x v="2"/>
    <x v="6"/>
    <x v="11"/>
    <n v="8"/>
    <x v="5"/>
    <n v="2645.54"/>
    <n v="-2645.54"/>
    <s v="O-45704-"/>
    <x v="0"/>
  </r>
  <r>
    <s v="F-196"/>
    <x v="33"/>
    <s v=""/>
    <x v="59"/>
    <s v=""/>
    <s v=""/>
    <x v="2"/>
    <s v="Captive Sales"/>
    <x v="25"/>
    <s v="Dhaka"/>
    <x v="10"/>
    <s v="Scooter LE 4T 10W30 HC-TECH®"/>
    <m/>
    <m/>
    <m/>
    <n v="0"/>
    <n v="1"/>
    <m/>
    <n v="1"/>
    <n v="0.8"/>
    <m/>
    <n v="0"/>
    <m/>
    <m/>
    <m/>
    <s v="free"/>
    <s v=""/>
    <s v="Custom"/>
    <d v="2025-03-02T00:00:00"/>
    <s v="Samples FOC to Head office"/>
    <x v="2"/>
    <s v="Mineral"/>
    <x v="0"/>
    <x v="0"/>
    <x v="4"/>
    <n v="0.8"/>
    <x v="3"/>
    <n v="333.33"/>
    <n v="-333.33"/>
    <s v="O-45718-"/>
    <x v="0"/>
  </r>
  <r>
    <s v="F-195"/>
    <x v="30"/>
    <s v=""/>
    <x v="59"/>
    <s v=""/>
    <s v=""/>
    <x v="2"/>
    <s v="Captive Sales"/>
    <x v="25"/>
    <s v="Dhaka"/>
    <x v="12"/>
    <s v="3000 4T 20W50"/>
    <m/>
    <m/>
    <m/>
    <n v="0"/>
    <n v="2"/>
    <m/>
    <n v="2"/>
    <n v="2"/>
    <m/>
    <n v="0"/>
    <m/>
    <m/>
    <m/>
    <s v="free"/>
    <s v=""/>
    <s v="Custom"/>
    <d v="2025-03-02T00:00:00"/>
    <s v="Samples FOC to Head office"/>
    <x v="2"/>
    <s v="Mineral"/>
    <x v="0"/>
    <x v="3"/>
    <x v="0"/>
    <n v="2"/>
    <x v="0"/>
    <n v="729.84"/>
    <n v="-729.84"/>
    <s v="O-45713-"/>
    <x v="0"/>
  </r>
  <r>
    <s v="F-197"/>
    <x v="33"/>
    <s v="D-0006"/>
    <x v="18"/>
    <s v=""/>
    <s v=""/>
    <x v="0"/>
    <s v="Abdul Matin"/>
    <x v="7"/>
    <s v="Savar"/>
    <x v="1"/>
    <s v="3000 4T PLUS 20W40"/>
    <n v="300"/>
    <n v="535"/>
    <n v="300"/>
    <n v="1.3084112149532756E-2"/>
    <n v="0"/>
    <n v="528"/>
    <n v="300"/>
    <n v="300"/>
    <n v="160500"/>
    <n v="2100"/>
    <n v="158400"/>
    <n v="20660.869565217392"/>
    <n v="137739.13043478262"/>
    <s v="Cash"/>
    <n v="661"/>
    <s v="Regular"/>
    <d v="2025-03-02T00:00:00"/>
    <s v="Special rate , 7tk/ltr discount"/>
    <x v="0"/>
    <s v="Mineral"/>
    <x v="0"/>
    <x v="1"/>
    <x v="0"/>
    <n v="0"/>
    <x v="0"/>
    <n v="123828"/>
    <n v="13911.130434782623"/>
    <s v="O-45718-D-0006"/>
    <x v="0"/>
  </r>
  <r>
    <s v="F-198"/>
    <x v="34"/>
    <s v="D-0023"/>
    <x v="60"/>
    <s v="G.L.Ray Road,Rangpur Sadar"/>
    <n v="1717220333"/>
    <x v="6"/>
    <s v="Raihan Siddiqui"/>
    <x v="9"/>
    <s v="Rangpur"/>
    <x v="1"/>
    <s v="3000 4T PLUS 20W40"/>
    <n v="20"/>
    <n v="535"/>
    <n v="20"/>
    <n v="9.3457943925233655E-3"/>
    <n v="0"/>
    <n v="530"/>
    <n v="20"/>
    <n v="20"/>
    <n v="10700"/>
    <n v="0"/>
    <n v="10600"/>
    <n v="1382.608695652174"/>
    <n v="9217.391304347826"/>
    <s v="Cash"/>
    <n v="662"/>
    <s v="Regular"/>
    <d v="2025-03-05T00:00:00"/>
    <s v=""/>
    <x v="3"/>
    <s v="Mineral"/>
    <x v="0"/>
    <x v="1"/>
    <x v="0"/>
    <n v="0"/>
    <x v="0"/>
    <n v="8255.2000000000007"/>
    <n v="962.19130434782528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2"/>
    <s v="3000 4T PLUS 10W40"/>
    <n v="20"/>
    <n v="545"/>
    <n v="20"/>
    <n v="9.1743119266054496E-3"/>
    <n v="0"/>
    <n v="540"/>
    <n v="20"/>
    <n v="20"/>
    <n v="10900"/>
    <n v="0"/>
    <n v="10800"/>
    <n v="1408.695652173913"/>
    <n v="9391.3043478260861"/>
    <s v="Cash"/>
    <n v="662"/>
    <s v="Regular"/>
    <d v="2025-03-05T00:00:00"/>
    <s v=""/>
    <x v="3"/>
    <s v="Mineral"/>
    <x v="0"/>
    <x v="2"/>
    <x v="0"/>
    <n v="0"/>
    <x v="0"/>
    <n v="7697"/>
    <n v="1694.3043478260861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5"/>
    <s v="31004T GOLD 20W50"/>
    <n v="20"/>
    <n v="595"/>
    <n v="20"/>
    <n v="8.4033613445377853E-3"/>
    <n v="0"/>
    <n v="590"/>
    <n v="20"/>
    <n v="20"/>
    <n v="11900"/>
    <n v="0"/>
    <n v="11800"/>
    <n v="1539.1304347826087"/>
    <n v="10260.869565217392"/>
    <s v="Cash"/>
    <n v="662"/>
    <s v="Regular"/>
    <d v="2025-03-05T00:00:00"/>
    <s v=""/>
    <x v="3"/>
    <s v="Technosynthese"/>
    <x v="0"/>
    <x v="3"/>
    <x v="1"/>
    <n v="0"/>
    <x v="0"/>
    <n v="9387.7999999999993"/>
    <n v="873.06956521739266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21"/>
    <s v="31004T GOLD 10W30"/>
    <n v="20"/>
    <n v="600"/>
    <n v="20"/>
    <n v="8.3333333333333037E-3"/>
    <n v="0"/>
    <n v="595"/>
    <n v="20"/>
    <n v="20"/>
    <n v="12000"/>
    <n v="0"/>
    <n v="11900"/>
    <n v="1552.1739130434783"/>
    <n v="10347.826086956522"/>
    <s v="Cash"/>
    <n v="662"/>
    <s v="Regular"/>
    <d v="2025-03-05T00:00:00"/>
    <s v=""/>
    <x v="3"/>
    <s v="Technosynthese"/>
    <x v="0"/>
    <x v="0"/>
    <x v="1"/>
    <n v="0"/>
    <x v="0"/>
    <n v="8502"/>
    <n v="1845.826086956522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7"/>
    <s v="7100 4T 10W30 ESTER CORE®"/>
    <n v="12"/>
    <n v="1075"/>
    <n v="12"/>
    <n v="4.6511627906976605E-3"/>
    <n v="0"/>
    <n v="1070"/>
    <n v="12"/>
    <n v="12"/>
    <n v="12900"/>
    <n v="0"/>
    <n v="12840"/>
    <n v="1674.7826086956522"/>
    <n v="11165.217391304348"/>
    <s v="Cash"/>
    <n v="662"/>
    <s v="Regular"/>
    <d v="2025-03-05T00:00:00"/>
    <s v=""/>
    <x v="3"/>
    <s v="Synthetic"/>
    <x v="0"/>
    <x v="0"/>
    <x v="3"/>
    <n v="0"/>
    <x v="2"/>
    <n v="8278.32"/>
    <n v="2886.8973913043483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9"/>
    <s v="7100 4T 20W50 ESTER CORE®"/>
    <n v="12"/>
    <n v="1075"/>
    <n v="12"/>
    <n v="4.6511627906976605E-3"/>
    <n v="0"/>
    <n v="1070"/>
    <n v="12"/>
    <n v="12"/>
    <n v="12900"/>
    <n v="0"/>
    <n v="12840"/>
    <n v="1674.7826086956522"/>
    <n v="11165.217391304348"/>
    <s v="Cash"/>
    <n v="662"/>
    <s v="Regular"/>
    <d v="2025-03-05T00:00:00"/>
    <s v=""/>
    <x v="3"/>
    <s v="Synthetic"/>
    <x v="0"/>
    <x v="3"/>
    <x v="3"/>
    <n v="0"/>
    <x v="2"/>
    <n v="9164.380799999999"/>
    <n v="2000.836591304349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12"/>
    <s v="3000 4T 20W50"/>
    <n v="20"/>
    <n v="495"/>
    <n v="20"/>
    <n v="1.0101010101010055E-2"/>
    <n v="0"/>
    <n v="490"/>
    <n v="20"/>
    <n v="20"/>
    <n v="9900"/>
    <n v="0"/>
    <n v="9800"/>
    <n v="1278.2608695652175"/>
    <n v="8521.7391304347821"/>
    <s v="Cash"/>
    <n v="662"/>
    <s v="Regular"/>
    <d v="2025-03-05T00:00:00"/>
    <s v=""/>
    <x v="3"/>
    <s v="Mineral"/>
    <x v="0"/>
    <x v="3"/>
    <x v="0"/>
    <n v="0"/>
    <x v="0"/>
    <n v="7298.4000000000005"/>
    <n v="1223.3391304347815"/>
    <s v="O-45720-D-0023"/>
    <x v="0"/>
  </r>
  <r>
    <s v="F-198"/>
    <x v="34"/>
    <s v="D-0023"/>
    <x v="60"/>
    <s v="G.L.Ray Road,Rangpur Sadar"/>
    <n v="1717220333"/>
    <x v="6"/>
    <s v="Raihan Siddiqui"/>
    <x v="9"/>
    <s v="Rangpur"/>
    <x v="15"/>
    <s v="3000 4T 20W50"/>
    <n v="20"/>
    <n v="595"/>
    <n v="24"/>
    <n v="8.4033613445377853E-3"/>
    <n v="0"/>
    <n v="590"/>
    <n v="20"/>
    <n v="24"/>
    <n v="11900"/>
    <n v="0"/>
    <n v="11800"/>
    <n v="1539.1304347826087"/>
    <n v="10260.869565217392"/>
    <s v="Cash"/>
    <n v="662"/>
    <s v="Regular"/>
    <d v="2025-03-05T00:00:00"/>
    <s v=""/>
    <x v="3"/>
    <s v="Mineral"/>
    <x v="0"/>
    <x v="3"/>
    <x v="0"/>
    <n v="0"/>
    <x v="1"/>
    <n v="8692.2000000000007"/>
    <n v="1568.6695652173912"/>
    <s v="O-45720-D-0023"/>
    <x v="0"/>
  </r>
  <r>
    <s v="F-199"/>
    <x v="35"/>
    <s v="D-0005"/>
    <x v="61"/>
    <s v="2/4/2 IDS Chairman Park, Flat: C-6, South Kollyanpur, Dhaka-1207"/>
    <s v="01715 717801"/>
    <x v="7"/>
    <s v="Raihan Siddiqui"/>
    <x v="19"/>
    <s v="Rajshahi Sadar"/>
    <x v="26"/>
    <s v="ECO TEC Plus 5W30"/>
    <n v="12"/>
    <n v="2600"/>
    <n v="48"/>
    <n v="0"/>
    <n v="0"/>
    <n v="2600"/>
    <n v="12"/>
    <n v="48"/>
    <n v="31200"/>
    <n v="0"/>
    <n v="31200"/>
    <n v="4069.5652173913045"/>
    <n v="27130.434782608696"/>
    <s v="Cash"/>
    <n v="663"/>
    <s v="Regular"/>
    <d v="2025-03-05T00:00:00"/>
    <s v=""/>
    <x v="3"/>
    <s v="Synthetic"/>
    <x v="2"/>
    <x v="8"/>
    <x v="12"/>
    <n v="0"/>
    <x v="5"/>
    <n v="22707.239999999998"/>
    <n v="4423.194782608698"/>
    <s v="O-45721-D-0005"/>
    <x v="0"/>
  </r>
  <r>
    <s v="F-200"/>
    <x v="35"/>
    <s v="D-0001"/>
    <x v="62"/>
    <s v="pangsha"/>
    <n v="1711154387"/>
    <x v="4"/>
    <s v="Abdul Matin"/>
    <x v="10"/>
    <s v="Pangsha"/>
    <x v="0"/>
    <s v="3000 4T PLUS 10W30"/>
    <n v="400"/>
    <n v="520"/>
    <n v="400"/>
    <n v="0"/>
    <n v="0"/>
    <n v="520"/>
    <n v="400"/>
    <n v="400"/>
    <n v="208000"/>
    <n v="0"/>
    <n v="208000"/>
    <n v="27130.434782608696"/>
    <n v="180869.5652173913"/>
    <s v="Cash"/>
    <n v="664"/>
    <s v="Flat Discount"/>
    <d v="2025-03-05T00:00:00"/>
    <s v=""/>
    <x v="0"/>
    <s v="Mineral"/>
    <x v="0"/>
    <x v="0"/>
    <x v="0"/>
    <n v="0"/>
    <x v="0"/>
    <n v="151732"/>
    <n v="29137.565217391297"/>
    <s v="O-45721-D-0001"/>
    <x v="0"/>
  </r>
  <r>
    <s v="F-200"/>
    <x v="35"/>
    <s v="D-0001"/>
    <x v="62"/>
    <s v="pangsha"/>
    <n v="1711154387"/>
    <x v="4"/>
    <s v="Abdul Matin"/>
    <x v="10"/>
    <s v="Pangsha"/>
    <x v="2"/>
    <s v="3000 4T PLUS 10W40"/>
    <n v="1600"/>
    <n v="520"/>
    <n v="1600"/>
    <n v="0"/>
    <n v="0"/>
    <n v="520"/>
    <n v="1600"/>
    <n v="1600"/>
    <n v="832000"/>
    <n v="0"/>
    <n v="832000"/>
    <n v="108521.73913043478"/>
    <n v="723478.26086956519"/>
    <s v="Cash"/>
    <n v="664"/>
    <s v="Flat Discount"/>
    <d v="2025-03-05T00:00:00"/>
    <s v=""/>
    <x v="0"/>
    <s v="Mineral"/>
    <x v="0"/>
    <x v="2"/>
    <x v="0"/>
    <n v="0"/>
    <x v="0"/>
    <n v="615760"/>
    <n v="107718.26086956519"/>
    <s v="O-45721-D-0001"/>
    <x v="0"/>
  </r>
  <r>
    <s v="F-200"/>
    <x v="35"/>
    <s v="D-0001"/>
    <x v="62"/>
    <s v="pangsha"/>
    <n v="1711154387"/>
    <x v="4"/>
    <s v="Abdul Matin"/>
    <x v="10"/>
    <s v="Pangsha"/>
    <x v="18"/>
    <s v="Inugel Expert Coolant"/>
    <n v="120"/>
    <n v="420"/>
    <n v="120"/>
    <n v="0"/>
    <n v="0"/>
    <n v="420"/>
    <n v="120"/>
    <n v="120"/>
    <n v="50400"/>
    <n v="0"/>
    <n v="50400"/>
    <n v="6573.913043478261"/>
    <n v="43826.086956521736"/>
    <s v="Cash"/>
    <n v="664"/>
    <s v="Flat Discount"/>
    <d v="2025-03-05T00:00:00"/>
    <s v=""/>
    <x v="0"/>
    <s v="Care Products"/>
    <x v="1"/>
    <x v="4"/>
    <x v="9"/>
    <n v="0"/>
    <x v="0"/>
    <n v="27676.799999999999"/>
    <n v="16149.286956521737"/>
    <s v="O-45721-D-0001"/>
    <x v="0"/>
  </r>
  <r>
    <s v="Fs-171"/>
    <x v="36"/>
    <s v="D-0006"/>
    <x v="63"/>
    <s v="Mohammadpur"/>
    <s v=""/>
    <x v="0"/>
    <s v="Abdul Matin"/>
    <x v="7"/>
    <s v="Savar"/>
    <x v="0"/>
    <s v="3000 4T PLUS 10W30"/>
    <n v="40"/>
    <n v="545"/>
    <n v="40"/>
    <n v="0"/>
    <n v="0"/>
    <n v="545"/>
    <n v="40"/>
    <n v="40"/>
    <n v="21800"/>
    <n v="0"/>
    <n v="21800"/>
    <n v="2843.478260869565"/>
    <n v="18956.521739130436"/>
    <s v="Cash"/>
    <s v=""/>
    <s v="Custom"/>
    <s v=""/>
    <s v="Customized priced"/>
    <x v="0"/>
    <s v="Mineral"/>
    <x v="0"/>
    <x v="0"/>
    <x v="0"/>
    <n v="0"/>
    <x v="0"/>
    <n v="15173.199999999999"/>
    <n v="3783.321739130437"/>
    <s v="O-47847-D-0006"/>
    <x v="1"/>
  </r>
  <r>
    <s v="Fs-171"/>
    <x v="36"/>
    <s v="D-0006"/>
    <x v="63"/>
    <s v="Mohammadpur"/>
    <s v=""/>
    <x v="0"/>
    <s v="Abdul Matin"/>
    <x v="7"/>
    <s v="Savar"/>
    <x v="1"/>
    <s v="3000 4T PLUS 20W40"/>
    <n v="20"/>
    <n v="545"/>
    <n v="20"/>
    <n v="0"/>
    <n v="0"/>
    <n v="545"/>
    <n v="20"/>
    <n v="20"/>
    <n v="10900"/>
    <n v="0"/>
    <n v="10900"/>
    <n v="1421.7391304347825"/>
    <n v="9478.2608695652179"/>
    <s v="Cash"/>
    <s v=""/>
    <s v="Custom"/>
    <s v=""/>
    <s v="Customized priced"/>
    <x v="0"/>
    <s v="Mineral"/>
    <x v="0"/>
    <x v="1"/>
    <x v="0"/>
    <n v="0"/>
    <x v="0"/>
    <n v="8255.2000000000007"/>
    <n v="1223.0608695652172"/>
    <s v="O-47847-D-0006"/>
    <x v="1"/>
  </r>
  <r>
    <s v="Fs-171"/>
    <x v="36"/>
    <s v="D-0006"/>
    <x v="63"/>
    <s v="Mohammadpur"/>
    <s v=""/>
    <x v="0"/>
    <s v="Abdul Matin"/>
    <x v="7"/>
    <s v="Savar"/>
    <x v="2"/>
    <s v="3000 4T PLUS 10W40"/>
    <n v="200"/>
    <n v="545"/>
    <n v="200"/>
    <n v="0"/>
    <n v="0"/>
    <n v="545"/>
    <n v="200"/>
    <n v="200"/>
    <n v="109000"/>
    <n v="0"/>
    <n v="109000"/>
    <n v="14217.391304347826"/>
    <n v="94782.608695652176"/>
    <s v="Cash"/>
    <s v=""/>
    <s v="Custom"/>
    <s v=""/>
    <s v="Customized priced"/>
    <x v="0"/>
    <s v="Mineral"/>
    <x v="0"/>
    <x v="2"/>
    <x v="0"/>
    <n v="0"/>
    <x v="0"/>
    <n v="76970"/>
    <n v="17812.608695652176"/>
    <s v="O-47847-D-0006"/>
    <x v="1"/>
  </r>
  <r>
    <s v="Fs-171"/>
    <x v="36"/>
    <s v="D-0006"/>
    <x v="63"/>
    <s v="Mohammadpur"/>
    <s v=""/>
    <x v="0"/>
    <s v="Abdul Matin"/>
    <x v="7"/>
    <s v="Savar"/>
    <x v="4"/>
    <s v="3000 4T PLUS 20W40"/>
    <n v="20"/>
    <n v="665"/>
    <n v="24"/>
    <n v="-2.2204460492503131E-16"/>
    <n v="0"/>
    <n v="665.00000000000011"/>
    <n v="20"/>
    <n v="24"/>
    <n v="13300"/>
    <n v="0"/>
    <n v="13300.000000000002"/>
    <n v="1734.7826086956525"/>
    <n v="11565.21739130435"/>
    <s v="Cash"/>
    <s v=""/>
    <s v="Custom"/>
    <s v=""/>
    <s v="Customized priced"/>
    <x v="0"/>
    <s v="Mineral"/>
    <x v="0"/>
    <x v="1"/>
    <x v="0"/>
    <n v="0"/>
    <x v="1"/>
    <n v="9397.9559070121941"/>
    <n v="2167.2614842921557"/>
    <s v="O-47847-D-0006"/>
    <x v="1"/>
  </r>
  <r>
    <s v="Fs-171"/>
    <x v="36"/>
    <s v="D-0006"/>
    <x v="63"/>
    <s v="Mohammadpur"/>
    <s v=""/>
    <x v="0"/>
    <s v="Abdul Matin"/>
    <x v="7"/>
    <s v="Savar"/>
    <x v="6"/>
    <s v="51004T 10W40 ESTER"/>
    <n v="24"/>
    <n v="870"/>
    <n v="24"/>
    <n v="0"/>
    <n v="0"/>
    <n v="870"/>
    <n v="24"/>
    <n v="24"/>
    <n v="20880"/>
    <n v="0"/>
    <n v="20880"/>
    <n v="2723.478260869565"/>
    <n v="18156.521739130436"/>
    <s v="Cash"/>
    <s v=""/>
    <s v="Custom"/>
    <s v=""/>
    <s v="Customized priced"/>
    <x v="0"/>
    <s v="Technosynthese"/>
    <x v="0"/>
    <x v="2"/>
    <x v="2"/>
    <n v="0"/>
    <x v="2"/>
    <n v="14599.920000000002"/>
    <n v="3556.601739130434"/>
    <s v="O-47847-D-0006"/>
    <x v="1"/>
  </r>
  <r>
    <s v="Fs-171"/>
    <x v="36"/>
    <s v="D-0006"/>
    <x v="63"/>
    <s v="Mohammadpur"/>
    <s v=""/>
    <x v="0"/>
    <s v="Abdul Matin"/>
    <x v="7"/>
    <s v="Savar"/>
    <x v="7"/>
    <s v="7100 4T 10W30 ESTER CORE®"/>
    <n v="24"/>
    <n v="1080"/>
    <n v="24"/>
    <n v="0"/>
    <n v="0"/>
    <n v="1080"/>
    <n v="24"/>
    <n v="24"/>
    <n v="25920"/>
    <n v="0"/>
    <n v="25920"/>
    <n v="3380.8695652173915"/>
    <n v="22539.130434782608"/>
    <s v="Cash"/>
    <s v=""/>
    <s v="Custom"/>
    <s v=""/>
    <s v="Customized priced"/>
    <x v="0"/>
    <s v="Synthetic"/>
    <x v="0"/>
    <x v="0"/>
    <x v="3"/>
    <n v="0"/>
    <x v="2"/>
    <n v="16556.64"/>
    <n v="5982.4904347826086"/>
    <s v="O-47847-D-0006"/>
    <x v="1"/>
  </r>
  <r>
    <s v="Fs-171"/>
    <x v="36"/>
    <s v="D-0006"/>
    <x v="63"/>
    <s v="Mohammadpur"/>
    <s v=""/>
    <x v="0"/>
    <s v="Abdul Matin"/>
    <x v="7"/>
    <s v="Savar"/>
    <x v="9"/>
    <s v="7100 4T 20W50 ESTER CORE®"/>
    <n v="36"/>
    <n v="1080"/>
    <n v="36"/>
    <n v="0"/>
    <n v="0"/>
    <n v="1080"/>
    <n v="36"/>
    <n v="36"/>
    <n v="38880"/>
    <n v="0"/>
    <n v="38880"/>
    <n v="5071.304347826087"/>
    <n v="33808.695652173912"/>
    <s v="Cash"/>
    <s v=""/>
    <s v="Custom"/>
    <s v=""/>
    <s v="Customized priced"/>
    <x v="0"/>
    <s v="Synthetic"/>
    <x v="0"/>
    <x v="3"/>
    <x v="3"/>
    <n v="0"/>
    <x v="2"/>
    <n v="27493.142400000001"/>
    <n v="6315.5532521739115"/>
    <s v="O-47847-D-0006"/>
    <x v="1"/>
  </r>
  <r>
    <s v="Fs-171"/>
    <x v="36"/>
    <s v="D-0006"/>
    <x v="63"/>
    <s v="Mohammadpur"/>
    <s v=""/>
    <x v="0"/>
    <s v="Abdul Matin"/>
    <x v="7"/>
    <s v="Savar"/>
    <x v="15"/>
    <s v="3000 4T 20W50"/>
    <n v="40"/>
    <n v="595"/>
    <n v="48"/>
    <n v="0"/>
    <n v="0"/>
    <n v="595"/>
    <n v="40"/>
    <n v="48"/>
    <n v="23800"/>
    <n v="0"/>
    <n v="23800"/>
    <n v="3104.3478260869565"/>
    <n v="20695.652173913044"/>
    <s v="Cash"/>
    <s v=""/>
    <s v="Custom"/>
    <s v=""/>
    <s v="Customized priced"/>
    <x v="0"/>
    <s v="Mineral"/>
    <x v="0"/>
    <x v="3"/>
    <x v="0"/>
    <n v="0"/>
    <x v="1"/>
    <n v="17384.400000000001"/>
    <n v="3311.2521739130425"/>
    <s v="O-47847-D-0006"/>
    <x v="1"/>
  </r>
  <r>
    <s v="F-202"/>
    <x v="35"/>
    <s v="D-0003"/>
    <x v="14"/>
    <s v="Kodalipol, Moulvibazar"/>
    <s v="01784-667321"/>
    <x v="3"/>
    <s v="Razur Rahman (Bipul)"/>
    <x v="8"/>
    <s v="Taltola"/>
    <x v="0"/>
    <s v="3000 4T PLUS 10W30"/>
    <n v="20"/>
    <n v="535"/>
    <n v="20"/>
    <n v="0"/>
    <n v="0"/>
    <n v="535"/>
    <n v="20"/>
    <n v="20"/>
    <n v="10700"/>
    <n v="0"/>
    <n v="10700"/>
    <n v="1395.6521739130435"/>
    <n v="9304.347826086956"/>
    <s v="Cash"/>
    <n v="666"/>
    <s v="Flat Discount"/>
    <d v="2025-03-06T00:00:00"/>
    <s v=""/>
    <x v="1"/>
    <s v="Mineral"/>
    <x v="0"/>
    <x v="0"/>
    <x v="0"/>
    <n v="0"/>
    <x v="0"/>
    <n v="7586.5999999999995"/>
    <n v="1717.7478260869566"/>
    <s v="O-45721-D-0003"/>
    <x v="0"/>
  </r>
  <r>
    <s v="F-202"/>
    <x v="35"/>
    <s v="D-0003"/>
    <x v="14"/>
    <s v="Kodalipol, Moulvibazar"/>
    <s v="01784-667321"/>
    <x v="3"/>
    <s v="Razur Rahman (Bipul)"/>
    <x v="8"/>
    <s v="Taltola"/>
    <x v="2"/>
    <s v="3000 4T PLUS 10W40"/>
    <n v="100"/>
    <n v="535"/>
    <n v="100"/>
    <n v="0"/>
    <n v="0"/>
    <n v="535"/>
    <n v="100"/>
    <n v="100"/>
    <n v="53500"/>
    <n v="0"/>
    <n v="53500"/>
    <n v="6978.260869565217"/>
    <n v="46521.739130434784"/>
    <s v="Cash"/>
    <n v="666"/>
    <s v="Flat Discount"/>
    <d v="2025-03-06T00:00:00"/>
    <s v=""/>
    <x v="1"/>
    <s v="Mineral"/>
    <x v="0"/>
    <x v="2"/>
    <x v="0"/>
    <n v="0"/>
    <x v="0"/>
    <n v="38485"/>
    <n v="8036.7391304347839"/>
    <s v="O-45721-D-0003"/>
    <x v="0"/>
  </r>
  <r>
    <s v="F-202"/>
    <x v="35"/>
    <s v="D-0003"/>
    <x v="14"/>
    <s v="Kodalipol, Moulvibazar"/>
    <s v="01784-667321"/>
    <x v="3"/>
    <s v="Razur Rahman (Bipul)"/>
    <x v="8"/>
    <s v="Taltola"/>
    <x v="11"/>
    <s v="7100 4T 10W30 ESTER CORE®"/>
    <n v="20"/>
    <n v="1270"/>
    <n v="24"/>
    <n v="0"/>
    <n v="0"/>
    <n v="1270"/>
    <n v="20"/>
    <n v="24"/>
    <n v="25400"/>
    <n v="0"/>
    <n v="25400"/>
    <n v="3313.0434782608695"/>
    <n v="22086.956521739132"/>
    <s v="Cash"/>
    <n v="666"/>
    <s v="Flat Discount"/>
    <d v="2025-03-06T00:00:00"/>
    <s v=""/>
    <x v="1"/>
    <s v="Synthetic"/>
    <x v="0"/>
    <x v="0"/>
    <x v="3"/>
    <n v="0"/>
    <x v="1"/>
    <n v="15546"/>
    <n v="6540.9565217391319"/>
    <s v="O-45721-D-0003"/>
    <x v="0"/>
  </r>
  <r>
    <s v="F-201"/>
    <x v="35"/>
    <s v="D-0003"/>
    <x v="8"/>
    <s v="Naiorpol, Sylhet"/>
    <s v="01925-707502"/>
    <x v="3"/>
    <s v="Razur Rahman (Bipul)"/>
    <x v="8"/>
    <s v="Taltola"/>
    <x v="2"/>
    <s v="3000 4T PLUS 10W40"/>
    <n v="80"/>
    <n v="530"/>
    <n v="80"/>
    <n v="0"/>
    <n v="0"/>
    <n v="530"/>
    <n v="80"/>
    <n v="80"/>
    <n v="42400"/>
    <n v="0"/>
    <n v="42400"/>
    <n v="5530.434782608696"/>
    <n v="36869.565217391304"/>
    <s v="Cash"/>
    <n v="665"/>
    <s v="Regular"/>
    <d v="2025-03-06T00:00:00"/>
    <s v=""/>
    <x v="1"/>
    <s v="Mineral"/>
    <x v="0"/>
    <x v="2"/>
    <x v="0"/>
    <n v="0"/>
    <x v="0"/>
    <n v="30788"/>
    <n v="6081.565217391304"/>
    <s v="O-45721-D-0003"/>
    <x v="0"/>
  </r>
  <r>
    <s v="F-201"/>
    <x v="35"/>
    <s v="D-0003"/>
    <x v="8"/>
    <s v="Naiorpol, Sylhet"/>
    <s v="01925-707502"/>
    <x v="3"/>
    <s v="Razur Rahman (Bipul)"/>
    <x v="8"/>
    <s v="Taltola"/>
    <x v="12"/>
    <s v="3000 4T 20W50"/>
    <n v="20"/>
    <n v="470"/>
    <n v="20"/>
    <n v="0"/>
    <n v="0"/>
    <n v="470"/>
    <n v="20"/>
    <n v="20"/>
    <n v="9400"/>
    <n v="0"/>
    <n v="9400"/>
    <n v="1226.0869565217392"/>
    <n v="8173.913043478261"/>
    <s v="Cash"/>
    <n v="665"/>
    <s v="Regular"/>
    <d v="2025-03-06T00:00:00"/>
    <s v=""/>
    <x v="1"/>
    <s v="Mineral"/>
    <x v="0"/>
    <x v="3"/>
    <x v="0"/>
    <n v="0"/>
    <x v="0"/>
    <n v="7298.4000000000005"/>
    <n v="875.51304347826044"/>
    <s v="O-45721-D-0003"/>
    <x v="0"/>
  </r>
  <r>
    <s v="Fs-178"/>
    <x v="37"/>
    <s v="D-0028"/>
    <x v="64"/>
    <s v=""/>
    <s v=""/>
    <x v="2"/>
    <s v="Captive Sales"/>
    <x v="26"/>
    <s v="Dhaka"/>
    <x v="48"/>
    <s v="Agri Super 15W40"/>
    <n v="214"/>
    <n v="660"/>
    <n v="214"/>
    <n v="0.22727272727272729"/>
    <n v="0"/>
    <n v="510"/>
    <n v="214"/>
    <n v="214"/>
    <n v="141240"/>
    <n v="0"/>
    <n v="109140"/>
    <n v="14235.652173913044"/>
    <n v="94904.34782608696"/>
    <s v="Cash"/>
    <s v=""/>
    <s v="Custom"/>
    <s v=""/>
    <s v="Customized price"/>
    <x v="2"/>
    <s v="Mineral"/>
    <x v="4"/>
    <x v="6"/>
    <x v="19"/>
    <n v="0"/>
    <x v="0"/>
    <n v="85219.08"/>
    <n v="9685.2678260869579"/>
    <s v="O-47848-D-0028"/>
    <x v="1"/>
  </r>
  <r>
    <s v="Fs-179"/>
    <x v="37"/>
    <s v="D-0028"/>
    <x v="64"/>
    <s v=""/>
    <s v=""/>
    <x v="2"/>
    <s v="Captive Sales"/>
    <x v="26"/>
    <s v="Dhaka"/>
    <x v="48"/>
    <s v="Agri Super 15W40"/>
    <n v="227"/>
    <n v="660"/>
    <n v="227"/>
    <n v="0.22727272727272729"/>
    <n v="0"/>
    <n v="510"/>
    <n v="227"/>
    <n v="227"/>
    <n v="149820"/>
    <n v="0"/>
    <n v="115770"/>
    <n v="15100.434782608696"/>
    <n v="100669.56521739131"/>
    <s v="Cash"/>
    <s v=""/>
    <s v="Custom"/>
    <s v=""/>
    <s v="Customized price"/>
    <x v="2"/>
    <s v="Mineral"/>
    <x v="4"/>
    <x v="6"/>
    <x v="19"/>
    <n v="0"/>
    <x v="0"/>
    <n v="90395.94"/>
    <n v="10273.625217391309"/>
    <s v="O-47848-D-0028"/>
    <x v="1"/>
  </r>
  <r>
    <s v="Fs-179"/>
    <x v="37"/>
    <s v="D-0028"/>
    <x v="64"/>
    <s v=""/>
    <s v=""/>
    <x v="2"/>
    <s v="Captive Sales"/>
    <x v="26"/>
    <s v="Dhaka"/>
    <x v="49"/>
    <s v="Agri Super 15W40"/>
    <n v="2"/>
    <n v="3100"/>
    <n v="10"/>
    <n v="0.1806451612903226"/>
    <n v="0"/>
    <n v="2540"/>
    <n v="2"/>
    <n v="10"/>
    <n v="6200"/>
    <n v="0"/>
    <n v="5080"/>
    <n v="662.60869565217388"/>
    <n v="4417.391304347826"/>
    <s v="Cash"/>
    <s v=""/>
    <s v="Custom"/>
    <s v=""/>
    <s v="Customized price"/>
    <x v="2"/>
    <s v="Mineral"/>
    <x v="4"/>
    <x v="6"/>
    <x v="19"/>
    <n v="0"/>
    <x v="18"/>
    <n v="3917.38"/>
    <n v="500.0113043478259"/>
    <s v="O-47848-D-0028"/>
    <x v="1"/>
  </r>
  <r>
    <s v="F-204"/>
    <x v="38"/>
    <s v="D-0013"/>
    <x v="65"/>
    <s v="Doyagannj"/>
    <s v="+88001914870347"/>
    <x v="5"/>
    <s v="Abdul Matin"/>
    <x v="27"/>
    <s v="Wari "/>
    <x v="0"/>
    <s v="3000 4T PLUS 10W30"/>
    <n v="300"/>
    <n v="540"/>
    <n v="300"/>
    <n v="3.7518195050946224E-2"/>
    <n v="0"/>
    <n v="519.74017467248905"/>
    <n v="300"/>
    <n v="300"/>
    <n v="162000"/>
    <n v="0"/>
    <n v="155922.05240174671"/>
    <n v="20337.659008923485"/>
    <n v="135584.39339282323"/>
    <s v="Cash"/>
    <n v="668"/>
    <s v="Flat Discount"/>
    <d v="2025-03-11T00:00:00"/>
    <s v="Special Flat Discount 46,365tk on Regular price"/>
    <x v="0"/>
    <s v="Mineral"/>
    <x v="0"/>
    <x v="0"/>
    <x v="0"/>
    <n v="0"/>
    <x v="0"/>
    <n v="113799"/>
    <n v="21785.393392823229"/>
    <s v="O-45726-D-0013"/>
    <x v="0"/>
  </r>
  <r>
    <s v="F-204"/>
    <x v="38"/>
    <s v="D-0013"/>
    <x v="65"/>
    <s v="Doyagannj"/>
    <s v="+88001914870347"/>
    <x v="5"/>
    <s v="Abdul Matin"/>
    <x v="27"/>
    <s v="Wari "/>
    <x v="1"/>
    <s v="3000 4T PLUS 20W40"/>
    <n v="500"/>
    <n v="535"/>
    <n v="500"/>
    <n v="3.7868832387870976E-2"/>
    <n v="0"/>
    <n v="514.74017467248905"/>
    <n v="500"/>
    <n v="500"/>
    <n v="267500"/>
    <n v="0"/>
    <n v="257370.08733624453"/>
    <n v="33570.011391684071"/>
    <n v="223800.07594456043"/>
    <s v="Cash"/>
    <n v="668"/>
    <s v="Flat Discount"/>
    <d v="2025-03-11T00:00:00"/>
    <s v="Special Flat Discount 46,365tk on Regular price"/>
    <x v="0"/>
    <s v="Mineral"/>
    <x v="0"/>
    <x v="1"/>
    <x v="0"/>
    <n v="0"/>
    <x v="0"/>
    <n v="206380"/>
    <n v="17420.075944560434"/>
    <s v="O-45726-D-0013"/>
    <x v="0"/>
  </r>
  <r>
    <s v="F-204"/>
    <x v="38"/>
    <s v="D-0013"/>
    <x v="65"/>
    <s v="Doyagannj"/>
    <s v="+88001914870347"/>
    <x v="5"/>
    <s v="Abdul Matin"/>
    <x v="27"/>
    <s v="Wari "/>
    <x v="2"/>
    <s v="3000 4T PLUS 10W40"/>
    <n v="400"/>
    <n v="550"/>
    <n v="400"/>
    <n v="3.6836046050019888E-2"/>
    <n v="0"/>
    <n v="529.74017467248905"/>
    <n v="400"/>
    <n v="400"/>
    <n v="220000"/>
    <n v="0"/>
    <n v="211896.06986899563"/>
    <n v="27638.617808999428"/>
    <n v="184257.4520599962"/>
    <s v="Cash"/>
    <n v="668"/>
    <s v="Flat Discount"/>
    <d v="2025-03-11T00:00:00"/>
    <s v="Special Flat Discount 46,365tk on Regular price"/>
    <x v="0"/>
    <s v="Mineral"/>
    <x v="0"/>
    <x v="2"/>
    <x v="0"/>
    <n v="0"/>
    <x v="0"/>
    <n v="153940"/>
    <n v="30317.452059996198"/>
    <s v="O-45726-D-0013"/>
    <x v="0"/>
  </r>
  <r>
    <s v="F-204"/>
    <x v="38"/>
    <s v="D-0013"/>
    <x v="65"/>
    <s v="Doyagannj"/>
    <s v="+88001914870347"/>
    <x v="5"/>
    <s v="Abdul Matin"/>
    <x v="27"/>
    <s v="Wari "/>
    <x v="4"/>
    <s v="3000 4T PLUS 20W40"/>
    <n v="200"/>
    <n v="645"/>
    <n v="240"/>
    <n v="3.141058190311774E-2"/>
    <n v="0"/>
    <n v="624.74017467248905"/>
    <n v="200"/>
    <n v="240"/>
    <n v="129000"/>
    <n v="0"/>
    <n v="124948.03493449782"/>
    <n v="16297.569774064932"/>
    <n v="108650.46516043288"/>
    <s v="Cash"/>
    <n v="668"/>
    <s v="Flat Discount"/>
    <d v="2025-03-11T00:00:00"/>
    <s v="Special Flat Discount 46,365tk on Regular price"/>
    <x v="0"/>
    <s v="Mineral"/>
    <x v="0"/>
    <x v="1"/>
    <x v="0"/>
    <n v="0"/>
    <x v="1"/>
    <n v="93979.559070121948"/>
    <n v="14670.906090310935"/>
    <s v="O-45726-D-0013"/>
    <x v="0"/>
  </r>
  <r>
    <s v="F-204"/>
    <x v="38"/>
    <s v="D-0013"/>
    <x v="65"/>
    <s v="Doyagannj"/>
    <s v="+88001914870347"/>
    <x v="5"/>
    <s v="Abdul Matin"/>
    <x v="27"/>
    <s v="Wari "/>
    <x v="5"/>
    <s v="31004T GOLD 20W50"/>
    <n v="100"/>
    <n v="600"/>
    <n v="100"/>
    <n v="3.376637554585149E-2"/>
    <n v="0"/>
    <n v="579.74017467248905"/>
    <n v="100"/>
    <n v="100"/>
    <n v="60000"/>
    <n v="0"/>
    <n v="57974.017467248908"/>
    <n v="7561.8283652933351"/>
    <n v="50412.18910195557"/>
    <s v="Cash"/>
    <n v="668"/>
    <s v="Flat Discount"/>
    <d v="2025-03-11T00:00:00"/>
    <s v="Special Flat Discount 46,365tk on Regular price"/>
    <x v="0"/>
    <s v="Technosynthese"/>
    <x v="0"/>
    <x v="3"/>
    <x v="1"/>
    <n v="0"/>
    <x v="0"/>
    <n v="46939"/>
    <n v="3473.1891019555696"/>
    <s v="O-45726-D-0013"/>
    <x v="0"/>
  </r>
  <r>
    <s v="F-204"/>
    <x v="38"/>
    <s v="D-0013"/>
    <x v="65"/>
    <s v="Doyagannj"/>
    <s v="+88001914870347"/>
    <x v="5"/>
    <s v="Abdul Matin"/>
    <x v="27"/>
    <s v="Wari "/>
    <x v="21"/>
    <s v="31004T GOLD 10W30"/>
    <n v="60"/>
    <n v="600"/>
    <n v="60"/>
    <n v="3.3766375545851712E-2"/>
    <n v="0"/>
    <n v="579.74017467248905"/>
    <n v="60"/>
    <n v="60"/>
    <n v="36000"/>
    <n v="0"/>
    <n v="34784.410480349339"/>
    <n v="4537.0970191760007"/>
    <n v="30247.313461173337"/>
    <s v="Cash"/>
    <n v="668"/>
    <s v="Flat Discount"/>
    <d v="2025-03-11T00:00:00"/>
    <s v="Special Flat Discount 46,365tk on Regular price"/>
    <x v="0"/>
    <s v="Technosynthese"/>
    <x v="0"/>
    <x v="0"/>
    <x v="1"/>
    <n v="0"/>
    <x v="0"/>
    <n v="25506"/>
    <n v="4741.3134611733367"/>
    <s v="O-45726-D-0013"/>
    <x v="0"/>
  </r>
  <r>
    <s v="F-204"/>
    <x v="38"/>
    <s v="D-0013"/>
    <x v="65"/>
    <s v="Doyagannj"/>
    <s v="+88001914870347"/>
    <x v="5"/>
    <s v="Abdul Matin"/>
    <x v="27"/>
    <s v="Wari "/>
    <x v="19"/>
    <s v="51004T 10W30 ESTER"/>
    <n v="36"/>
    <n v="860"/>
    <n v="36"/>
    <n v="2.3557936427338277E-2"/>
    <n v="0"/>
    <n v="839.74017467248905"/>
    <n v="36"/>
    <n v="36"/>
    <n v="30960"/>
    <n v="0"/>
    <n v="30230.646288209606"/>
    <n v="3943.1277767229922"/>
    <n v="26287.518511486611"/>
    <s v="Cash"/>
    <n v="668"/>
    <s v="Flat Discount"/>
    <d v="2025-03-11T00:00:00"/>
    <s v="Special Flat Discount 46,365tk on Regular price"/>
    <x v="0"/>
    <s v="Technosynthese"/>
    <x v="0"/>
    <x v="0"/>
    <x v="2"/>
    <n v="0"/>
    <x v="2"/>
    <n v="21695.040000000001"/>
    <n v="4592.4785114866099"/>
    <s v="O-45726-D-0013"/>
    <x v="0"/>
  </r>
  <r>
    <s v="F-204"/>
    <x v="38"/>
    <s v="D-0013"/>
    <x v="65"/>
    <s v="Doyagannj"/>
    <s v="+88001914870347"/>
    <x v="5"/>
    <s v="Abdul Matin"/>
    <x v="27"/>
    <s v="Wari "/>
    <x v="6"/>
    <s v="51004T 10W40 ESTER"/>
    <n v="120"/>
    <n v="860"/>
    <n v="120"/>
    <n v="2.3557936427338388E-2"/>
    <n v="0"/>
    <n v="839.74017467248905"/>
    <n v="120"/>
    <n v="120"/>
    <n v="103200"/>
    <n v="0"/>
    <n v="100768.82096069868"/>
    <n v="13143.759255743305"/>
    <n v="87625.061704955384"/>
    <s v="Cash"/>
    <n v="668"/>
    <s v="Flat Discount"/>
    <d v="2025-03-11T00:00:00"/>
    <s v="Special Flat Discount 46,365tk on Regular price"/>
    <x v="0"/>
    <s v="Technosynthese"/>
    <x v="0"/>
    <x v="2"/>
    <x v="2"/>
    <n v="0"/>
    <x v="2"/>
    <n v="72999.600000000006"/>
    <n v="14625.461704955378"/>
    <s v="O-45726-D-0013"/>
    <x v="0"/>
  </r>
  <r>
    <s v="F-204"/>
    <x v="38"/>
    <s v="D-0013"/>
    <x v="65"/>
    <s v="Doyagannj"/>
    <s v="+88001914870347"/>
    <x v="5"/>
    <s v="Abdul Matin"/>
    <x v="27"/>
    <s v="Wari "/>
    <x v="7"/>
    <s v="7100 4T 10W30 ESTER CORE®"/>
    <n v="120"/>
    <n v="1080"/>
    <n v="120"/>
    <n v="1.8759097525473112E-2"/>
    <n v="0"/>
    <n v="1059.740174672489"/>
    <n v="120"/>
    <n v="120"/>
    <n v="129600"/>
    <n v="0"/>
    <n v="127168.82096069868"/>
    <n v="16587.237516612873"/>
    <n v="110581.58344408582"/>
    <s v="Cash"/>
    <n v="668"/>
    <s v="Flat Discount"/>
    <d v="2025-03-11T00:00:00"/>
    <s v="Special Flat Discount 46,365tk on Regular price"/>
    <x v="0"/>
    <s v="Synthetic"/>
    <x v="0"/>
    <x v="0"/>
    <x v="3"/>
    <n v="0"/>
    <x v="2"/>
    <n v="82783.199999999997"/>
    <n v="27798.383444085819"/>
    <s v="O-45726-D-0013"/>
    <x v="0"/>
  </r>
  <r>
    <s v="F-204"/>
    <x v="38"/>
    <s v="D-0013"/>
    <x v="65"/>
    <s v="Doyagannj"/>
    <s v="+88001914870347"/>
    <x v="5"/>
    <s v="Abdul Matin"/>
    <x v="27"/>
    <s v="Wari "/>
    <x v="11"/>
    <s v="7100 4T 10W30 ESTER CORE®"/>
    <n v="100"/>
    <n v="1295"/>
    <n v="120"/>
    <n v="1.5644652762556666E-2"/>
    <n v="0"/>
    <n v="1274.740174672489"/>
    <n v="100"/>
    <n v="120"/>
    <n v="129500"/>
    <n v="0"/>
    <n v="127474.01746724891"/>
    <n v="16627.045756597683"/>
    <n v="110846.97171065123"/>
    <s v="Cash"/>
    <n v="668"/>
    <s v="Flat Discount"/>
    <d v="2025-03-11T00:00:00"/>
    <s v="Special Flat Discount 46,365tk on Regular price"/>
    <x v="0"/>
    <s v="Synthetic"/>
    <x v="0"/>
    <x v="0"/>
    <x v="3"/>
    <n v="0"/>
    <x v="1"/>
    <n v="77730"/>
    <n v="33116.971710651225"/>
    <s v="O-45726-D-0013"/>
    <x v="0"/>
  </r>
  <r>
    <s v="F-204"/>
    <x v="38"/>
    <s v="D-0013"/>
    <x v="65"/>
    <s v="Doyagannj"/>
    <s v="+88001914870347"/>
    <x v="5"/>
    <s v="Abdul Matin"/>
    <x v="27"/>
    <s v="Wari "/>
    <x v="13"/>
    <s v="Brake Fluid DOT 4"/>
    <n v="154"/>
    <n v="127.5"/>
    <n v="15.4"/>
    <n v="0.1589005908040072"/>
    <n v="0"/>
    <n v="107.24017467248908"/>
    <n v="154"/>
    <n v="15.4"/>
    <n v="19635"/>
    <n v="0"/>
    <n v="16514.986899563319"/>
    <n v="2154.1287260299982"/>
    <n v="14360.858173533321"/>
    <s v="Cash"/>
    <n v="668"/>
    <s v="Flat Discount"/>
    <d v="2025-03-11T00:00:00"/>
    <s v="Special Flat Discount 46,365tk on Regular price"/>
    <x v="0"/>
    <s v="Care Products"/>
    <x v="1"/>
    <x v="4"/>
    <x v="5"/>
    <n v="0"/>
    <x v="4"/>
    <n v="11141.9"/>
    <n v="3218.9581735333213"/>
    <s v="O-45726-D-0013"/>
    <x v="0"/>
  </r>
  <r>
    <s v="F-204"/>
    <x v="38"/>
    <s v="D-0013"/>
    <x v="65"/>
    <s v="Doyagannj"/>
    <s v="+88001914870347"/>
    <x v="5"/>
    <s v="Abdul Matin"/>
    <x v="27"/>
    <s v="Wari "/>
    <x v="12"/>
    <s v="3000 4T 20W50"/>
    <n v="100"/>
    <n v="495"/>
    <n v="100"/>
    <n v="4.0928940055577567E-2"/>
    <n v="0"/>
    <n v="474.7401746724891"/>
    <n v="100"/>
    <n v="100"/>
    <n v="49500"/>
    <n v="0"/>
    <n v="47474.017467248908"/>
    <n v="6192.2631479020311"/>
    <n v="41281.754319346874"/>
    <s v="Cash"/>
    <n v="668"/>
    <s v="Flat Discount"/>
    <d v="2025-03-11T00:00:00"/>
    <s v="Special Flat Discount 46,365tk on Regular price"/>
    <x v="0"/>
    <s v="Mineral"/>
    <x v="0"/>
    <x v="3"/>
    <x v="0"/>
    <n v="0"/>
    <x v="0"/>
    <n v="36492"/>
    <n v="4789.7543193468737"/>
    <s v="O-45726-D-0013"/>
    <x v="0"/>
  </r>
  <r>
    <s v="F-204"/>
    <x v="38"/>
    <s v="D-0013"/>
    <x v="65"/>
    <s v="Doyagannj"/>
    <s v="+88001914870347"/>
    <x v="5"/>
    <s v="Abdul Matin"/>
    <x v="27"/>
    <s v="Wari "/>
    <x v="15"/>
    <s v="3000 4T 20W50"/>
    <n v="100"/>
    <n v="595"/>
    <n v="120"/>
    <n v="3.405012660085871E-2"/>
    <n v="0"/>
    <n v="574.74017467248905"/>
    <n v="100"/>
    <n v="120"/>
    <n v="59500"/>
    <n v="0"/>
    <n v="57474.017467248908"/>
    <n v="7496.610973988988"/>
    <n v="49977.406493259921"/>
    <s v="Cash"/>
    <n v="668"/>
    <s v="Flat Discount"/>
    <d v="2025-03-11T00:00:00"/>
    <s v="Special Flat Discount 46,365tk on Regular price"/>
    <x v="0"/>
    <s v="Mineral"/>
    <x v="0"/>
    <x v="3"/>
    <x v="0"/>
    <n v="0"/>
    <x v="1"/>
    <n v="43461"/>
    <n v="6516.4064932599213"/>
    <s v="O-45726-D-0013"/>
    <x v="0"/>
  </r>
  <r>
    <s v="F-203"/>
    <x v="39"/>
    <s v="D-0023"/>
    <x v="66"/>
    <s v="Rangpur Sadar"/>
    <n v="1732538253"/>
    <x v="6"/>
    <s v="Raihan Siddiqui"/>
    <x v="9"/>
    <s v="Rangpur"/>
    <x v="0"/>
    <s v="3000 4T PLUS 10W30"/>
    <n v="60"/>
    <n v="540"/>
    <n v="60"/>
    <n v="0"/>
    <n v="0"/>
    <n v="540"/>
    <n v="60"/>
    <n v="60"/>
    <n v="32400"/>
    <n v="0"/>
    <n v="32400"/>
    <n v="4226.086956521739"/>
    <n v="28173.91304347826"/>
    <s v="Cash"/>
    <n v="667"/>
    <s v="Regular"/>
    <d v="2025-03-11T00:00:00"/>
    <s v=""/>
    <x v="3"/>
    <s v="Mineral"/>
    <x v="0"/>
    <x v="0"/>
    <x v="0"/>
    <n v="0"/>
    <x v="0"/>
    <n v="22759.8"/>
    <n v="5414.1130434782608"/>
    <s v="O-45722-D-0023"/>
    <x v="0"/>
  </r>
  <r>
    <s v="F-203"/>
    <x v="39"/>
    <s v="D-0023"/>
    <x v="66"/>
    <s v="Rangpur Sadar"/>
    <n v="1732538253"/>
    <x v="6"/>
    <s v="Raihan Siddiqui"/>
    <x v="9"/>
    <s v="Rangpur"/>
    <x v="2"/>
    <s v="3000 4T PLUS 10W40"/>
    <n v="60"/>
    <n v="540"/>
    <n v="60"/>
    <n v="0"/>
    <n v="0"/>
    <n v="540"/>
    <n v="60"/>
    <n v="60"/>
    <n v="32400"/>
    <n v="0"/>
    <n v="32400"/>
    <n v="4226.086956521739"/>
    <n v="28173.91304347826"/>
    <s v="Cash"/>
    <n v="667"/>
    <s v="Regular"/>
    <d v="2025-03-11T00:00:00"/>
    <s v=""/>
    <x v="3"/>
    <s v="Mineral"/>
    <x v="0"/>
    <x v="2"/>
    <x v="0"/>
    <n v="0"/>
    <x v="0"/>
    <n v="23091"/>
    <n v="5082.9130434782601"/>
    <s v="O-45722-D-0023"/>
    <x v="0"/>
  </r>
  <r>
    <s v="F-203"/>
    <x v="39"/>
    <s v="D-0023"/>
    <x v="66"/>
    <s v="Rangpur Sadar"/>
    <n v="1732538253"/>
    <x v="6"/>
    <s v="Raihan Siddiqui"/>
    <x v="9"/>
    <s v="Rangpur"/>
    <x v="7"/>
    <s v="7100 4T 10W30 ESTER CORE®"/>
    <n v="12"/>
    <n v="1080"/>
    <n v="12"/>
    <n v="0"/>
    <n v="0"/>
    <n v="1080"/>
    <n v="12"/>
    <n v="12"/>
    <n v="12960"/>
    <n v="0"/>
    <n v="12960"/>
    <n v="1690.4347826086957"/>
    <n v="11269.565217391304"/>
    <s v="Cash"/>
    <n v="667"/>
    <s v="Regular"/>
    <d v="2025-03-11T00:00:00"/>
    <s v=""/>
    <x v="3"/>
    <s v="Synthetic"/>
    <x v="0"/>
    <x v="0"/>
    <x v="3"/>
    <n v="0"/>
    <x v="2"/>
    <n v="8278.32"/>
    <n v="2991.2452173913043"/>
    <s v="O-45722-D-0023"/>
    <x v="0"/>
  </r>
  <r>
    <s v="F-205"/>
    <x v="35"/>
    <s v="D-0021"/>
    <x v="67"/>
    <s v="Jashore road"/>
    <s v="+8801712772877"/>
    <x v="8"/>
    <s v="Abdul Matin"/>
    <x v="28"/>
    <s v="Jashore Road"/>
    <x v="0"/>
    <s v="3000 4T PLUS 10W30"/>
    <n v="40"/>
    <n v="540"/>
    <n v="40"/>
    <n v="3.240740740740744E-2"/>
    <n v="0"/>
    <n v="522.5"/>
    <n v="40"/>
    <n v="40"/>
    <n v="21600"/>
    <n v="0"/>
    <n v="20900"/>
    <n v="2726.086956521739"/>
    <n v="18173.91304347826"/>
    <s v="Cash"/>
    <n v="669"/>
    <s v="Flat Discount"/>
    <d v="2025-03-11T00:00:00"/>
    <s v="2500 tk discount for &quot;tekma turbo 20w50 18L =10pcs in previous delivery."/>
    <x v="0"/>
    <s v="Mineral"/>
    <x v="0"/>
    <x v="0"/>
    <x v="0"/>
    <n v="0"/>
    <x v="0"/>
    <n v="15173.199999999999"/>
    <n v="3000.7130434782612"/>
    <s v="O-45721-D-0021"/>
    <x v="0"/>
  </r>
  <r>
    <s v="F-205"/>
    <x v="35"/>
    <s v="D-0021"/>
    <x v="67"/>
    <s v="Jashore road"/>
    <s v="+8801712772877"/>
    <x v="8"/>
    <s v="Abdul Matin"/>
    <x v="28"/>
    <s v="Jashore Road"/>
    <x v="1"/>
    <s v="3000 4T PLUS 20W40"/>
    <n v="40"/>
    <n v="535"/>
    <n v="40"/>
    <n v="3.2710280373831724E-2"/>
    <n v="0"/>
    <n v="517.5"/>
    <n v="40"/>
    <n v="40"/>
    <n v="21400"/>
    <n v="0"/>
    <n v="20700"/>
    <n v="2700"/>
    <n v="18000"/>
    <s v="Cash"/>
    <n v="669"/>
    <s v="Flat Discount"/>
    <d v="2025-03-11T00:00:00"/>
    <s v="2500 tk discount for &quot;tekma turbo 20w50 18L =10pcs in previous delivery."/>
    <x v="0"/>
    <s v="Mineral"/>
    <x v="0"/>
    <x v="1"/>
    <x v="0"/>
    <n v="0"/>
    <x v="0"/>
    <n v="16510.400000000001"/>
    <n v="1489.5999999999985"/>
    <s v="O-45721-D-0021"/>
    <x v="0"/>
  </r>
  <r>
    <s v="F-205"/>
    <x v="35"/>
    <s v="D-0021"/>
    <x v="67"/>
    <s v="Jashore road"/>
    <s v="+8801712772877"/>
    <x v="8"/>
    <s v="Abdul Matin"/>
    <x v="28"/>
    <s v="Jashore Road"/>
    <x v="2"/>
    <s v="3000 4T PLUS 10W40"/>
    <n v="120"/>
    <n v="550"/>
    <n v="120"/>
    <n v="3.1818181818181857E-2"/>
    <n v="0"/>
    <n v="532.5"/>
    <n v="120"/>
    <n v="120"/>
    <n v="66000"/>
    <n v="0"/>
    <n v="63900"/>
    <n v="8334.782608695652"/>
    <n v="55565.217391304344"/>
    <s v="Cash"/>
    <n v="669"/>
    <s v="Flat Discount"/>
    <d v="2025-03-11T00:00:00"/>
    <s v="2500 tk discount for &quot;tekma turbo 20w50 18L =10pcs in previous delivery."/>
    <x v="0"/>
    <s v="Mineral"/>
    <x v="0"/>
    <x v="2"/>
    <x v="0"/>
    <n v="0"/>
    <x v="0"/>
    <n v="46182"/>
    <n v="9383.2173913043443"/>
    <s v="O-45721-D-0021"/>
    <x v="0"/>
  </r>
  <r>
    <s v="F-208"/>
    <x v="40"/>
    <s v="D-0003"/>
    <x v="68"/>
    <s v="Sheikhpara, Temokhi, Sylhet"/>
    <s v="01776-500709"/>
    <x v="3"/>
    <s v="Razur Rahman (Bipul)"/>
    <x v="8"/>
    <s v="Taltola"/>
    <x v="0"/>
    <s v="3000 4T PLUS 10W30"/>
    <n v="20"/>
    <n v="540"/>
    <n v="20"/>
    <n v="0"/>
    <n v="0"/>
    <n v="540"/>
    <n v="20"/>
    <n v="20"/>
    <n v="10800"/>
    <n v="0"/>
    <n v="10800"/>
    <n v="1408.695652173913"/>
    <n v="9391.3043478260861"/>
    <s v="Cash"/>
    <n v="672"/>
    <s v="Regular"/>
    <d v="2025-03-12T00:00:00"/>
    <s v="Home Delivey by Shodagor/Sundarban Courrier"/>
    <x v="1"/>
    <s v="Mineral"/>
    <x v="0"/>
    <x v="0"/>
    <x v="0"/>
    <n v="0"/>
    <x v="0"/>
    <n v="7586.5999999999995"/>
    <n v="1804.7043478260866"/>
    <s v="O-45727-D-0003"/>
    <x v="0"/>
  </r>
  <r>
    <s v="F-208"/>
    <x v="40"/>
    <s v="D-0003"/>
    <x v="68"/>
    <s v="Sheikhpara, Temokhi, Sylhet"/>
    <s v="01776-500709"/>
    <x v="3"/>
    <s v="Razur Rahman (Bipul)"/>
    <x v="8"/>
    <s v="Taltola"/>
    <x v="2"/>
    <s v="3000 4T PLUS 10W40"/>
    <n v="20"/>
    <n v="540"/>
    <n v="20"/>
    <n v="0"/>
    <n v="0"/>
    <n v="540"/>
    <n v="20"/>
    <n v="20"/>
    <n v="10800"/>
    <n v="0"/>
    <n v="10800"/>
    <n v="1408.695652173913"/>
    <n v="9391.3043478260861"/>
    <s v="Cash"/>
    <n v="672"/>
    <s v="Regular"/>
    <d v="2025-03-12T00:00:00"/>
    <s v="Home Delivey by Shodagor/Sundarban Courrier"/>
    <x v="1"/>
    <s v="Mineral"/>
    <x v="0"/>
    <x v="2"/>
    <x v="0"/>
    <n v="0"/>
    <x v="0"/>
    <n v="7697"/>
    <n v="1694.3043478260861"/>
    <s v="O-45727-D-0003"/>
    <x v="0"/>
  </r>
  <r>
    <s v="F-208"/>
    <x v="40"/>
    <s v="D-0003"/>
    <x v="68"/>
    <s v="Sheikhpara, Temokhi, Sylhet"/>
    <s v="01776-500709"/>
    <x v="3"/>
    <s v="Razur Rahman (Bipul)"/>
    <x v="8"/>
    <s v="Taltola"/>
    <x v="19"/>
    <s v="51004T 10W30 ESTER"/>
    <n v="24"/>
    <n v="860"/>
    <n v="24"/>
    <n v="0"/>
    <n v="0"/>
    <n v="860"/>
    <n v="24"/>
    <n v="24"/>
    <n v="20640"/>
    <n v="0"/>
    <n v="20640"/>
    <n v="2692.1739130434785"/>
    <n v="17947.82608695652"/>
    <s v="Cash"/>
    <n v="672"/>
    <s v="Regular"/>
    <d v="2025-03-12T00:00:00"/>
    <s v="Home Delivey by Shodagor/Sundarban Courrier"/>
    <x v="1"/>
    <s v="Technosynthese"/>
    <x v="0"/>
    <x v="0"/>
    <x v="2"/>
    <n v="0"/>
    <x v="2"/>
    <n v="14463.36"/>
    <n v="3484.4660869565196"/>
    <s v="O-45727-D-0003"/>
    <x v="0"/>
  </r>
  <r>
    <s v="F-208"/>
    <x v="40"/>
    <s v="D-0003"/>
    <x v="68"/>
    <s v="Sheikhpara, Temokhi, Sylhet"/>
    <s v="01776-500709"/>
    <x v="3"/>
    <s v="Razur Rahman (Bipul)"/>
    <x v="8"/>
    <s v="Taltola"/>
    <x v="7"/>
    <s v="7100 4T 10W30 ESTER CORE®"/>
    <n v="24"/>
    <n v="1080"/>
    <n v="24"/>
    <n v="0"/>
    <n v="0"/>
    <n v="1080"/>
    <n v="24"/>
    <n v="24"/>
    <n v="25920"/>
    <n v="0"/>
    <n v="25920"/>
    <n v="3380.8695652173915"/>
    <n v="22539.130434782608"/>
    <s v="Cash"/>
    <n v="672"/>
    <s v="Regular"/>
    <d v="2025-03-12T00:00:00"/>
    <s v="Home Delivey by Shodagor/Sundarban Courrier"/>
    <x v="1"/>
    <s v="Synthetic"/>
    <x v="0"/>
    <x v="0"/>
    <x v="3"/>
    <n v="0"/>
    <x v="2"/>
    <n v="16556.64"/>
    <n v="5982.4904347826086"/>
    <s v="O-45727-D-0003"/>
    <x v="0"/>
  </r>
  <r>
    <s v="F-209"/>
    <x v="40"/>
    <s v="D-0023"/>
    <x v="69"/>
    <s v="Salo Market, Rangpur"/>
    <n v="1737144950"/>
    <x v="6"/>
    <s v="Raihan Siddiqui"/>
    <x v="9"/>
    <s v="Rangpur"/>
    <x v="0"/>
    <s v="3000 4T PLUS 10W30"/>
    <n v="80"/>
    <n v="540"/>
    <n v="80"/>
    <n v="9.2592592592593004E-3"/>
    <n v="0"/>
    <n v="535"/>
    <n v="80"/>
    <n v="80"/>
    <n v="43200"/>
    <n v="0"/>
    <n v="42800"/>
    <n v="5582.608695652174"/>
    <n v="37217.391304347824"/>
    <s v="Cash"/>
    <n v="673"/>
    <s v="Regular"/>
    <d v="2025-03-12T00:00:00"/>
    <s v=""/>
    <x v="3"/>
    <s v="Mineral"/>
    <x v="0"/>
    <x v="0"/>
    <x v="0"/>
    <n v="0"/>
    <x v="0"/>
    <n v="30346.399999999998"/>
    <n v="6870.9913043478264"/>
    <s v="O-45727-D-0023"/>
    <x v="0"/>
  </r>
  <r>
    <s v="F-209"/>
    <x v="40"/>
    <s v="D-0023"/>
    <x v="69"/>
    <s v="Salo Market, Rangpur"/>
    <n v="1737144950"/>
    <x v="6"/>
    <s v="Raihan Siddiqui"/>
    <x v="9"/>
    <s v="Rangpur"/>
    <x v="2"/>
    <s v="3000 4T PLUS 10W40"/>
    <n v="260"/>
    <n v="540"/>
    <n v="260"/>
    <n v="9.2592592592593004E-3"/>
    <n v="0"/>
    <n v="535"/>
    <n v="260"/>
    <n v="260"/>
    <n v="140400"/>
    <n v="0"/>
    <n v="139100"/>
    <n v="18143.478260869564"/>
    <n v="120956.52173913043"/>
    <s v="Cash"/>
    <n v="673"/>
    <s v="Regular"/>
    <d v="2025-03-12T00:00:00"/>
    <s v=""/>
    <x v="3"/>
    <s v="Mineral"/>
    <x v="0"/>
    <x v="2"/>
    <x v="0"/>
    <n v="0"/>
    <x v="0"/>
    <n v="100061"/>
    <n v="20895.521739130432"/>
    <s v="O-45727-D-0023"/>
    <x v="0"/>
  </r>
  <r>
    <s v="F-209"/>
    <x v="40"/>
    <s v="D-0023"/>
    <x v="69"/>
    <s v="Salo Market, Rangpur"/>
    <n v="1737144950"/>
    <x v="6"/>
    <s v="Raihan Siddiqui"/>
    <x v="9"/>
    <s v="Rangpur"/>
    <x v="7"/>
    <s v="7100 4T 10W30 ESTER CORE®"/>
    <n v="24"/>
    <n v="1075"/>
    <n v="24"/>
    <n v="4.6511627906976605E-3"/>
    <n v="0"/>
    <n v="1070"/>
    <n v="24"/>
    <n v="24"/>
    <n v="25800"/>
    <n v="0"/>
    <n v="25680"/>
    <n v="3349.5652173913045"/>
    <n v="22330.434782608696"/>
    <s v="Cash"/>
    <n v="673"/>
    <s v="Regular"/>
    <d v="2025-03-12T00:00:00"/>
    <s v=""/>
    <x v="3"/>
    <s v="Synthetic"/>
    <x v="0"/>
    <x v="0"/>
    <x v="3"/>
    <n v="0"/>
    <x v="2"/>
    <n v="16556.64"/>
    <n v="5773.7947826086966"/>
    <s v="O-45727-D-0023"/>
    <x v="0"/>
  </r>
  <r>
    <s v="F-209"/>
    <x v="40"/>
    <s v="D-0023"/>
    <x v="69"/>
    <s v="Salo Market, Rangpur"/>
    <n v="1737144950"/>
    <x v="6"/>
    <s v="Raihan Siddiqui"/>
    <x v="9"/>
    <s v="Rangpur"/>
    <x v="9"/>
    <s v="7100 4T 20W50 ESTER CORE®"/>
    <n v="12"/>
    <n v="1075"/>
    <n v="12"/>
    <n v="4.6511627906976605E-3"/>
    <n v="0"/>
    <n v="1070"/>
    <n v="12"/>
    <n v="12"/>
    <n v="12900"/>
    <n v="0"/>
    <n v="12840"/>
    <n v="1674.7826086956522"/>
    <n v="11165.217391304348"/>
    <s v="Cash"/>
    <n v="673"/>
    <s v="Regular"/>
    <d v="2025-03-12T00:00:00"/>
    <s v=""/>
    <x v="3"/>
    <s v="Synthetic"/>
    <x v="0"/>
    <x v="3"/>
    <x v="3"/>
    <n v="0"/>
    <x v="2"/>
    <n v="9164.380799999999"/>
    <n v="2000.836591304349"/>
    <s v="O-45727-D-0023"/>
    <x v="0"/>
  </r>
  <r>
    <s v="F-209"/>
    <x v="40"/>
    <s v="D-0023"/>
    <x v="69"/>
    <s v="Salo Market, Rangpur"/>
    <n v="1737144950"/>
    <x v="6"/>
    <s v="Raihan Siddiqui"/>
    <x v="9"/>
    <s v="Rangpur"/>
    <x v="12"/>
    <s v="3000 4T 20W50"/>
    <n v="80"/>
    <n v="482"/>
    <n v="80"/>
    <n v="2.4896265560165998E-2"/>
    <n v="0"/>
    <n v="470"/>
    <n v="80"/>
    <n v="80"/>
    <n v="38560"/>
    <n v="0"/>
    <n v="37600"/>
    <n v="4904.347826086957"/>
    <n v="32695.652173913044"/>
    <s v="Cash"/>
    <n v="673"/>
    <s v="Regular"/>
    <d v="2025-03-12T00:00:00"/>
    <s v=""/>
    <x v="3"/>
    <s v="Mineral"/>
    <x v="0"/>
    <x v="3"/>
    <x v="0"/>
    <n v="0"/>
    <x v="0"/>
    <n v="29193.600000000002"/>
    <n v="3502.0521739130418"/>
    <s v="O-45727-D-0023"/>
    <x v="0"/>
  </r>
  <r>
    <s v="F-209"/>
    <x v="40"/>
    <s v="D-0023"/>
    <x v="69"/>
    <s v="Salo Market, Rangpur"/>
    <n v="1737144950"/>
    <x v="6"/>
    <s v="Raihan Siddiqui"/>
    <x v="9"/>
    <s v="Rangpur"/>
    <x v="15"/>
    <s v="3000 4T 20W50"/>
    <n v="20"/>
    <n v="583"/>
    <n v="24"/>
    <n v="2.2984562607204162E-2"/>
    <n v="0"/>
    <n v="569.6"/>
    <n v="20"/>
    <n v="24"/>
    <n v="11660"/>
    <n v="0"/>
    <n v="11392"/>
    <n v="1485.9130434782608"/>
    <n v="9906.0869565217399"/>
    <s v="Cash"/>
    <n v="673"/>
    <s v="Regular"/>
    <d v="2025-03-12T00:00:00"/>
    <s v=""/>
    <x v="3"/>
    <s v="Mineral"/>
    <x v="0"/>
    <x v="3"/>
    <x v="0"/>
    <n v="0"/>
    <x v="1"/>
    <n v="8692.2000000000007"/>
    <n v="1213.8869565217392"/>
    <s v="O-45727-D-0023"/>
    <x v="0"/>
  </r>
  <r>
    <s v="F-206"/>
    <x v="41"/>
    <s v="D-0056"/>
    <x v="70"/>
    <s v="Dhaka"/>
    <s v=""/>
    <x v="2"/>
    <s v="Captive Sales"/>
    <x v="29"/>
    <s v="Dhaka"/>
    <x v="26"/>
    <s v="ECO TEC Plus 5W30"/>
    <n v="300"/>
    <n v="5000"/>
    <n v="1200"/>
    <n v="0.52800000000000002"/>
    <n v="0"/>
    <n v="2360"/>
    <n v="300"/>
    <n v="1200"/>
    <n v="1500000"/>
    <n v="0"/>
    <n v="708000"/>
    <n v="92347.826086956527"/>
    <n v="615652.17391304346"/>
    <s v="Cash"/>
    <n v="670"/>
    <s v="Custom"/>
    <d v="2025-03-12T00:00:00"/>
    <s v="Custom Price"/>
    <x v="2"/>
    <s v="Synthetic"/>
    <x v="2"/>
    <x v="8"/>
    <x v="12"/>
    <n v="0"/>
    <x v="5"/>
    <n v="567681"/>
    <n v="47971.173913043458"/>
    <s v="O-45728-D-0056"/>
    <x v="0"/>
  </r>
  <r>
    <s v="F-207"/>
    <x v="38"/>
    <s v="D-0023"/>
    <x v="71"/>
    <s v="Mymensingh "/>
    <s v="01779-090991"/>
    <x v="6"/>
    <s v="Raihan Siddiqui"/>
    <x v="9"/>
    <s v="Rangpur"/>
    <x v="0"/>
    <s v="3000 4T PLUS 10W30"/>
    <n v="20"/>
    <n v="540"/>
    <n v="20"/>
    <n v="9.2592592592593004E-3"/>
    <n v="0"/>
    <n v="535"/>
    <n v="20"/>
    <n v="20"/>
    <n v="10800"/>
    <n v="0"/>
    <n v="10700"/>
    <n v="1395.6521739130435"/>
    <n v="9304.347826086956"/>
    <s v="Cash"/>
    <n v="671"/>
    <s v="Regular"/>
    <d v="2025-03-12T00:00:00"/>
    <s v=""/>
    <x v="3"/>
    <s v="Mineral"/>
    <x v="0"/>
    <x v="0"/>
    <x v="0"/>
    <n v="0"/>
    <x v="0"/>
    <n v="7586.5999999999995"/>
    <n v="1717.7478260869566"/>
    <s v="O-45726-D-0023"/>
    <x v="0"/>
  </r>
  <r>
    <s v="F-207"/>
    <x v="38"/>
    <s v="D-0023"/>
    <x v="71"/>
    <s v="Mymensingh "/>
    <s v="01779-090991"/>
    <x v="6"/>
    <s v="Raihan Siddiqui"/>
    <x v="9"/>
    <s v="Rangpur"/>
    <x v="2"/>
    <s v="3000 4T PLUS 10W40"/>
    <n v="60"/>
    <n v="540"/>
    <n v="60"/>
    <n v="9.2592592592593004E-3"/>
    <n v="0"/>
    <n v="535"/>
    <n v="60"/>
    <n v="60"/>
    <n v="32400"/>
    <n v="0"/>
    <n v="32100"/>
    <n v="4186.95652173913"/>
    <n v="27913.043478260868"/>
    <s v="Cash"/>
    <n v="671"/>
    <s v="Regular"/>
    <d v="2025-03-12T00:00:00"/>
    <s v=""/>
    <x v="3"/>
    <s v="Mineral"/>
    <x v="0"/>
    <x v="2"/>
    <x v="0"/>
    <n v="0"/>
    <x v="0"/>
    <n v="23091"/>
    <n v="4822.0434782608681"/>
    <s v="O-45726-D-0023"/>
    <x v="0"/>
  </r>
  <r>
    <s v="F-207"/>
    <x v="38"/>
    <s v="D-0023"/>
    <x v="71"/>
    <s v="Mymensingh "/>
    <s v="01779-090991"/>
    <x v="6"/>
    <s v="Raihan Siddiqui"/>
    <x v="9"/>
    <s v="Rangpur"/>
    <x v="7"/>
    <s v="7100 4T 10W30 ESTER CORE®"/>
    <n v="12"/>
    <n v="1075"/>
    <n v="12"/>
    <n v="4.6511627906976605E-3"/>
    <n v="0"/>
    <n v="1070"/>
    <n v="12"/>
    <n v="12"/>
    <n v="12900"/>
    <n v="0"/>
    <n v="12840"/>
    <n v="1674.7826086956522"/>
    <n v="11165.217391304348"/>
    <s v="Cash"/>
    <n v="671"/>
    <s v="Regular"/>
    <d v="2025-03-12T00:00:00"/>
    <s v=""/>
    <x v="3"/>
    <s v="Synthetic"/>
    <x v="0"/>
    <x v="0"/>
    <x v="3"/>
    <n v="0"/>
    <x v="2"/>
    <n v="8278.32"/>
    <n v="2886.8973913043483"/>
    <s v="O-45726-D-0023"/>
    <x v="0"/>
  </r>
  <r>
    <s v="F-207"/>
    <x v="38"/>
    <s v="D-0023"/>
    <x v="71"/>
    <s v="Mymensingh "/>
    <s v="01779-090991"/>
    <x v="6"/>
    <s v="Raihan Siddiqui"/>
    <x v="9"/>
    <s v="Rangpur"/>
    <x v="12"/>
    <s v="3000 4T 20W50"/>
    <n v="20"/>
    <n v="490"/>
    <n v="20"/>
    <n v="1.0204081632653073E-2"/>
    <n v="0"/>
    <n v="485"/>
    <n v="20"/>
    <n v="20"/>
    <n v="9800"/>
    <n v="0"/>
    <n v="9700"/>
    <n v="1265.2173913043478"/>
    <n v="8434.782608695652"/>
    <s v="Cash"/>
    <n v="671"/>
    <s v="Regular"/>
    <d v="2025-03-12T00:00:00"/>
    <s v=""/>
    <x v="3"/>
    <s v="Mineral"/>
    <x v="0"/>
    <x v="3"/>
    <x v="0"/>
    <n v="0"/>
    <x v="0"/>
    <n v="7298.4000000000005"/>
    <n v="1136.3826086956515"/>
    <s v="O-45726-D-0023"/>
    <x v="0"/>
  </r>
  <r>
    <s v="F-207"/>
    <x v="38"/>
    <s v="D-0023"/>
    <x v="71"/>
    <s v="Mymensingh "/>
    <s v="01779-090991"/>
    <x v="6"/>
    <s v="Raihan Siddiqui"/>
    <x v="9"/>
    <s v="Rangpur"/>
    <x v="15"/>
    <s v="3000 4T 20W50"/>
    <n v="40"/>
    <n v="590"/>
    <n v="48"/>
    <n v="8.4745762711864181E-3"/>
    <n v="0"/>
    <n v="585"/>
    <n v="40"/>
    <n v="48"/>
    <n v="23600"/>
    <n v="0"/>
    <n v="23400"/>
    <n v="3052.1739130434785"/>
    <n v="20347.82608695652"/>
    <s v="Cash"/>
    <n v="671"/>
    <s v="Regular"/>
    <d v="2025-03-12T00:00:00"/>
    <s v=""/>
    <x v="3"/>
    <s v="Mineral"/>
    <x v="0"/>
    <x v="3"/>
    <x v="0"/>
    <n v="0"/>
    <x v="1"/>
    <n v="17384.400000000001"/>
    <n v="2963.4260869565187"/>
    <s v="O-45726-D-0023"/>
    <x v="0"/>
  </r>
  <r>
    <s v="F-210"/>
    <x v="42"/>
    <s v="D-0030"/>
    <x v="72"/>
    <s v="Uttara"/>
    <s v="+8808801828136692"/>
    <x v="0"/>
    <s v="Abdul Matin"/>
    <x v="30"/>
    <s v="Uttara"/>
    <x v="23"/>
    <s v="2000 Multi Power 20W50"/>
    <n v="200"/>
    <n v="2350"/>
    <n v="800"/>
    <n v="0.57446808510638303"/>
    <n v="0"/>
    <n v="1000"/>
    <n v="200"/>
    <n v="800"/>
    <n v="470000"/>
    <n v="0"/>
    <n v="200000"/>
    <n v="26086.956521739132"/>
    <n v="173913.04347826086"/>
    <s v="Cash"/>
    <n v="674"/>
    <s v="Custom"/>
    <d v="2025-03-16T00:00:00"/>
    <s v=" pls provide 25 cartoons of products 2022 year manufacture batch and another 25 cartoons is 2020 year manufacture batch"/>
    <x v="0"/>
    <s v="Mineral"/>
    <x v="2"/>
    <x v="3"/>
    <x v="10"/>
    <n v="0"/>
    <x v="5"/>
    <n v="219090"/>
    <n v="-45176.956521739135"/>
    <s v="O-45729-D-0030"/>
    <x v="0"/>
  </r>
  <r>
    <s v="F-212"/>
    <x v="42"/>
    <s v="D-0055"/>
    <x v="57"/>
    <s v=""/>
    <s v="+88001679878727"/>
    <x v="5"/>
    <s v="Abdul Matin"/>
    <x v="23"/>
    <s v="Motijhil"/>
    <x v="12"/>
    <s v="3000 4T 20W50"/>
    <n v="4000"/>
    <n v="495"/>
    <n v="4000"/>
    <n v="0.20202020202020199"/>
    <n v="0"/>
    <n v="395"/>
    <n v="4000"/>
    <n v="4000"/>
    <n v="1980000"/>
    <n v="0"/>
    <n v="1580000"/>
    <n v="206086.95652173914"/>
    <n v="1373913.043478261"/>
    <s v="Cash"/>
    <n v="676"/>
    <s v="Flat Discount"/>
    <d v="2025-03-17T00:00:00"/>
    <s v="Price/unit = 410tk and for previous order ,extra 60,000/- has been adjusted with this one. Here's why ---&gt;&gt;&gt;_x000a_***Prv order : 2000ltr*440=8,80,000tk _x000a_with 410tk/unit = 8,20,000tk****"/>
    <x v="0"/>
    <s v="Mineral"/>
    <x v="0"/>
    <x v="3"/>
    <x v="0"/>
    <n v="0"/>
    <x v="0"/>
    <n v="1459680"/>
    <n v="-85766.956521739019"/>
    <s v="O-45729-D-0055"/>
    <x v="0"/>
  </r>
  <r>
    <s v="F-211"/>
    <x v="43"/>
    <s v="D-0025"/>
    <x v="25"/>
    <s v=""/>
    <s v=""/>
    <x v="2"/>
    <s v="Captive Sales"/>
    <x v="13"/>
    <s v="Dhaka"/>
    <x v="1"/>
    <s v="3000 4T PLUS 20W40"/>
    <n v="4000"/>
    <n v="525"/>
    <n v="4000"/>
    <n v="0"/>
    <n v="0"/>
    <n v="525"/>
    <n v="4000"/>
    <n v="4000"/>
    <n v="2100000"/>
    <n v="0"/>
    <n v="2100000"/>
    <n v="273913.04347826086"/>
    <n v="1826086.956521739"/>
    <s v="Cash"/>
    <n v="675"/>
    <s v="Flat Discount"/>
    <d v="2025-03-17T00:00:00"/>
    <s v=""/>
    <x v="2"/>
    <s v="Mineral"/>
    <x v="0"/>
    <x v="1"/>
    <x v="0"/>
    <n v="0"/>
    <x v="0"/>
    <n v="1651040"/>
    <n v="175046.95652173902"/>
    <s v="O-45733-D-0025"/>
    <x v="0"/>
  </r>
  <r>
    <s v="F-211"/>
    <x v="43"/>
    <s v="D-0025"/>
    <x v="25"/>
    <s v=""/>
    <s v=""/>
    <x v="2"/>
    <s v="Captive Sales"/>
    <x v="13"/>
    <s v="Dhaka"/>
    <x v="2"/>
    <s v="3000 4T PLUS 10W40"/>
    <n v="20000"/>
    <n v="525"/>
    <n v="20000"/>
    <n v="0"/>
    <n v="0"/>
    <n v="525"/>
    <n v="20000"/>
    <n v="20000"/>
    <n v="10500000"/>
    <n v="0"/>
    <n v="10500000"/>
    <n v="1369565.2173913044"/>
    <n v="9130434.7826086953"/>
    <s v="Cash"/>
    <n v="675"/>
    <s v="Flat Discount"/>
    <d v="2025-03-17T00:00:00"/>
    <s v=""/>
    <x v="2"/>
    <s v="Mineral"/>
    <x v="0"/>
    <x v="2"/>
    <x v="0"/>
    <n v="0"/>
    <x v="0"/>
    <n v="7697000"/>
    <n v="1433434.7826086953"/>
    <s v="O-45733-D-0025"/>
    <x v="0"/>
  </r>
  <r>
    <s v="F-211"/>
    <x v="43"/>
    <s v="D-0025"/>
    <x v="25"/>
    <s v=""/>
    <s v=""/>
    <x v="2"/>
    <s v="Captive Sales"/>
    <x v="13"/>
    <s v="Dhaka"/>
    <x v="6"/>
    <s v="51004T 10W40 ESTER"/>
    <n v="2000"/>
    <n v="830"/>
    <n v="2000"/>
    <n v="0"/>
    <n v="0"/>
    <n v="830"/>
    <n v="2000"/>
    <n v="2000"/>
    <n v="1660000"/>
    <n v="0"/>
    <n v="1660000"/>
    <n v="216521.73913043478"/>
    <n v="1443478.2608695652"/>
    <s v="Cash"/>
    <n v="675"/>
    <s v="Flat Discount"/>
    <d v="2025-03-17T00:00:00"/>
    <s v=""/>
    <x v="2"/>
    <s v="Technosynthese"/>
    <x v="0"/>
    <x v="2"/>
    <x v="2"/>
    <n v="0"/>
    <x v="2"/>
    <n v="1216660"/>
    <n v="226818.26086956519"/>
    <s v="O-45733-D-0025"/>
    <x v="0"/>
  </r>
  <r>
    <s v="F-211"/>
    <x v="43"/>
    <s v="D-0025"/>
    <x v="25"/>
    <s v=""/>
    <s v=""/>
    <x v="2"/>
    <s v="Captive Sales"/>
    <x v="13"/>
    <s v="Dhaka"/>
    <x v="10"/>
    <s v="Scooter LE 4T 10W30 HC-TECH®"/>
    <n v="1100"/>
    <n v="450"/>
    <n v="880"/>
    <n v="0"/>
    <n v="0"/>
    <n v="450"/>
    <n v="1100"/>
    <n v="880"/>
    <n v="495000"/>
    <n v="0"/>
    <n v="495000"/>
    <n v="64565.217391304344"/>
    <n v="430434.78260869568"/>
    <s v="Cash"/>
    <n v="675"/>
    <s v="Flat Discount"/>
    <d v="2025-03-17T00:00:00"/>
    <s v=""/>
    <x v="2"/>
    <s v="Mineral"/>
    <x v="0"/>
    <x v="0"/>
    <x v="4"/>
    <n v="0"/>
    <x v="3"/>
    <n v="366663"/>
    <n v="63771.782608695677"/>
    <s v="O-45733-D-0025"/>
    <x v="0"/>
  </r>
  <r>
    <s v="F-211"/>
    <x v="43"/>
    <s v="D-0025"/>
    <x v="25"/>
    <s v=""/>
    <s v=""/>
    <x v="2"/>
    <s v="Captive Sales"/>
    <x v="13"/>
    <s v="Dhaka"/>
    <x v="50"/>
    <s v="IRIX Long Life Grease"/>
    <n v="58"/>
    <n v="370"/>
    <n v="29"/>
    <n v="0"/>
    <n v="0"/>
    <n v="370"/>
    <n v="58"/>
    <n v="29"/>
    <n v="21460"/>
    <n v="0"/>
    <n v="21460"/>
    <n v="2799.1304347826085"/>
    <n v="18660.869565217392"/>
    <s v="Cash"/>
    <n v="675"/>
    <s v="Flat Discount"/>
    <d v="2025-03-17T00:00:00"/>
    <s v=""/>
    <x v="2"/>
    <s v="Care Products"/>
    <x v="1"/>
    <x v="4"/>
    <x v="20"/>
    <n v="0"/>
    <x v="20"/>
    <n v="16526.52"/>
    <n v="2134.3495652173915"/>
    <s v="O-45733-D-0025"/>
    <x v="0"/>
  </r>
  <r>
    <s v="F-211"/>
    <x v="43"/>
    <s v="D-0025"/>
    <x v="25"/>
    <s v=""/>
    <s v=""/>
    <x v="2"/>
    <s v="Captive Sales"/>
    <x v="13"/>
    <s v="Dhaka"/>
    <x v="17"/>
    <s v="Engine Flush"/>
    <n v="4691"/>
    <n v="195"/>
    <n v="234.55"/>
    <n v="0"/>
    <n v="0"/>
    <n v="195"/>
    <n v="4691"/>
    <n v="234.55"/>
    <n v="914745"/>
    <n v="0"/>
    <n v="914745"/>
    <n v="119314.56521739131"/>
    <n v="795430.43478260865"/>
    <s v="Cash"/>
    <n v="675"/>
    <s v="Flat Discount"/>
    <d v="2025-03-17T00:00:00"/>
    <s v=""/>
    <x v="2"/>
    <s v="Care Products"/>
    <x v="1"/>
    <x v="4"/>
    <x v="8"/>
    <n v="0"/>
    <x v="7"/>
    <n v="610346.01"/>
    <n v="185084.42478260864"/>
    <s v="O-45733-D-0025"/>
    <x v="0"/>
  </r>
  <r>
    <s v="F-211"/>
    <x v="43"/>
    <s v="D-0025"/>
    <x v="25"/>
    <s v=""/>
    <s v=""/>
    <x v="2"/>
    <s v="Captive Sales"/>
    <x v="13"/>
    <s v="Dhaka"/>
    <x v="13"/>
    <s v="Brake Fluid DOT 4"/>
    <n v="11920"/>
    <n v="120"/>
    <n v="1192"/>
    <n v="0"/>
    <n v="0"/>
    <n v="120"/>
    <n v="11920"/>
    <n v="1192"/>
    <n v="1430400"/>
    <n v="0"/>
    <n v="1430400"/>
    <n v="186573.91304347827"/>
    <n v="1243826.0869565217"/>
    <s v="Cash"/>
    <n v="675"/>
    <s v="Flat Discount"/>
    <d v="2025-03-17T00:00:00"/>
    <s v=""/>
    <x v="2"/>
    <s v="Care Products"/>
    <x v="1"/>
    <x v="4"/>
    <x v="5"/>
    <n v="0"/>
    <x v="4"/>
    <n v="862411.99999999988"/>
    <n v="381414.08695652185"/>
    <s v="O-45733-D-0025"/>
    <x v="0"/>
  </r>
  <r>
    <s v="Fs-127"/>
    <x v="36"/>
    <s v="D-0025"/>
    <x v="25"/>
    <s v=""/>
    <s v=""/>
    <x v="2"/>
    <s v="Captive Sales"/>
    <x v="13"/>
    <s v="Dhaka"/>
    <x v="2"/>
    <s v="3000 4T PLUS 10W40"/>
    <n v="27000"/>
    <n v="550"/>
    <n v="27000"/>
    <n v="4.5454545454545414E-2"/>
    <n v="0"/>
    <n v="525"/>
    <n v="27000"/>
    <n v="27000"/>
    <n v="14850000"/>
    <n v="0"/>
    <n v="14175000"/>
    <n v="1848913.043478261"/>
    <n v="12326086.956521738"/>
    <s v="Cash"/>
    <s v=""/>
    <s v="Custom"/>
    <s v=""/>
    <s v=""/>
    <x v="2"/>
    <s v="Mineral"/>
    <x v="0"/>
    <x v="2"/>
    <x v="0"/>
    <n v="0"/>
    <x v="0"/>
    <n v="10390950"/>
    <n v="1935136.9565217383"/>
    <s v="O-47847-D-0025"/>
    <x v="1"/>
  </r>
  <r>
    <s v="Fs-127"/>
    <x v="36"/>
    <s v="D-0025"/>
    <x v="25"/>
    <s v=""/>
    <s v=""/>
    <x v="2"/>
    <s v="Captive Sales"/>
    <x v="13"/>
    <s v="Dhaka"/>
    <x v="20"/>
    <s v="31004T GOLD 10W40"/>
    <n v="58"/>
    <n v="600"/>
    <n v="58"/>
    <n v="5.8333333333333348E-2"/>
    <n v="0"/>
    <n v="565"/>
    <n v="58"/>
    <n v="58"/>
    <n v="34800"/>
    <n v="0"/>
    <n v="32770"/>
    <n v="4274.347826086957"/>
    <n v="28495.652173913044"/>
    <s v="Cash"/>
    <s v=""/>
    <s v="Custom"/>
    <s v=""/>
    <s v=""/>
    <x v="2"/>
    <s v="Technosynthese"/>
    <x v="0"/>
    <x v="2"/>
    <x v="1"/>
    <n v="0"/>
    <x v="0"/>
    <n v="24271.84"/>
    <n v="4223.8121739130438"/>
    <s v="O-47847-D-0025"/>
    <x v="1"/>
  </r>
  <r>
    <s v="Fs-127"/>
    <x v="36"/>
    <s v="D-0025"/>
    <x v="25"/>
    <s v=""/>
    <s v=""/>
    <x v="2"/>
    <s v="Captive Sales"/>
    <x v="13"/>
    <s v="Dhaka"/>
    <x v="6"/>
    <s v="51004T 10W40 ESTER"/>
    <n v="1760"/>
    <n v="860"/>
    <n v="1760"/>
    <n v="3.4883720930232509E-2"/>
    <n v="0"/>
    <n v="830"/>
    <n v="1760"/>
    <n v="1760"/>
    <n v="1513600"/>
    <n v="0"/>
    <n v="1460800"/>
    <n v="190539.13043478262"/>
    <n v="1270260.8695652173"/>
    <s v="Cash"/>
    <s v=""/>
    <s v="Custom"/>
    <s v=""/>
    <s v=""/>
    <x v="2"/>
    <s v="Technosynthese"/>
    <x v="0"/>
    <x v="2"/>
    <x v="2"/>
    <n v="0"/>
    <x v="2"/>
    <n v="1070660.8"/>
    <n v="199600.06956521724"/>
    <s v="O-47847-D-0025"/>
    <x v="1"/>
  </r>
  <r>
    <s v="Fs-127"/>
    <x v="36"/>
    <s v="D-0025"/>
    <x v="25"/>
    <s v=""/>
    <s v=""/>
    <x v="2"/>
    <s v="Captive Sales"/>
    <x v="13"/>
    <s v="Dhaka"/>
    <x v="8"/>
    <s v="7100 4T 10W40 ESTER CORE®"/>
    <n v="506"/>
    <n v="1070"/>
    <n v="506"/>
    <n v="2.8037383177570097E-2"/>
    <n v="0"/>
    <n v="1040"/>
    <n v="506"/>
    <n v="506"/>
    <n v="541420"/>
    <n v="0"/>
    <n v="526240"/>
    <n v="68640"/>
    <n v="457600"/>
    <s v="Cash"/>
    <s v=""/>
    <s v="Custom"/>
    <s v=""/>
    <s v=""/>
    <x v="2"/>
    <s v="Synthetic"/>
    <x v="0"/>
    <x v="2"/>
    <x v="3"/>
    <n v="0"/>
    <x v="2"/>
    <n v="351158.94"/>
    <n v="106441.06"/>
    <s v="O-47847-D-0025"/>
    <x v="1"/>
  </r>
  <r>
    <s v="Fs-127"/>
    <x v="36"/>
    <s v="D-0025"/>
    <x v="25"/>
    <s v=""/>
    <s v=""/>
    <x v="2"/>
    <s v="Captive Sales"/>
    <x v="13"/>
    <s v="Dhaka"/>
    <x v="16"/>
    <s v="Fork Oil Expert"/>
    <n v="100"/>
    <n v="255"/>
    <n v="35"/>
    <n v="0.13725490196078416"/>
    <n v="0"/>
    <n v="220.00000000000003"/>
    <n v="100"/>
    <n v="35"/>
    <n v="25500"/>
    <n v="0"/>
    <n v="22000.000000000004"/>
    <n v="2869.5652173913049"/>
    <n v="19130.4347826087"/>
    <s v="Cash"/>
    <s v=""/>
    <s v="Custom"/>
    <s v=""/>
    <s v=""/>
    <x v="2"/>
    <s v="Care Products"/>
    <x v="1"/>
    <x v="4"/>
    <x v="7"/>
    <n v="0"/>
    <x v="6"/>
    <n v="16471"/>
    <n v="2659.4347826086996"/>
    <s v="O-47847-D-0025"/>
    <x v="1"/>
  </r>
  <r>
    <s v="Fs-127"/>
    <x v="36"/>
    <s v="D-0025"/>
    <x v="25"/>
    <s v=""/>
    <s v=""/>
    <x v="2"/>
    <s v="Captive Sales"/>
    <x v="13"/>
    <s v="Dhaka"/>
    <x v="13"/>
    <s v="Brake Fluid DOT 4"/>
    <n v="1159"/>
    <n v="127.5"/>
    <n v="115.9"/>
    <n v="5.8823529411764719E-2"/>
    <n v="0"/>
    <n v="120"/>
    <n v="1159"/>
    <n v="115.9"/>
    <n v="147772.5"/>
    <n v="0"/>
    <n v="139080"/>
    <n v="18140.869565217392"/>
    <n v="120939.13043478261"/>
    <s v="Cash"/>
    <s v=""/>
    <s v="Custom"/>
    <s v=""/>
    <s v=""/>
    <x v="2"/>
    <s v="Care Products"/>
    <x v="1"/>
    <x v="4"/>
    <x v="5"/>
    <n v="0"/>
    <x v="4"/>
    <n v="83853.649999999994"/>
    <n v="37085.480434782614"/>
    <s v="O-47847-D-0025"/>
    <x v="1"/>
  </r>
  <r>
    <s v="F-213"/>
    <x v="44"/>
    <s v="D-0005"/>
    <x v="35"/>
    <s v="Rajshahi Sadar, Rajshahi"/>
    <n v="1715299768"/>
    <x v="7"/>
    <s v="Raihan Siddiqui"/>
    <x v="19"/>
    <s v="Rajshahi Sadar"/>
    <x v="1"/>
    <s v="3000 4T PLUS 20W40"/>
    <n v="1000"/>
    <n v="520"/>
    <n v="1000"/>
    <n v="9.6153846153845812E-3"/>
    <n v="0"/>
    <n v="515"/>
    <n v="1000"/>
    <n v="1000"/>
    <n v="520000"/>
    <n v="0"/>
    <n v="515000"/>
    <n v="67173.913043478256"/>
    <n v="447826.08695652173"/>
    <s v="Cash"/>
    <n v="677"/>
    <s v="Regular"/>
    <d v="2025-03-18T00:00:00"/>
    <s v=""/>
    <x v="3"/>
    <s v="Mineral"/>
    <x v="0"/>
    <x v="1"/>
    <x v="0"/>
    <n v="0"/>
    <x v="0"/>
    <n v="412760"/>
    <n v="35066.086956521729"/>
    <s v="O-45732-D-0005"/>
    <x v="0"/>
  </r>
  <r>
    <s v="F-213"/>
    <x v="44"/>
    <s v="D-0005"/>
    <x v="35"/>
    <s v="Rajshahi Sadar, Rajshahi"/>
    <n v="1715299768"/>
    <x v="7"/>
    <s v="Raihan Siddiqui"/>
    <x v="19"/>
    <s v="Rajshahi Sadar"/>
    <x v="2"/>
    <s v="3000 4T PLUS 10W40"/>
    <n v="1000"/>
    <n v="520"/>
    <n v="1000"/>
    <n v="9.6153846153845812E-3"/>
    <n v="0"/>
    <n v="515"/>
    <n v="1000"/>
    <n v="1000"/>
    <n v="520000"/>
    <n v="0"/>
    <n v="515000"/>
    <n v="67173.913043478256"/>
    <n v="447826.08695652173"/>
    <s v="Cash"/>
    <n v="677"/>
    <s v="Regular"/>
    <d v="2025-03-18T00:00:00"/>
    <s v=""/>
    <x v="3"/>
    <s v="Mineral"/>
    <x v="0"/>
    <x v="2"/>
    <x v="0"/>
    <n v="0"/>
    <x v="0"/>
    <n v="384850"/>
    <n v="62976.086956521729"/>
    <s v="O-45732-D-0005"/>
    <x v="0"/>
  </r>
  <r>
    <s v="F-213"/>
    <x v="44"/>
    <s v="D-0005"/>
    <x v="35"/>
    <s v="Rajshahi Sadar, Rajshahi"/>
    <n v="1715299768"/>
    <x v="7"/>
    <s v="Raihan Siddiqui"/>
    <x v="19"/>
    <s v="Rajshahi Sadar"/>
    <x v="12"/>
    <s v="3000 4T 20W50"/>
    <n v="3000"/>
    <n v="450"/>
    <n v="3000"/>
    <n v="4.8888888888888871E-2"/>
    <n v="0"/>
    <n v="428"/>
    <n v="3000"/>
    <n v="3000"/>
    <n v="1350000"/>
    <n v="0"/>
    <n v="1284000"/>
    <n v="167478.26086956522"/>
    <n v="1116521.7391304348"/>
    <s v="Cash"/>
    <n v="677"/>
    <s v="Regular"/>
    <d v="2025-03-18T00:00:00"/>
    <s v=""/>
    <x v="3"/>
    <s v="Mineral"/>
    <x v="0"/>
    <x v="3"/>
    <x v="0"/>
    <n v="0"/>
    <x v="0"/>
    <n v="1094760"/>
    <n v="21761.739130434813"/>
    <s v="O-45732-D-0005"/>
    <x v="0"/>
  </r>
  <r>
    <s v="F-214"/>
    <x v="43"/>
    <s v="D-0009"/>
    <x v="73"/>
    <s v="Jatrabari, Dhaka"/>
    <s v="+88001762-453336"/>
    <x v="5"/>
    <s v="Abdul Matin"/>
    <x v="12"/>
    <s v="Saydabad"/>
    <x v="4"/>
    <s v="3000 4T PLUS 20W40"/>
    <n v="200"/>
    <n v="645"/>
    <n v="240"/>
    <n v="0"/>
    <n v="0"/>
    <n v="645"/>
    <n v="200"/>
    <n v="240"/>
    <n v="129000"/>
    <n v="0"/>
    <n v="129000"/>
    <n v="16826.08695652174"/>
    <n v="112173.91304347826"/>
    <s v="Cash"/>
    <n v="678"/>
    <s v="Custom"/>
    <d v="2025-03-19T00:00:00"/>
    <s v="transport delivery by us ; not home delivery"/>
    <x v="0"/>
    <s v="Mineral"/>
    <x v="0"/>
    <x v="1"/>
    <x v="0"/>
    <n v="0"/>
    <x v="1"/>
    <n v="93979.559070121948"/>
    <n v="18194.353973356308"/>
    <s v="O-45733-D-0009"/>
    <x v="0"/>
  </r>
  <r>
    <s v="F-214"/>
    <x v="43"/>
    <s v="D-0009"/>
    <x v="73"/>
    <s v="Jatrabari, Dhaka"/>
    <s v="+88001762-453336"/>
    <x v="5"/>
    <s v="Abdul Matin"/>
    <x v="12"/>
    <s v="Saydabad"/>
    <x v="8"/>
    <s v="7100 4T 10W40 ESTER CORE®"/>
    <n v="240"/>
    <n v="1070"/>
    <n v="240"/>
    <n v="1.8691588785046731E-2"/>
    <n v="0"/>
    <n v="1050"/>
    <n v="240"/>
    <n v="240"/>
    <n v="256800"/>
    <n v="0"/>
    <n v="252000"/>
    <n v="32869.565217391304"/>
    <n v="219130.4347826087"/>
    <s v="Cash"/>
    <n v="678"/>
    <s v="Custom"/>
    <d v="2025-03-19T00:00:00"/>
    <s v="transport delivery by us ; not home delivery"/>
    <x v="0"/>
    <s v="Synthetic"/>
    <x v="0"/>
    <x v="2"/>
    <x v="3"/>
    <n v="0"/>
    <x v="2"/>
    <n v="166557.6"/>
    <n v="52572.834782608697"/>
    <s v="O-45733-D-0009"/>
    <x v="0"/>
  </r>
  <r>
    <s v="F-214"/>
    <x v="43"/>
    <s v="D-0009"/>
    <x v="73"/>
    <s v="Jatrabari, Dhaka"/>
    <s v="+88001762-453336"/>
    <x v="5"/>
    <s v="Abdul Matin"/>
    <x v="12"/>
    <s v="Saydabad"/>
    <x v="13"/>
    <s v="Brake Fluid DOT 4"/>
    <n v="80"/>
    <n v="127.5"/>
    <n v="8"/>
    <n v="0"/>
    <n v="0"/>
    <n v="127.5"/>
    <n v="80"/>
    <n v="8"/>
    <n v="10200"/>
    <n v="0"/>
    <n v="10200"/>
    <n v="1330.4347826086957"/>
    <n v="8869.565217391304"/>
    <s v="Cash"/>
    <n v="678"/>
    <s v="Custom"/>
    <d v="2025-03-19T00:00:00"/>
    <s v="transport delivery by us ; not home delivery"/>
    <x v="0"/>
    <s v="Care Products"/>
    <x v="1"/>
    <x v="4"/>
    <x v="5"/>
    <n v="0"/>
    <x v="4"/>
    <n v="5788"/>
    <n v="3081.565217391304"/>
    <s v="O-45733-D-0009"/>
    <x v="0"/>
  </r>
  <r>
    <s v="F-215"/>
    <x v="45"/>
    <s v="D-0023"/>
    <x v="74"/>
    <s v="Saidpur Sadar"/>
    <n v="1944283828"/>
    <x v="6"/>
    <s v="Raihan Siddiqui"/>
    <x v="9"/>
    <s v="Rangpur"/>
    <x v="1"/>
    <s v="3000 4T PLUS 20W40"/>
    <n v="40"/>
    <n v="540"/>
    <n v="40"/>
    <n v="0"/>
    <n v="0"/>
    <n v="540"/>
    <n v="40"/>
    <n v="40"/>
    <n v="21600"/>
    <n v="0"/>
    <n v="21600"/>
    <n v="2817.391304347826"/>
    <n v="18782.608695652172"/>
    <s v="Cash"/>
    <n v="679"/>
    <s v="Regular"/>
    <d v="2025-03-23T00:00:00"/>
    <s v=""/>
    <x v="3"/>
    <s v="Mineral"/>
    <x v="0"/>
    <x v="1"/>
    <x v="0"/>
    <n v="0"/>
    <x v="0"/>
    <n v="16510.400000000001"/>
    <n v="2272.2086956521707"/>
    <s v="O-45735-D-0023"/>
    <x v="0"/>
  </r>
  <r>
    <s v="F-215"/>
    <x v="45"/>
    <s v="D-0023"/>
    <x v="74"/>
    <s v="Saidpur Sadar"/>
    <n v="1944283828"/>
    <x v="6"/>
    <s v="Raihan Siddiqui"/>
    <x v="9"/>
    <s v="Rangpur"/>
    <x v="2"/>
    <s v="3000 4T PLUS 10W40"/>
    <n v="120"/>
    <n v="540"/>
    <n v="120"/>
    <n v="0"/>
    <n v="0"/>
    <n v="540"/>
    <n v="120"/>
    <n v="120"/>
    <n v="64800"/>
    <n v="0"/>
    <n v="64800"/>
    <n v="8452.173913043478"/>
    <n v="56347.82608695652"/>
    <s v="Cash"/>
    <n v="679"/>
    <s v="Regular"/>
    <d v="2025-03-23T00:00:00"/>
    <s v=""/>
    <x v="3"/>
    <s v="Mineral"/>
    <x v="0"/>
    <x v="2"/>
    <x v="0"/>
    <n v="0"/>
    <x v="0"/>
    <n v="46182"/>
    <n v="10165.82608695652"/>
    <s v="O-45735-D-0023"/>
    <x v="0"/>
  </r>
  <r>
    <s v="F-215"/>
    <x v="45"/>
    <s v="D-0023"/>
    <x v="74"/>
    <s v="Saidpur Sadar"/>
    <n v="1944283828"/>
    <x v="6"/>
    <s v="Raihan Siddiqui"/>
    <x v="9"/>
    <s v="Rangpur"/>
    <x v="12"/>
    <s v="3000 4T 20W50"/>
    <n v="40"/>
    <n v="480"/>
    <n v="40"/>
    <n v="0"/>
    <n v="0"/>
    <n v="480"/>
    <n v="40"/>
    <n v="40"/>
    <n v="19200"/>
    <n v="0"/>
    <n v="19200"/>
    <n v="2504.3478260869565"/>
    <n v="16695.652173913044"/>
    <s v="Cash"/>
    <n v="679"/>
    <s v="Regular"/>
    <d v="2025-03-23T00:00:00"/>
    <s v=""/>
    <x v="3"/>
    <s v="Mineral"/>
    <x v="0"/>
    <x v="3"/>
    <x v="0"/>
    <n v="0"/>
    <x v="0"/>
    <n v="14596.800000000001"/>
    <n v="2098.8521739130429"/>
    <s v="O-45735-D-0023"/>
    <x v="0"/>
  </r>
  <r>
    <s v="F-216"/>
    <x v="45"/>
    <s v="D-0013"/>
    <x v="65"/>
    <s v="Wari"/>
    <s v="+88001905773547"/>
    <x v="5"/>
    <s v="Abdul Matin"/>
    <x v="27"/>
    <s v="Wari "/>
    <x v="11"/>
    <s v="7100 4T 10W30 ESTER CORE®"/>
    <n v="100"/>
    <n v="1295"/>
    <n v="120"/>
    <n v="2.7027027027026973E-2"/>
    <n v="0"/>
    <n v="1260"/>
    <n v="100"/>
    <n v="120"/>
    <n v="129500"/>
    <n v="0"/>
    <n v="126000"/>
    <n v="16434.782608695652"/>
    <n v="109565.21739130435"/>
    <s v="Cash"/>
    <n v="680"/>
    <s v="Custom"/>
    <d v="2025-03-23T00:00:00"/>
    <s v="Customized price"/>
    <x v="0"/>
    <s v="Synthetic"/>
    <x v="0"/>
    <x v="0"/>
    <x v="3"/>
    <n v="0"/>
    <x v="1"/>
    <n v="77730"/>
    <n v="31835.217391304352"/>
    <s v="O-45735-D-0013"/>
    <x v="0"/>
  </r>
  <r>
    <s v="F-217"/>
    <x v="46"/>
    <s v="D-0001"/>
    <x v="75"/>
    <s v="Faridpur"/>
    <n v="1923641421"/>
    <x v="4"/>
    <s v="Abdul Matin"/>
    <x v="10"/>
    <s v="Pangsha"/>
    <x v="0"/>
    <s v="3000 4T PLUS 10W30"/>
    <n v="300"/>
    <n v="540"/>
    <n v="300"/>
    <n v="3.703703703703709E-2"/>
    <n v="0"/>
    <n v="520"/>
    <n v="300"/>
    <n v="300"/>
    <n v="162000"/>
    <n v="0"/>
    <n v="156000"/>
    <n v="20347.82608695652"/>
    <n v="135652.17391304349"/>
    <s v="Cash"/>
    <n v="681"/>
    <s v="Flat Discount"/>
    <d v="2025-03-24T00:00:00"/>
    <s v="delivery system:personal vehicles "/>
    <x v="0"/>
    <s v="Mineral"/>
    <x v="0"/>
    <x v="0"/>
    <x v="0"/>
    <n v="0"/>
    <x v="0"/>
    <n v="113799"/>
    <n v="21853.173913043487"/>
    <s v="O-45740-D-0001"/>
    <x v="0"/>
  </r>
  <r>
    <s v="F-217"/>
    <x v="46"/>
    <s v="D-0001"/>
    <x v="75"/>
    <s v="Faridpur"/>
    <n v="1923641421"/>
    <x v="4"/>
    <s v="Abdul Matin"/>
    <x v="10"/>
    <s v="Pangsha"/>
    <x v="1"/>
    <s v="3000 4T PLUS 20W40"/>
    <n v="200"/>
    <n v="535"/>
    <n v="200"/>
    <n v="2.8037383177570097E-2"/>
    <n v="0"/>
    <n v="520"/>
    <n v="200"/>
    <n v="200"/>
    <n v="107000"/>
    <n v="0"/>
    <n v="104000"/>
    <n v="13565.217391304348"/>
    <n v="90434.782608695648"/>
    <s v="Cash"/>
    <n v="681"/>
    <s v="Flat Discount"/>
    <d v="2025-03-24T00:00:00"/>
    <s v="delivery system:personal vehicles "/>
    <x v="0"/>
    <s v="Mineral"/>
    <x v="0"/>
    <x v="1"/>
    <x v="0"/>
    <n v="0"/>
    <x v="0"/>
    <n v="82552"/>
    <n v="7882.7826086956484"/>
    <s v="O-45740-D-0001"/>
    <x v="0"/>
  </r>
  <r>
    <s v="F-217"/>
    <x v="46"/>
    <s v="D-0001"/>
    <x v="75"/>
    <s v="Faridpur"/>
    <n v="1923641421"/>
    <x v="4"/>
    <s v="Abdul Matin"/>
    <x v="10"/>
    <s v="Pangsha"/>
    <x v="2"/>
    <s v="3000 4T PLUS 10W40"/>
    <n v="1000"/>
    <n v="550"/>
    <n v="1000"/>
    <n v="5.4545454545454564E-2"/>
    <n v="0"/>
    <n v="520"/>
    <n v="1000"/>
    <n v="1000"/>
    <n v="550000"/>
    <n v="0"/>
    <n v="520000"/>
    <n v="67826.086956521744"/>
    <n v="452173.91304347827"/>
    <s v="Cash"/>
    <n v="681"/>
    <s v="Flat Discount"/>
    <d v="2025-03-24T00:00:00"/>
    <s v="delivery system:personal vehicles "/>
    <x v="0"/>
    <s v="Mineral"/>
    <x v="0"/>
    <x v="2"/>
    <x v="0"/>
    <n v="0"/>
    <x v="0"/>
    <n v="384850"/>
    <n v="67323.913043478271"/>
    <s v="O-45740-D-0001"/>
    <x v="0"/>
  </r>
  <r>
    <s v="F-217"/>
    <x v="46"/>
    <s v="D-0001"/>
    <x v="75"/>
    <s v="Faridpur"/>
    <n v="1923641421"/>
    <x v="4"/>
    <s v="Abdul Matin"/>
    <x v="10"/>
    <s v="Pangsha"/>
    <x v="4"/>
    <s v="3000 4T PLUS 20W40"/>
    <n v="300"/>
    <n v="645"/>
    <n v="360"/>
    <n v="1.5503875968992276E-2"/>
    <n v="0"/>
    <n v="635"/>
    <n v="300"/>
    <n v="360"/>
    <n v="193500"/>
    <n v="0"/>
    <n v="190500"/>
    <n v="24847.82608695652"/>
    <n v="165652.17391304349"/>
    <s v="Cash"/>
    <n v="681"/>
    <s v="Flat Discount"/>
    <d v="2025-03-24T00:00:00"/>
    <s v="delivery system:personal vehicles "/>
    <x v="0"/>
    <s v="Mineral"/>
    <x v="0"/>
    <x v="1"/>
    <x v="0"/>
    <n v="0"/>
    <x v="1"/>
    <n v="140969.33860518291"/>
    <n v="24682.835307860572"/>
    <s v="O-45740-D-0001"/>
    <x v="0"/>
  </r>
  <r>
    <s v="F-217"/>
    <x v="46"/>
    <s v="D-0001"/>
    <x v="75"/>
    <s v="Faridpur"/>
    <n v="1923641421"/>
    <x v="4"/>
    <s v="Abdul Matin"/>
    <x v="10"/>
    <s v="Pangsha"/>
    <x v="7"/>
    <s v="7100 4T 10W30 ESTER CORE®"/>
    <n v="48"/>
    <n v="1080"/>
    <n v="48"/>
    <n v="3.703703703703709E-2"/>
    <n v="0"/>
    <n v="1040"/>
    <n v="48"/>
    <n v="48"/>
    <n v="51840"/>
    <n v="0"/>
    <n v="49920"/>
    <n v="6511.304347826087"/>
    <n v="43408.695652173912"/>
    <s v="Cash"/>
    <n v="681"/>
    <s v="Flat Discount"/>
    <d v="2025-03-24T00:00:00"/>
    <s v="delivery system:personal vehicles "/>
    <x v="0"/>
    <s v="Synthetic"/>
    <x v="0"/>
    <x v="0"/>
    <x v="3"/>
    <n v="0"/>
    <x v="2"/>
    <n v="33113.279999999999"/>
    <n v="10295.415652173913"/>
    <s v="O-45740-D-0001"/>
    <x v="0"/>
  </r>
  <r>
    <s v="F-217"/>
    <x v="46"/>
    <s v="D-0001"/>
    <x v="75"/>
    <s v="Faridpur"/>
    <n v="1923641421"/>
    <x v="4"/>
    <s v="Abdul Matin"/>
    <x v="10"/>
    <s v="Pangsha"/>
    <x v="9"/>
    <s v="7100 4T 20W50 ESTER CORE®"/>
    <n v="60"/>
    <n v="1080"/>
    <n v="60"/>
    <n v="3.703703703703709E-2"/>
    <n v="0"/>
    <n v="1040"/>
    <n v="60"/>
    <n v="60"/>
    <n v="64800"/>
    <n v="0"/>
    <n v="62400"/>
    <n v="8139.130434782609"/>
    <n v="54260.869565217392"/>
    <s v="Cash"/>
    <n v="681"/>
    <s v="Flat Discount"/>
    <d v="2025-03-24T00:00:00"/>
    <s v="delivery system:personal vehicles "/>
    <x v="0"/>
    <s v="Synthetic"/>
    <x v="0"/>
    <x v="3"/>
    <x v="3"/>
    <n v="0"/>
    <x v="2"/>
    <n v="45821.904000000002"/>
    <n v="8438.9655652173897"/>
    <s v="O-45740-D-0001"/>
    <x v="0"/>
  </r>
  <r>
    <s v="F-217"/>
    <x v="46"/>
    <s v="D-0001"/>
    <x v="75"/>
    <s v="Faridpur"/>
    <n v="1923641421"/>
    <x v="4"/>
    <s v="Abdul Matin"/>
    <x v="10"/>
    <s v="Pangsha"/>
    <x v="11"/>
    <s v="7100 4T 10W30 ESTER CORE®"/>
    <n v="60"/>
    <n v="1295"/>
    <n v="72"/>
    <n v="3.4749034749034791E-2"/>
    <n v="0"/>
    <n v="1250"/>
    <n v="60"/>
    <n v="72"/>
    <n v="77700"/>
    <n v="0"/>
    <n v="75000"/>
    <n v="9782.608695652174"/>
    <n v="65217.391304347824"/>
    <s v="Cash"/>
    <n v="681"/>
    <s v="Flat Discount"/>
    <d v="2025-03-24T00:00:00"/>
    <s v="delivery system:personal vehicles "/>
    <x v="0"/>
    <s v="Synthetic"/>
    <x v="0"/>
    <x v="0"/>
    <x v="3"/>
    <n v="0"/>
    <x v="1"/>
    <n v="46638"/>
    <n v="18579.391304347824"/>
    <s v="O-45740-D-0001"/>
    <x v="0"/>
  </r>
  <r>
    <s v="F-217"/>
    <x v="46"/>
    <s v="D-0001"/>
    <x v="75"/>
    <s v="Faridpur"/>
    <n v="1923641421"/>
    <x v="4"/>
    <s v="Abdul Matin"/>
    <x v="10"/>
    <s v="Pangsha"/>
    <x v="12"/>
    <s v="3000 4T 20W50"/>
    <n v="200"/>
    <n v="495"/>
    <n v="200"/>
    <n v="0.19191919191919193"/>
    <n v="0"/>
    <n v="400"/>
    <n v="200"/>
    <n v="200"/>
    <n v="99000"/>
    <n v="0"/>
    <n v="80000"/>
    <n v="10434.782608695652"/>
    <n v="69565.217391304352"/>
    <s v="Cash"/>
    <n v="681"/>
    <s v="Flat Discount"/>
    <d v="2025-03-24T00:00:00"/>
    <s v="delivery system:personal vehicles "/>
    <x v="0"/>
    <s v="Mineral"/>
    <x v="0"/>
    <x v="3"/>
    <x v="0"/>
    <n v="0"/>
    <x v="0"/>
    <n v="72984"/>
    <n v="-3418.7826086956484"/>
    <s v="O-45740-D-0001"/>
    <x v="0"/>
  </r>
  <r>
    <s v="F-218"/>
    <x v="47"/>
    <s v="D-0010"/>
    <x v="9"/>
    <s v="Chowmuhoni"/>
    <s v="01710-639669"/>
    <x v="3"/>
    <s v="Razur Rahman (Bipul)"/>
    <x v="4"/>
    <s v="Chowmuhoni"/>
    <x v="2"/>
    <s v="3000 4T PLUS 10W40"/>
    <n v="80"/>
    <n v="550"/>
    <n v="80"/>
    <n v="3.6363636363636376E-2"/>
    <n v="0"/>
    <n v="530"/>
    <n v="80"/>
    <n v="80"/>
    <n v="44000"/>
    <n v="0"/>
    <n v="42400"/>
    <n v="5530.434782608696"/>
    <n v="36869.565217391304"/>
    <s v="Cash"/>
    <n v="682"/>
    <s v="Flat Discount"/>
    <d v="2025-03-24T00:00:00"/>
    <s v=""/>
    <x v="1"/>
    <s v="Mineral"/>
    <x v="0"/>
    <x v="2"/>
    <x v="0"/>
    <n v="0"/>
    <x v="0"/>
    <n v="30788"/>
    <n v="6081.565217391304"/>
    <s v="O-45739-D-0010"/>
    <x v="0"/>
  </r>
  <r>
    <s v="F-218"/>
    <x v="47"/>
    <s v="D-0010"/>
    <x v="9"/>
    <s v="Chowmuhoni"/>
    <s v="01710-639669"/>
    <x v="3"/>
    <s v="Razur Rahman (Bipul)"/>
    <x v="4"/>
    <s v="Chowmuhoni"/>
    <x v="12"/>
    <s v="3000 4T 20W50"/>
    <n v="20"/>
    <n v="495"/>
    <n v="20"/>
    <n v="5.0505050505050497E-2"/>
    <n v="0"/>
    <n v="470"/>
    <n v="20"/>
    <n v="20"/>
    <n v="9900"/>
    <n v="0"/>
    <n v="9400"/>
    <n v="1226.0869565217392"/>
    <n v="8173.913043478261"/>
    <s v="Cash"/>
    <n v="682"/>
    <s v="Flat Discount"/>
    <d v="2025-03-24T00:00:00"/>
    <s v=""/>
    <x v="1"/>
    <s v="Mineral"/>
    <x v="0"/>
    <x v="3"/>
    <x v="0"/>
    <n v="0"/>
    <x v="0"/>
    <n v="7298.4000000000005"/>
    <n v="875.51304347826044"/>
    <s v="O-45739-D-0010"/>
    <x v="0"/>
  </r>
  <r>
    <s v="F-219"/>
    <x v="47"/>
    <s v="D-0010"/>
    <x v="76"/>
    <s v="Chandpur Sadar"/>
    <s v="01742-677337"/>
    <x v="3"/>
    <s v="Razur Rahman (Bipul)"/>
    <x v="4"/>
    <s v="Chowmuhoni"/>
    <x v="2"/>
    <s v="3000 4T PLUS 10W40"/>
    <n v="60"/>
    <n v="550"/>
    <n v="60"/>
    <n v="2.7272727272727226E-2"/>
    <n v="0"/>
    <n v="535"/>
    <n v="60"/>
    <n v="60"/>
    <n v="33000"/>
    <n v="0"/>
    <n v="32100"/>
    <n v="4186.95652173913"/>
    <n v="27913.043478260868"/>
    <s v="Cash"/>
    <n v="683"/>
    <s v="Flat Discount"/>
    <d v="2025-03-24T00:00:00"/>
    <s v=""/>
    <x v="1"/>
    <s v="Mineral"/>
    <x v="0"/>
    <x v="2"/>
    <x v="0"/>
    <n v="0"/>
    <x v="0"/>
    <n v="23091"/>
    <n v="4822.0434782608681"/>
    <s v="O-45739-D-0010"/>
    <x v="0"/>
  </r>
  <r>
    <s v="F-220"/>
    <x v="47"/>
    <s v="D-0023"/>
    <x v="77"/>
    <s v="Registriri para--Tangail Sadar"/>
    <s v="+8801521308494"/>
    <x v="6"/>
    <s v="Raihan Siddiqui"/>
    <x v="9"/>
    <s v="Rangpur"/>
    <x v="0"/>
    <s v="3000 4T PLUS 10W30"/>
    <n v="60"/>
    <n v="540"/>
    <n v="60"/>
    <n v="9.2592592592593004E-3"/>
    <n v="0"/>
    <n v="535"/>
    <n v="60"/>
    <n v="60"/>
    <n v="32400"/>
    <n v="0"/>
    <n v="32100"/>
    <n v="4186.95652173913"/>
    <n v="27913.043478260868"/>
    <s v="Cash"/>
    <n v="684"/>
    <s v="Custom"/>
    <d v="2025-03-24T00:00:00"/>
    <s v=""/>
    <x v="3"/>
    <s v="Mineral"/>
    <x v="0"/>
    <x v="0"/>
    <x v="0"/>
    <n v="0"/>
    <x v="0"/>
    <n v="22759.8"/>
    <n v="5153.2434782608689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1"/>
    <s v="3000 4T PLUS 20W40"/>
    <n v="20"/>
    <n v="535"/>
    <n v="20"/>
    <n v="0"/>
    <n v="0"/>
    <n v="535"/>
    <n v="20"/>
    <n v="20"/>
    <n v="10700"/>
    <n v="0"/>
    <n v="10700"/>
    <n v="1395.6521739130435"/>
    <n v="9304.347826086956"/>
    <s v="Cash"/>
    <n v="684"/>
    <s v="Custom"/>
    <d v="2025-03-24T00:00:00"/>
    <s v=""/>
    <x v="3"/>
    <s v="Mineral"/>
    <x v="0"/>
    <x v="1"/>
    <x v="0"/>
    <n v="0"/>
    <x v="0"/>
    <n v="8255.2000000000007"/>
    <n v="1049.1478260869553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2"/>
    <s v="3000 4T PLUS 10W40"/>
    <n v="140"/>
    <n v="550"/>
    <n v="140"/>
    <n v="2.7272727272727226E-2"/>
    <n v="0"/>
    <n v="535"/>
    <n v="140"/>
    <n v="140"/>
    <n v="77000"/>
    <n v="0"/>
    <n v="74900"/>
    <n v="9769.565217391304"/>
    <n v="65130.434782608696"/>
    <s v="Cash"/>
    <n v="684"/>
    <s v="Custom"/>
    <d v="2025-03-24T00:00:00"/>
    <s v=""/>
    <x v="3"/>
    <s v="Mineral"/>
    <x v="0"/>
    <x v="2"/>
    <x v="0"/>
    <n v="0"/>
    <x v="0"/>
    <n v="53879"/>
    <n v="11251.434782608696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4"/>
    <s v="3000 4T PLUS 20W40"/>
    <n v="40"/>
    <n v="645"/>
    <n v="48"/>
    <n v="7.7519379844961378E-3"/>
    <n v="0"/>
    <n v="640"/>
    <n v="40"/>
    <n v="48"/>
    <n v="25800"/>
    <n v="0"/>
    <n v="25600"/>
    <n v="3339.1304347826085"/>
    <n v="22260.869565217392"/>
    <s v="Cash"/>
    <n v="684"/>
    <s v="Custom"/>
    <d v="2025-03-24T00:00:00"/>
    <s v=""/>
    <x v="3"/>
    <s v="Mineral"/>
    <x v="0"/>
    <x v="1"/>
    <x v="0"/>
    <n v="0"/>
    <x v="1"/>
    <n v="18795.911814024388"/>
    <n v="3464.9577511930038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6"/>
    <s v="51004T 10W40 ESTER"/>
    <n v="24"/>
    <n v="860"/>
    <n v="24"/>
    <n v="0"/>
    <n v="0"/>
    <n v="860"/>
    <n v="24"/>
    <n v="24"/>
    <n v="20640"/>
    <n v="0"/>
    <n v="20640"/>
    <n v="2692.1739130434785"/>
    <n v="17947.82608695652"/>
    <s v="Cash"/>
    <n v="684"/>
    <s v="Custom"/>
    <d v="2025-03-24T00:00:00"/>
    <s v=""/>
    <x v="3"/>
    <s v="Technosynthese"/>
    <x v="0"/>
    <x v="2"/>
    <x v="2"/>
    <n v="0"/>
    <x v="2"/>
    <n v="14599.920000000002"/>
    <n v="3347.9060869565183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7"/>
    <s v="7100 4T 10W30 ESTER CORE®"/>
    <n v="12"/>
    <n v="1080"/>
    <n v="12"/>
    <n v="4.6296296296296502E-3"/>
    <n v="0"/>
    <n v="1075"/>
    <n v="12"/>
    <n v="12"/>
    <n v="12960"/>
    <n v="0"/>
    <n v="12900"/>
    <n v="1682.608695652174"/>
    <n v="11217.391304347826"/>
    <s v="Cash"/>
    <n v="684"/>
    <s v="Custom"/>
    <d v="2025-03-24T00:00:00"/>
    <s v=""/>
    <x v="3"/>
    <s v="Synthetic"/>
    <x v="0"/>
    <x v="0"/>
    <x v="3"/>
    <n v="0"/>
    <x v="2"/>
    <n v="8278.32"/>
    <n v="2939.0713043478263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9"/>
    <s v="7100 4T 20W50 ESTER CORE®"/>
    <n v="24"/>
    <n v="1080"/>
    <n v="24"/>
    <n v="4.6296296296296502E-3"/>
    <n v="0"/>
    <n v="1075"/>
    <n v="24"/>
    <n v="24"/>
    <n v="25920"/>
    <n v="0"/>
    <n v="25800"/>
    <n v="3365.217391304348"/>
    <n v="22434.782608695652"/>
    <s v="Cash"/>
    <n v="684"/>
    <s v="Custom"/>
    <d v="2025-03-24T00:00:00"/>
    <s v=""/>
    <x v="3"/>
    <s v="Synthetic"/>
    <x v="0"/>
    <x v="3"/>
    <x v="3"/>
    <n v="0"/>
    <x v="2"/>
    <n v="18328.761599999998"/>
    <n v="4106.021008695654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18"/>
    <s v="Inugel Expert Coolant"/>
    <n v="40"/>
    <n v="425"/>
    <n v="40"/>
    <n v="0"/>
    <n v="0"/>
    <n v="425"/>
    <n v="40"/>
    <n v="40"/>
    <n v="17000"/>
    <n v="0"/>
    <n v="17000"/>
    <n v="2217.391304347826"/>
    <n v="14782.608695652174"/>
    <s v="Cash"/>
    <n v="684"/>
    <s v="Custom"/>
    <d v="2025-03-24T00:00:00"/>
    <s v=""/>
    <x v="3"/>
    <s v="Care Products"/>
    <x v="1"/>
    <x v="4"/>
    <x v="9"/>
    <n v="0"/>
    <x v="0"/>
    <n v="9225.5999999999985"/>
    <n v="5557.0086956521754"/>
    <s v="O-45739-D-0023"/>
    <x v="0"/>
  </r>
  <r>
    <s v="F-220"/>
    <x v="47"/>
    <s v="D-0023"/>
    <x v="77"/>
    <s v="Registriri para--Tangail Sadar"/>
    <s v="+8801521308494"/>
    <x v="6"/>
    <s v="Raihan Siddiqui"/>
    <x v="9"/>
    <s v="Rangpur"/>
    <x v="12"/>
    <s v="3000 4T 20W50"/>
    <n v="140"/>
    <n v="495"/>
    <n v="140"/>
    <n v="9.0909090909090939E-2"/>
    <n v="0"/>
    <n v="450"/>
    <n v="140"/>
    <n v="140"/>
    <n v="69300"/>
    <n v="0"/>
    <n v="63000"/>
    <n v="8217.391304347826"/>
    <n v="54782.608695652176"/>
    <s v="Cash"/>
    <n v="684"/>
    <s v="Custom"/>
    <d v="2025-03-24T00:00:00"/>
    <s v=""/>
    <x v="3"/>
    <s v="Mineral"/>
    <x v="0"/>
    <x v="3"/>
    <x v="0"/>
    <n v="0"/>
    <x v="0"/>
    <n v="51088.800000000003"/>
    <n v="3693.8086956521729"/>
    <s v="O-45739-D-0023"/>
    <x v="0"/>
  </r>
  <r>
    <s v="F-221"/>
    <x v="47"/>
    <s v="D-0023"/>
    <x v="78"/>
    <s v="Joldhaka, Nilphamari _x000a_Tangail Sadar"/>
    <n v="1722254955"/>
    <x v="6"/>
    <s v="Raihan Siddiqui"/>
    <x v="9"/>
    <s v="Rangpur"/>
    <x v="0"/>
    <s v="3000 4T PLUS 10W30"/>
    <n v="40"/>
    <n v="540"/>
    <n v="40"/>
    <n v="0"/>
    <n v="0"/>
    <n v="540"/>
    <n v="40"/>
    <n v="40"/>
    <n v="21600"/>
    <n v="0"/>
    <n v="21600"/>
    <n v="2817.391304347826"/>
    <n v="18782.608695652172"/>
    <s v="Cash"/>
    <n v="685"/>
    <s v="Regular"/>
    <d v="2025-03-24T00:00:00"/>
    <s v=""/>
    <x v="3"/>
    <s v="Mineral"/>
    <x v="0"/>
    <x v="0"/>
    <x v="0"/>
    <n v="0"/>
    <x v="0"/>
    <n v="15173.199999999999"/>
    <n v="3609.4086956521733"/>
    <s v="O-45739-D-0023"/>
    <x v="0"/>
  </r>
  <r>
    <s v="F-221"/>
    <x v="47"/>
    <s v="D-0023"/>
    <x v="78"/>
    <s v="Joldhaka, Nilphamari _x000a_Tangail Sadar"/>
    <n v="1722254955"/>
    <x v="6"/>
    <s v="Raihan Siddiqui"/>
    <x v="9"/>
    <s v="Rangpur"/>
    <x v="2"/>
    <s v="3000 4T PLUS 10W40"/>
    <n v="140"/>
    <n v="550"/>
    <n v="140"/>
    <n v="1.8181818181818188E-2"/>
    <n v="0"/>
    <n v="540"/>
    <n v="140"/>
    <n v="140"/>
    <n v="77000"/>
    <n v="0"/>
    <n v="75600"/>
    <n v="9860.8695652173919"/>
    <n v="65739.130434782608"/>
    <s v="Cash"/>
    <n v="685"/>
    <s v="Regular"/>
    <d v="2025-03-24T00:00:00"/>
    <s v=""/>
    <x v="3"/>
    <s v="Mineral"/>
    <x v="0"/>
    <x v="2"/>
    <x v="0"/>
    <n v="0"/>
    <x v="0"/>
    <n v="53879"/>
    <n v="11860.130434782608"/>
    <s v="O-45739-D-0023"/>
    <x v="0"/>
  </r>
  <r>
    <s v="F-221"/>
    <x v="47"/>
    <s v="D-0023"/>
    <x v="78"/>
    <s v="Joldhaka, Nilphamari _x000a_Tangail Sadar"/>
    <n v="1722254955"/>
    <x v="6"/>
    <s v="Raihan Siddiqui"/>
    <x v="9"/>
    <s v="Rangpur"/>
    <x v="4"/>
    <s v="3000 4T PLUS 20W40"/>
    <n v="20"/>
    <n v="645"/>
    <n v="24"/>
    <n v="7.7519379844961378E-3"/>
    <n v="0"/>
    <n v="640"/>
    <n v="20"/>
    <n v="24"/>
    <n v="12900"/>
    <n v="0"/>
    <n v="12800"/>
    <n v="1669.5652173913043"/>
    <n v="11130.434782608696"/>
    <s v="Cash"/>
    <n v="685"/>
    <s v="Regular"/>
    <d v="2025-03-24T00:00:00"/>
    <s v=""/>
    <x v="3"/>
    <s v="Mineral"/>
    <x v="0"/>
    <x v="1"/>
    <x v="0"/>
    <n v="0"/>
    <x v="1"/>
    <n v="9397.9559070121941"/>
    <n v="1732.4788755965019"/>
    <s v="O-45739-D-0023"/>
    <x v="0"/>
  </r>
  <r>
    <s v="F-221"/>
    <x v="47"/>
    <s v="D-0023"/>
    <x v="78"/>
    <s v="Joldhaka, Nilphamari _x000a_Tangail Sadar"/>
    <n v="1722254955"/>
    <x v="6"/>
    <s v="Raihan Siddiqui"/>
    <x v="9"/>
    <s v="Rangpur"/>
    <x v="7"/>
    <s v="7100 4T 10W30 ESTER CORE®"/>
    <n v="12"/>
    <n v="1080"/>
    <n v="12"/>
    <n v="0"/>
    <n v="0"/>
    <n v="1080"/>
    <n v="12"/>
    <n v="12"/>
    <n v="12960"/>
    <n v="0"/>
    <n v="12960"/>
    <n v="1690.4347826086957"/>
    <n v="11269.565217391304"/>
    <s v="Cash"/>
    <n v="685"/>
    <s v="Regular"/>
    <d v="2025-03-24T00:00:00"/>
    <s v=""/>
    <x v="3"/>
    <s v="Synthetic"/>
    <x v="0"/>
    <x v="0"/>
    <x v="3"/>
    <n v="0"/>
    <x v="2"/>
    <n v="8278.32"/>
    <n v="2991.2452173913043"/>
    <s v="O-45739-D-0023"/>
    <x v="0"/>
  </r>
  <r>
    <s v="F-222"/>
    <x v="46"/>
    <s v="D-0001"/>
    <x v="62"/>
    <s v="pangsha"/>
    <n v="1711154387"/>
    <x v="4"/>
    <s v="Abdul Matin"/>
    <x v="10"/>
    <s v="Pangsha"/>
    <x v="0"/>
    <s v="3000 4T PLUS 10W30"/>
    <n v="400"/>
    <n v="540"/>
    <n v="400"/>
    <n v="3.703703703703709E-2"/>
    <n v="0"/>
    <n v="520"/>
    <n v="400"/>
    <n v="400"/>
    <n v="216000"/>
    <n v="0"/>
    <n v="208000"/>
    <n v="27130.434782608696"/>
    <n v="180869.5652173913"/>
    <s v="Cash"/>
    <n v="686"/>
    <s v="Flat Discount"/>
    <d v="2025-03-25T00:00:00"/>
    <s v=""/>
    <x v="0"/>
    <s v="Mineral"/>
    <x v="0"/>
    <x v="0"/>
    <x v="0"/>
    <n v="0"/>
    <x v="0"/>
    <n v="151732"/>
    <n v="29137.565217391297"/>
    <s v="O-45740-D-0001"/>
    <x v="0"/>
  </r>
  <r>
    <s v="F-222"/>
    <x v="46"/>
    <s v="D-0001"/>
    <x v="62"/>
    <s v="pangsha"/>
    <n v="1711154387"/>
    <x v="4"/>
    <s v="Abdul Matin"/>
    <x v="10"/>
    <s v="Pangsha"/>
    <x v="1"/>
    <s v="3000 4T PLUS 20W40"/>
    <n v="300"/>
    <n v="535"/>
    <n v="300"/>
    <n v="2.8037383177570097E-2"/>
    <n v="0"/>
    <n v="520"/>
    <n v="300"/>
    <n v="300"/>
    <n v="160500"/>
    <n v="0"/>
    <n v="156000"/>
    <n v="20347.82608695652"/>
    <n v="135652.17391304349"/>
    <s v="Cash"/>
    <n v="686"/>
    <s v="Flat Discount"/>
    <d v="2025-03-25T00:00:00"/>
    <s v=""/>
    <x v="0"/>
    <s v="Mineral"/>
    <x v="0"/>
    <x v="1"/>
    <x v="0"/>
    <n v="0"/>
    <x v="0"/>
    <n v="123828"/>
    <n v="11824.173913043487"/>
    <s v="O-45740-D-0001"/>
    <x v="0"/>
  </r>
  <r>
    <s v="F-222"/>
    <x v="46"/>
    <s v="D-0001"/>
    <x v="62"/>
    <s v="pangsha"/>
    <n v="1711154387"/>
    <x v="4"/>
    <s v="Abdul Matin"/>
    <x v="10"/>
    <s v="Pangsha"/>
    <x v="2"/>
    <s v="3000 4T PLUS 10W40"/>
    <n v="1200"/>
    <n v="550"/>
    <n v="1200"/>
    <n v="5.4545454545454564E-2"/>
    <n v="0"/>
    <n v="520"/>
    <n v="1200"/>
    <n v="1200"/>
    <n v="660000"/>
    <n v="0"/>
    <n v="624000"/>
    <n v="81391.304347826081"/>
    <n v="542608.69565217395"/>
    <s v="Cash"/>
    <n v="686"/>
    <s v="Flat Discount"/>
    <d v="2025-03-25T00:00:00"/>
    <s v=""/>
    <x v="0"/>
    <s v="Mineral"/>
    <x v="0"/>
    <x v="2"/>
    <x v="0"/>
    <n v="0"/>
    <x v="0"/>
    <n v="461820"/>
    <n v="80788.695652173948"/>
    <s v="O-45740-D-0001"/>
    <x v="0"/>
  </r>
  <r>
    <s v="F-222"/>
    <x v="46"/>
    <s v="D-0001"/>
    <x v="62"/>
    <s v="pangsha"/>
    <n v="1711154387"/>
    <x v="4"/>
    <s v="Abdul Matin"/>
    <x v="10"/>
    <s v="Pangsha"/>
    <x v="4"/>
    <s v="3000 4T PLUS 20W40"/>
    <n v="200"/>
    <n v="645"/>
    <n v="240"/>
    <n v="1.5503875968992276E-2"/>
    <n v="0"/>
    <n v="635"/>
    <n v="200"/>
    <n v="240"/>
    <n v="129000"/>
    <n v="0"/>
    <n v="127000"/>
    <n v="16565.217391304348"/>
    <n v="110434.78260869565"/>
    <s v="Cash"/>
    <n v="686"/>
    <s v="Flat Discount"/>
    <d v="2025-03-25T00:00:00"/>
    <s v=""/>
    <x v="0"/>
    <s v="Mineral"/>
    <x v="0"/>
    <x v="1"/>
    <x v="0"/>
    <n v="0"/>
    <x v="1"/>
    <n v="93979.559070121948"/>
    <n v="16455.2235385737"/>
    <s v="O-45740-D-0001"/>
    <x v="0"/>
  </r>
  <r>
    <s v="F-222"/>
    <x v="46"/>
    <s v="D-0001"/>
    <x v="62"/>
    <s v="pangsha"/>
    <n v="1711154387"/>
    <x v="4"/>
    <s v="Abdul Matin"/>
    <x v="10"/>
    <s v="Pangsha"/>
    <x v="12"/>
    <s v="3000 4T 20W50"/>
    <n v="400"/>
    <n v="495"/>
    <n v="400"/>
    <n v="0.19191919191919193"/>
    <n v="0"/>
    <n v="400"/>
    <n v="400"/>
    <n v="400"/>
    <n v="198000"/>
    <n v="0"/>
    <n v="160000"/>
    <n v="20869.565217391304"/>
    <n v="139130.4347826087"/>
    <s v="Cash"/>
    <n v="686"/>
    <s v="Flat Discount"/>
    <d v="2025-03-25T00:00:00"/>
    <s v=""/>
    <x v="0"/>
    <s v="Mineral"/>
    <x v="0"/>
    <x v="3"/>
    <x v="0"/>
    <n v="0"/>
    <x v="0"/>
    <n v="145968"/>
    <n v="-6837.5652173912968"/>
    <s v="O-45740-D-0001"/>
    <x v="0"/>
  </r>
  <r>
    <s v="F-223"/>
    <x v="47"/>
    <s v="D-0006"/>
    <x v="18"/>
    <s v="Savar"/>
    <s v=""/>
    <x v="0"/>
    <s v="Abdul Matin"/>
    <x v="7"/>
    <s v="Savar"/>
    <x v="1"/>
    <s v="3000 4T PLUS 20W40"/>
    <n v="600"/>
    <n v="535"/>
    <n v="600"/>
    <n v="2.8037383177570097E-2"/>
    <n v="0"/>
    <n v="520"/>
    <n v="600"/>
    <n v="600"/>
    <n v="321000"/>
    <n v="0"/>
    <n v="312000"/>
    <n v="40695.65217391304"/>
    <n v="271304.34782608697"/>
    <s v="Cash"/>
    <n v="687"/>
    <s v="Custom"/>
    <d v="2025-03-25T00:00:00"/>
    <s v="No Transport allowance."/>
    <x v="0"/>
    <s v="Mineral"/>
    <x v="0"/>
    <x v="1"/>
    <x v="0"/>
    <n v="0"/>
    <x v="0"/>
    <n v="247656"/>
    <n v="23648.347826086974"/>
    <s v="O-45739-D-0006"/>
    <x v="0"/>
  </r>
  <r>
    <s v="F-223"/>
    <x v="47"/>
    <s v="D-0006"/>
    <x v="18"/>
    <s v="Savar"/>
    <s v=""/>
    <x v="0"/>
    <s v="Abdul Matin"/>
    <x v="7"/>
    <s v="Savar"/>
    <x v="7"/>
    <s v="7100 4T 10W30 ESTER CORE®"/>
    <n v="120"/>
    <n v="1080"/>
    <n v="120"/>
    <n v="3.703703703703709E-2"/>
    <n v="0"/>
    <n v="1040"/>
    <n v="120"/>
    <n v="120"/>
    <n v="129600"/>
    <n v="0"/>
    <n v="124800"/>
    <n v="16278.260869565218"/>
    <n v="108521.73913043478"/>
    <s v="Cash"/>
    <n v="687"/>
    <s v="Custom"/>
    <d v="2025-03-25T00:00:00"/>
    <s v="No Transport allowance."/>
    <x v="0"/>
    <s v="Synthetic"/>
    <x v="0"/>
    <x v="0"/>
    <x v="3"/>
    <n v="0"/>
    <x v="2"/>
    <n v="82783.199999999997"/>
    <n v="25738.539130434787"/>
    <s v="O-45739-D-0006"/>
    <x v="0"/>
  </r>
  <r>
    <s v="F-223"/>
    <x v="47"/>
    <s v="D-0006"/>
    <x v="18"/>
    <s v="Savar"/>
    <s v=""/>
    <x v="0"/>
    <s v="Abdul Matin"/>
    <x v="7"/>
    <s v="Savar"/>
    <x v="9"/>
    <s v="7100 4T 20W50 ESTER CORE®"/>
    <n v="120"/>
    <n v="1080"/>
    <n v="120"/>
    <n v="3.703703703703709E-2"/>
    <n v="0"/>
    <n v="1040"/>
    <n v="120"/>
    <n v="120"/>
    <n v="129600"/>
    <n v="0"/>
    <n v="124800"/>
    <n v="16278.260869565218"/>
    <n v="108521.73913043478"/>
    <s v="Cash"/>
    <n v="687"/>
    <s v="Custom"/>
    <d v="2025-03-25T00:00:00"/>
    <s v="No Transport allowance."/>
    <x v="0"/>
    <s v="Synthetic"/>
    <x v="0"/>
    <x v="3"/>
    <x v="3"/>
    <n v="0"/>
    <x v="2"/>
    <n v="91643.808000000005"/>
    <n v="16877.931130434779"/>
    <s v="O-45739-D-0006"/>
    <x v="0"/>
  </r>
  <r>
    <s v="F-224"/>
    <x v="46"/>
    <s v="D-0023"/>
    <x v="79"/>
    <s v="Saidpur Sadar"/>
    <n v="1912060295"/>
    <x v="6"/>
    <s v="Raihan Siddiqui"/>
    <x v="9"/>
    <s v="Rangpur"/>
    <x v="2"/>
    <s v="3000 4T PLUS 10W40"/>
    <n v="20"/>
    <n v="550"/>
    <n v="20"/>
    <n v="1.8181818181818188E-2"/>
    <n v="0"/>
    <n v="540"/>
    <n v="20"/>
    <n v="20"/>
    <n v="11000"/>
    <n v="0"/>
    <n v="10800"/>
    <n v="1408.695652173913"/>
    <n v="9391.3043478260861"/>
    <s v="Cash"/>
    <n v="688"/>
    <s v="Flat Discount"/>
    <d v="2025-03-25T00:00:00"/>
    <s v=""/>
    <x v="3"/>
    <s v="Mineral"/>
    <x v="0"/>
    <x v="2"/>
    <x v="0"/>
    <n v="0"/>
    <x v="0"/>
    <n v="7697"/>
    <n v="1694.3043478260861"/>
    <s v="O-45740-D-0023"/>
    <x v="0"/>
  </r>
  <r>
    <s v="F-224"/>
    <x v="46"/>
    <s v="D-0023"/>
    <x v="79"/>
    <s v="Saidpur Sadar"/>
    <n v="1912060295"/>
    <x v="6"/>
    <s v="Raihan Siddiqui"/>
    <x v="9"/>
    <s v="Rangpur"/>
    <x v="18"/>
    <s v="Inugel Expert Coolant"/>
    <n v="40"/>
    <n v="425"/>
    <n v="40"/>
    <n v="1.1764705882352899E-2"/>
    <n v="0"/>
    <n v="420"/>
    <n v="40"/>
    <n v="40"/>
    <n v="17000"/>
    <n v="0"/>
    <n v="16800"/>
    <n v="2191.304347826087"/>
    <n v="14608.695652173914"/>
    <s v="Cash"/>
    <n v="688"/>
    <s v="Flat Discount"/>
    <d v="2025-03-25T00:00:00"/>
    <s v=""/>
    <x v="3"/>
    <s v="Care Products"/>
    <x v="1"/>
    <x v="4"/>
    <x v="9"/>
    <n v="0"/>
    <x v="0"/>
    <n v="9225.5999999999985"/>
    <n v="5383.0956521739154"/>
    <s v="O-45740-D-0023"/>
    <x v="0"/>
  </r>
  <r>
    <s v="F-224"/>
    <x v="46"/>
    <s v="D-0023"/>
    <x v="79"/>
    <s v="Saidpur Sadar"/>
    <n v="1912060295"/>
    <x v="6"/>
    <s v="Raihan Siddiqui"/>
    <x v="9"/>
    <s v="Rangpur"/>
    <x v="12"/>
    <s v="3000 4T 20W50"/>
    <n v="40"/>
    <n v="495"/>
    <n v="40"/>
    <n v="5.0505050505050497E-2"/>
    <n v="0"/>
    <n v="470"/>
    <n v="40"/>
    <n v="40"/>
    <n v="19800"/>
    <n v="0"/>
    <n v="18800"/>
    <n v="2452.1739130434785"/>
    <n v="16347.826086956522"/>
    <s v="Cash"/>
    <n v="688"/>
    <s v="Flat Discount"/>
    <d v="2025-03-25T00:00:00"/>
    <s v=""/>
    <x v="3"/>
    <s v="Mineral"/>
    <x v="0"/>
    <x v="3"/>
    <x v="0"/>
    <n v="0"/>
    <x v="0"/>
    <n v="14596.800000000001"/>
    <n v="1751.0260869565209"/>
    <s v="O-45740-D-0023"/>
    <x v="0"/>
  </r>
  <r>
    <s v="F-225"/>
    <x v="48"/>
    <s v="D-0003"/>
    <x v="80"/>
    <s v="Jamaipara, Sunamganj"/>
    <s v="01705-854256"/>
    <x v="3"/>
    <s v="Razur Rahman (Bipul)"/>
    <x v="8"/>
    <s v="Taltola"/>
    <x v="2"/>
    <s v="3000 4T PLUS 10W40"/>
    <n v="100"/>
    <n v="550"/>
    <n v="100"/>
    <n v="0"/>
    <n v="0"/>
    <n v="550"/>
    <n v="100"/>
    <n v="100"/>
    <n v="55000"/>
    <n v="0"/>
    <n v="55000"/>
    <n v="7173.913043478261"/>
    <n v="47826.086956521736"/>
    <s v="Cash"/>
    <n v="689"/>
    <s v="Flat Discount"/>
    <d v="2025-03-25T00:00:00"/>
    <s v=""/>
    <x v="1"/>
    <s v="Mineral"/>
    <x v="0"/>
    <x v="2"/>
    <x v="0"/>
    <n v="0"/>
    <x v="0"/>
    <n v="38485"/>
    <n v="9341.0869565217363"/>
    <s v="O-45741-D-0003"/>
    <x v="0"/>
  </r>
  <r>
    <s v="F-225"/>
    <x v="48"/>
    <s v="D-0003"/>
    <x v="80"/>
    <s v="Jamaipara, Sunamganj"/>
    <s v="01705-854256"/>
    <x v="3"/>
    <s v="Razur Rahman (Bipul)"/>
    <x v="8"/>
    <s v="Taltola"/>
    <x v="9"/>
    <s v="7100 4T 20W50 ESTER CORE®"/>
    <n v="36"/>
    <n v="1080"/>
    <n v="36"/>
    <n v="0"/>
    <n v="0"/>
    <n v="1080"/>
    <n v="36"/>
    <n v="36"/>
    <n v="38880"/>
    <n v="0"/>
    <n v="38880"/>
    <n v="5071.304347826087"/>
    <n v="33808.695652173912"/>
    <s v="Cash"/>
    <n v="689"/>
    <s v="Flat Discount"/>
    <d v="2025-03-25T00:00:00"/>
    <s v=""/>
    <x v="1"/>
    <s v="Synthetic"/>
    <x v="0"/>
    <x v="3"/>
    <x v="3"/>
    <n v="0"/>
    <x v="2"/>
    <n v="27493.142400000001"/>
    <n v="6315.5532521739115"/>
    <s v="O-45741-D-0003"/>
    <x v="0"/>
  </r>
  <r>
    <s v="F-226"/>
    <x v="49"/>
    <s v="D-0015"/>
    <x v="51"/>
    <s v="Wari "/>
    <s v=""/>
    <x v="5"/>
    <s v="Abdul Matin"/>
    <x v="6"/>
    <s v="Wari "/>
    <x v="0"/>
    <s v="3000 4T PLUS 10W30"/>
    <n v="1000"/>
    <n v="540"/>
    <n v="1000"/>
    <n v="2.777777777777779E-2"/>
    <n v="0"/>
    <n v="525"/>
    <n v="1000"/>
    <n v="1000"/>
    <n v="540000"/>
    <n v="0"/>
    <n v="525000"/>
    <n v="68478.260869565216"/>
    <n v="456521.73913043475"/>
    <s v="Cash"/>
    <n v="690"/>
    <s v="Custom"/>
    <d v="2025-04-08T00:00:00"/>
    <s v="Customized price"/>
    <x v="0"/>
    <s v="Mineral"/>
    <x v="0"/>
    <x v="0"/>
    <x v="0"/>
    <n v="0"/>
    <x v="0"/>
    <n v="379330"/>
    <n v="77191.739130434755"/>
    <s v="O-45754-D-0015"/>
    <x v="0"/>
  </r>
  <r>
    <s v="F-226"/>
    <x v="49"/>
    <s v="D-0015"/>
    <x v="51"/>
    <s v="Wari "/>
    <s v=""/>
    <x v="5"/>
    <s v="Abdul Matin"/>
    <x v="6"/>
    <s v="Wari "/>
    <x v="1"/>
    <s v="3000 4T PLUS 20W40"/>
    <n v="380"/>
    <n v="535"/>
    <n v="380"/>
    <n v="1.8691588785046731E-2"/>
    <n v="0"/>
    <n v="525"/>
    <n v="380"/>
    <n v="380"/>
    <n v="203300"/>
    <n v="0"/>
    <n v="199500"/>
    <n v="26021.739130434784"/>
    <n v="173478.26086956522"/>
    <s v="Cash"/>
    <n v="690"/>
    <s v="Custom"/>
    <d v="2025-04-08T00:00:00"/>
    <s v="Customized price"/>
    <x v="0"/>
    <s v="Mineral"/>
    <x v="0"/>
    <x v="1"/>
    <x v="0"/>
    <n v="0"/>
    <x v="0"/>
    <n v="156848.79999999999"/>
    <n v="16629.460869565228"/>
    <s v="O-45754-D-0015"/>
    <x v="0"/>
  </r>
  <r>
    <s v="F-226"/>
    <x v="49"/>
    <s v="D-0015"/>
    <x v="51"/>
    <s v="Wari "/>
    <s v=""/>
    <x v="5"/>
    <s v="Abdul Matin"/>
    <x v="6"/>
    <s v="Wari "/>
    <x v="2"/>
    <s v="3000 4T PLUS 10W40"/>
    <n v="1000"/>
    <n v="550"/>
    <n v="1000"/>
    <n v="4.5454545454545414E-2"/>
    <n v="0"/>
    <n v="525"/>
    <n v="1000"/>
    <n v="1000"/>
    <n v="550000"/>
    <n v="0"/>
    <n v="525000"/>
    <n v="68478.260869565216"/>
    <n v="456521.73913043475"/>
    <s v="Cash"/>
    <n v="690"/>
    <s v="Custom"/>
    <d v="2025-04-08T00:00:00"/>
    <s v="Customized price"/>
    <x v="0"/>
    <s v="Mineral"/>
    <x v="0"/>
    <x v="2"/>
    <x v="0"/>
    <n v="0"/>
    <x v="0"/>
    <n v="384850"/>
    <n v="71671.739130434755"/>
    <s v="O-45754-D-0015"/>
    <x v="0"/>
  </r>
  <r>
    <s v="F-226"/>
    <x v="49"/>
    <s v="D-0015"/>
    <x v="51"/>
    <s v="Wari "/>
    <s v=""/>
    <x v="5"/>
    <s v="Abdul Matin"/>
    <x v="6"/>
    <s v="Wari "/>
    <x v="4"/>
    <s v="3000 4T PLUS 20W40"/>
    <n v="400"/>
    <n v="645"/>
    <n v="480"/>
    <n v="2.3255813953488413E-2"/>
    <n v="0"/>
    <n v="630"/>
    <n v="400"/>
    <n v="480"/>
    <n v="258000"/>
    <n v="0"/>
    <n v="252000"/>
    <n v="32869.565217391304"/>
    <n v="219130.4347826087"/>
    <s v="Cash"/>
    <n v="690"/>
    <s v="Custom"/>
    <d v="2025-04-08T00:00:00"/>
    <s v="Customized price"/>
    <x v="0"/>
    <s v="Mineral"/>
    <x v="0"/>
    <x v="1"/>
    <x v="0"/>
    <n v="0"/>
    <x v="1"/>
    <n v="187959.1181402439"/>
    <n v="31171.316642364807"/>
    <s v="O-45754-D-0015"/>
    <x v="0"/>
  </r>
  <r>
    <s v="F-226"/>
    <x v="49"/>
    <s v="D-0015"/>
    <x v="51"/>
    <s v="Wari "/>
    <s v=""/>
    <x v="5"/>
    <s v="Abdul Matin"/>
    <x v="6"/>
    <s v="Wari "/>
    <x v="5"/>
    <s v="31004T GOLD 20W50"/>
    <n v="400"/>
    <n v="600"/>
    <n v="400"/>
    <n v="1.6666666666666718E-2"/>
    <n v="0"/>
    <n v="590"/>
    <n v="400"/>
    <n v="400"/>
    <n v="240000"/>
    <n v="0"/>
    <n v="236000"/>
    <n v="30782.608695652172"/>
    <n v="205217.39130434784"/>
    <s v="Cash"/>
    <n v="690"/>
    <s v="Custom"/>
    <d v="2025-04-08T00:00:00"/>
    <s v="Customized price"/>
    <x v="0"/>
    <s v="Technosynthese"/>
    <x v="0"/>
    <x v="3"/>
    <x v="1"/>
    <n v="0"/>
    <x v="0"/>
    <n v="187756"/>
    <n v="17461.391304347839"/>
    <s v="O-45754-D-0015"/>
    <x v="0"/>
  </r>
  <r>
    <s v="F-226"/>
    <x v="49"/>
    <s v="D-0015"/>
    <x v="51"/>
    <s v="Wari "/>
    <s v=""/>
    <x v="5"/>
    <s v="Abdul Matin"/>
    <x v="6"/>
    <s v="Wari "/>
    <x v="7"/>
    <s v="7100 4T 10W30 ESTER CORE®"/>
    <n v="300"/>
    <n v="1080"/>
    <n v="300"/>
    <n v="3.703703703703709E-2"/>
    <n v="0"/>
    <n v="1040"/>
    <n v="300"/>
    <n v="300"/>
    <n v="324000"/>
    <n v="0"/>
    <n v="312000"/>
    <n v="40695.65217391304"/>
    <n v="271304.34782608697"/>
    <s v="Cash"/>
    <n v="690"/>
    <s v="Custom"/>
    <d v="2025-04-08T00:00:00"/>
    <s v="Customized price"/>
    <x v="0"/>
    <s v="Synthetic"/>
    <x v="0"/>
    <x v="0"/>
    <x v="3"/>
    <n v="0"/>
    <x v="2"/>
    <n v="206958"/>
    <n v="64346.347826086974"/>
    <s v="O-45754-D-0015"/>
    <x v="0"/>
  </r>
  <r>
    <s v="F-226"/>
    <x v="49"/>
    <s v="D-0015"/>
    <x v="51"/>
    <s v="Wari "/>
    <s v=""/>
    <x v="5"/>
    <s v="Abdul Matin"/>
    <x v="6"/>
    <s v="Wari "/>
    <x v="9"/>
    <s v="7100 4T 20W50 ESTER CORE®"/>
    <n v="300"/>
    <n v="1080"/>
    <n v="300"/>
    <n v="3.703703703703709E-2"/>
    <n v="0"/>
    <n v="1040"/>
    <n v="300"/>
    <n v="300"/>
    <n v="324000"/>
    <n v="0"/>
    <n v="312000"/>
    <n v="40695.65217391304"/>
    <n v="271304.34782608697"/>
    <s v="Cash"/>
    <n v="690"/>
    <s v="Custom"/>
    <d v="2025-04-08T00:00:00"/>
    <s v="Customized price"/>
    <x v="0"/>
    <s v="Synthetic"/>
    <x v="0"/>
    <x v="3"/>
    <x v="3"/>
    <n v="0"/>
    <x v="2"/>
    <n v="229109.52"/>
    <n v="42194.827826086985"/>
    <s v="O-45754-D-0015"/>
    <x v="0"/>
  </r>
  <r>
    <s v="F-226"/>
    <x v="49"/>
    <s v="D-0015"/>
    <x v="51"/>
    <s v="Wari "/>
    <s v=""/>
    <x v="5"/>
    <s v="Abdul Matin"/>
    <x v="6"/>
    <s v="Wari "/>
    <x v="11"/>
    <s v="7100 4T 10W30 ESTER CORE®"/>
    <n v="516"/>
    <n v="1295"/>
    <n v="619.19999999999993"/>
    <n v="2.7027027027026973E-2"/>
    <n v="0"/>
    <n v="1260"/>
    <n v="516"/>
    <n v="619.19999999999993"/>
    <n v="668220"/>
    <n v="0"/>
    <n v="650160"/>
    <n v="84803.478260869568"/>
    <n v="565356.52173913049"/>
    <s v="Cash"/>
    <n v="690"/>
    <s v="Custom"/>
    <d v="2025-04-08T00:00:00"/>
    <s v="Customized price"/>
    <x v="0"/>
    <s v="Synthetic"/>
    <x v="0"/>
    <x v="0"/>
    <x v="3"/>
    <n v="0"/>
    <x v="1"/>
    <n v="401086.8"/>
    <n v="164269.7217391305"/>
    <s v="O-45754-D-0015"/>
    <x v="0"/>
  </r>
  <r>
    <s v="F-227"/>
    <x v="49"/>
    <s v="D-0030"/>
    <x v="72"/>
    <s v="Uttara"/>
    <s v="+88001828136692"/>
    <x v="0"/>
    <s v="Abdul Matin"/>
    <x v="30"/>
    <s v="Uttara"/>
    <x v="12"/>
    <s v="3000 4T 20W50"/>
    <n v="100"/>
    <n v="495"/>
    <n v="100"/>
    <n v="9.0909090909090939E-2"/>
    <n v="0"/>
    <n v="450"/>
    <n v="100"/>
    <n v="100"/>
    <n v="49500"/>
    <n v="0"/>
    <n v="45000"/>
    <n v="5869.565217391304"/>
    <n v="39130.434782608696"/>
    <s v="Cash"/>
    <n v="691"/>
    <s v="Custom"/>
    <d v="2025-04-08T00:00:00"/>
    <s v=""/>
    <x v="0"/>
    <s v="Mineral"/>
    <x v="0"/>
    <x v="3"/>
    <x v="0"/>
    <n v="0"/>
    <x v="0"/>
    <n v="36492"/>
    <n v="2638.434782608696"/>
    <s v="O-45754-D-0030"/>
    <x v="0"/>
  </r>
  <r>
    <s v="F-228"/>
    <x v="50"/>
    <s v="D-0001"/>
    <x v="62"/>
    <s v="pangsha"/>
    <n v="1711154387"/>
    <x v="4"/>
    <s v="Abdul Matin"/>
    <x v="10"/>
    <s v="Pangsha"/>
    <x v="0"/>
    <s v="3000 4T PLUS 10W30"/>
    <n v="400"/>
    <n v="520"/>
    <n v="400"/>
    <n v="0"/>
    <n v="0"/>
    <n v="520"/>
    <n v="400"/>
    <n v="400"/>
    <n v="208000"/>
    <n v="0"/>
    <n v="208000"/>
    <n v="27130.434782608696"/>
    <n v="180869.5652173913"/>
    <s v="Cash"/>
    <n v="692"/>
    <s v="Flat Discount"/>
    <d v="2025-04-09T00:00:00"/>
    <s v=""/>
    <x v="0"/>
    <s v="Mineral"/>
    <x v="0"/>
    <x v="0"/>
    <x v="0"/>
    <n v="0"/>
    <x v="0"/>
    <n v="151732"/>
    <n v="29137.565217391297"/>
    <s v="O-45756-D-0001"/>
    <x v="0"/>
  </r>
  <r>
    <s v="F-228"/>
    <x v="50"/>
    <s v="D-0001"/>
    <x v="62"/>
    <s v="pangsha"/>
    <n v="1711154387"/>
    <x v="4"/>
    <s v="Abdul Matin"/>
    <x v="10"/>
    <s v="Pangsha"/>
    <x v="1"/>
    <s v="3000 4T PLUS 20W40"/>
    <n v="200"/>
    <n v="520"/>
    <n v="200"/>
    <n v="0"/>
    <n v="0"/>
    <n v="520"/>
    <n v="200"/>
    <n v="200"/>
    <n v="104000"/>
    <n v="0"/>
    <n v="104000"/>
    <n v="13565.217391304348"/>
    <n v="90434.782608695648"/>
    <s v="Cash"/>
    <n v="692"/>
    <s v="Flat Discount"/>
    <d v="2025-04-09T00:00:00"/>
    <s v=""/>
    <x v="0"/>
    <s v="Mineral"/>
    <x v="0"/>
    <x v="1"/>
    <x v="0"/>
    <n v="0"/>
    <x v="0"/>
    <n v="82552"/>
    <n v="7882.7826086956484"/>
    <s v="O-45756-D-0001"/>
    <x v="0"/>
  </r>
  <r>
    <s v="F-228"/>
    <x v="50"/>
    <s v="D-0001"/>
    <x v="62"/>
    <s v="pangsha"/>
    <n v="1711154387"/>
    <x v="4"/>
    <s v="Abdul Matin"/>
    <x v="10"/>
    <s v="Pangsha"/>
    <x v="2"/>
    <s v="3000 4T PLUS 10W40"/>
    <n v="800"/>
    <n v="520"/>
    <n v="800"/>
    <n v="0"/>
    <n v="0"/>
    <n v="520"/>
    <n v="800"/>
    <n v="800"/>
    <n v="416000"/>
    <n v="0"/>
    <n v="416000"/>
    <n v="54260.869565217392"/>
    <n v="361739.13043478259"/>
    <s v="Cash"/>
    <n v="692"/>
    <s v="Flat Discount"/>
    <d v="2025-04-09T00:00:00"/>
    <s v=""/>
    <x v="0"/>
    <s v="Mineral"/>
    <x v="0"/>
    <x v="2"/>
    <x v="0"/>
    <n v="0"/>
    <x v="0"/>
    <n v="307880"/>
    <n v="53859.130434782594"/>
    <s v="O-45756-D-0001"/>
    <x v="0"/>
  </r>
  <r>
    <s v="F-228"/>
    <x v="50"/>
    <s v="D-0001"/>
    <x v="62"/>
    <s v="pangsha"/>
    <n v="1711154387"/>
    <x v="4"/>
    <s v="Abdul Matin"/>
    <x v="10"/>
    <s v="Pangsha"/>
    <x v="4"/>
    <s v="3000 4T PLUS 20W40"/>
    <n v="387"/>
    <n v="630"/>
    <n v="464.4"/>
    <n v="0"/>
    <n v="0"/>
    <n v="630"/>
    <n v="387"/>
    <n v="464.4"/>
    <n v="243810"/>
    <n v="0"/>
    <n v="243810"/>
    <n v="31801.304347826088"/>
    <n v="212008.69565217392"/>
    <s v="Cash"/>
    <n v="692"/>
    <s v="Flat Discount"/>
    <d v="2025-04-09T00:00:00"/>
    <s v=""/>
    <x v="0"/>
    <s v="Mineral"/>
    <x v="0"/>
    <x v="1"/>
    <x v="0"/>
    <n v="0"/>
    <x v="1"/>
    <n v="181850.44680068595"/>
    <n v="30158.248851487966"/>
    <s v="O-45756-D-0001"/>
    <x v="0"/>
  </r>
  <r>
    <s v="F-228"/>
    <x v="50"/>
    <s v="D-0001"/>
    <x v="62"/>
    <s v="pangsha"/>
    <n v="1711154387"/>
    <x v="4"/>
    <s v="Abdul Matin"/>
    <x v="10"/>
    <s v="Pangsha"/>
    <x v="5"/>
    <s v="31004T GOLD 20W50"/>
    <n v="200"/>
    <n v="570"/>
    <n v="200"/>
    <n v="0"/>
    <n v="0"/>
    <n v="570"/>
    <n v="200"/>
    <n v="200"/>
    <n v="114000"/>
    <n v="0"/>
    <n v="114000"/>
    <n v="14869.565217391304"/>
    <n v="99130.434782608689"/>
    <s v="Cash"/>
    <n v="692"/>
    <s v="Flat Discount"/>
    <d v="2025-04-09T00:00:00"/>
    <s v=""/>
    <x v="0"/>
    <s v="Technosynthese"/>
    <x v="0"/>
    <x v="3"/>
    <x v="1"/>
    <n v="0"/>
    <x v="0"/>
    <n v="93878"/>
    <n v="5252.4347826086887"/>
    <s v="O-45756-D-0001"/>
    <x v="0"/>
  </r>
  <r>
    <s v="F-228"/>
    <x v="50"/>
    <s v="D-0001"/>
    <x v="62"/>
    <s v="pangsha"/>
    <n v="1711154387"/>
    <x v="4"/>
    <s v="Abdul Matin"/>
    <x v="10"/>
    <s v="Pangsha"/>
    <x v="7"/>
    <s v="7100 4T 10W30 ESTER CORE®"/>
    <n v="60"/>
    <n v="1040"/>
    <n v="60"/>
    <n v="0"/>
    <n v="0"/>
    <n v="1040"/>
    <n v="60"/>
    <n v="60"/>
    <n v="62400"/>
    <n v="0"/>
    <n v="62400"/>
    <n v="8139.130434782609"/>
    <n v="54260.869565217392"/>
    <s v="Cash"/>
    <n v="692"/>
    <s v="Flat Discount"/>
    <d v="2025-04-09T00:00:00"/>
    <s v=""/>
    <x v="0"/>
    <s v="Synthetic"/>
    <x v="0"/>
    <x v="0"/>
    <x v="3"/>
    <n v="0"/>
    <x v="2"/>
    <n v="41391.599999999999"/>
    <n v="12869.269565217393"/>
    <s v="O-45756-D-0001"/>
    <x v="0"/>
  </r>
  <r>
    <s v="F-228"/>
    <x v="50"/>
    <s v="D-0001"/>
    <x v="62"/>
    <s v="pangsha"/>
    <n v="1711154387"/>
    <x v="4"/>
    <s v="Abdul Matin"/>
    <x v="10"/>
    <s v="Pangsha"/>
    <x v="9"/>
    <s v="7100 4T 20W50 ESTER CORE®"/>
    <n v="60"/>
    <n v="1040"/>
    <n v="60"/>
    <n v="0"/>
    <n v="0"/>
    <n v="1040"/>
    <n v="60"/>
    <n v="60"/>
    <n v="62400"/>
    <n v="0"/>
    <n v="62400"/>
    <n v="8139.130434782609"/>
    <n v="54260.869565217392"/>
    <s v="Cash"/>
    <n v="692"/>
    <s v="Flat Discount"/>
    <d v="2025-04-09T00:00:00"/>
    <s v=""/>
    <x v="0"/>
    <s v="Synthetic"/>
    <x v="0"/>
    <x v="3"/>
    <x v="3"/>
    <n v="0"/>
    <x v="2"/>
    <n v="45821.904000000002"/>
    <n v="8438.9655652173897"/>
    <s v="O-45756-D-0001"/>
    <x v="0"/>
  </r>
  <r>
    <s v="F-229"/>
    <x v="50"/>
    <s v="D-0025"/>
    <x v="81"/>
    <s v=""/>
    <s v=""/>
    <x v="2"/>
    <s v="Captive Sales"/>
    <x v="13"/>
    <s v="Dhaka"/>
    <x v="12"/>
    <s v="3000 4T 20W50"/>
    <n v="20"/>
    <n v="495"/>
    <n v="20"/>
    <n v="1"/>
    <n v="0"/>
    <n v="1.0000000000000001E-18"/>
    <n v="20"/>
    <n v="20"/>
    <n v="9900"/>
    <n v="0"/>
    <n v="2.0000000000000001E-17"/>
    <n v="2.6086956521739134E-18"/>
    <n v="1.7391304347826087E-17"/>
    <s v="Cash"/>
    <s v=""/>
    <s v="Custom"/>
    <s v=""/>
    <s v="Free of cost (Sample)"/>
    <x v="2"/>
    <s v="Mineral"/>
    <x v="0"/>
    <x v="3"/>
    <x v="0"/>
    <n v="0"/>
    <x v="0"/>
    <n v="7298.4000000000005"/>
    <n v="-7298.4000000000005"/>
    <s v="O-45756-D-0025"/>
    <x v="0"/>
  </r>
  <r>
    <s v="Fd-230"/>
    <x v="51"/>
    <s v="D-0015"/>
    <x v="82"/>
    <s v=""/>
    <s v=""/>
    <x v="5"/>
    <s v="Abdul Matin"/>
    <x v="6"/>
    <s v="Wari "/>
    <x v="2"/>
    <s v="3000 4T PLUS 10W40"/>
    <n v="2870"/>
    <n v="550"/>
    <n v="2870"/>
    <n v="0.63636363636363635"/>
    <n v="0"/>
    <n v="200"/>
    <n v="2870"/>
    <n v="2870"/>
    <n v="1578500"/>
    <n v="0"/>
    <n v="574000"/>
    <n v="74869.565217391311"/>
    <n v="499130.4347826087"/>
    <s v="Cash"/>
    <s v=""/>
    <s v="Custom"/>
    <d v="2025-04-15T00:00:00"/>
    <s v="Damaged Products"/>
    <x v="0"/>
    <s v="Mineral"/>
    <x v="0"/>
    <x v="2"/>
    <x v="0"/>
    <n v="0"/>
    <x v="0"/>
    <n v="1104519.5"/>
    <n v="-605389.06521739135"/>
    <s v="O-45762-D-0015"/>
    <x v="2"/>
  </r>
  <r>
    <s v="F-231"/>
    <x v="52"/>
    <s v="D-0003"/>
    <x v="83"/>
    <s v="Kaoutoli, Brahmanbaria"/>
    <s v="+88001727-251558"/>
    <x v="3"/>
    <s v="Razur Rahman (Bipul)"/>
    <x v="8"/>
    <s v="Taltola"/>
    <x v="1"/>
    <s v="3000 4T PLUS 20W40"/>
    <n v="80"/>
    <n v="535"/>
    <n v="80"/>
    <n v="0"/>
    <n v="0"/>
    <n v="535"/>
    <n v="80"/>
    <n v="80"/>
    <n v="42800"/>
    <n v="0"/>
    <n v="42800"/>
    <n v="5582.608695652174"/>
    <n v="37217.391304347824"/>
    <s v="Cash"/>
    <n v="693"/>
    <s v="Custom"/>
    <d v="2025-04-13T00:00:00"/>
    <s v=""/>
    <x v="1"/>
    <s v="Mineral"/>
    <x v="0"/>
    <x v="1"/>
    <x v="0"/>
    <n v="0"/>
    <x v="0"/>
    <n v="33020.800000000003"/>
    <n v="4196.5913043478213"/>
    <s v="O-45757-D-0003"/>
    <x v="0"/>
  </r>
  <r>
    <s v="F-231"/>
    <x v="52"/>
    <s v="D-0003"/>
    <x v="83"/>
    <s v="Kaoutoli, Brahmanbaria"/>
    <s v="+88001727-251558"/>
    <x v="3"/>
    <s v="Razur Rahman (Bipul)"/>
    <x v="8"/>
    <s v="Taltola"/>
    <x v="2"/>
    <s v="3000 4T PLUS 10W40"/>
    <n v="80"/>
    <n v="550"/>
    <n v="80"/>
    <n v="2.7272727272727226E-2"/>
    <n v="0"/>
    <n v="535"/>
    <n v="80"/>
    <n v="80"/>
    <n v="44000"/>
    <n v="0"/>
    <n v="42800"/>
    <n v="5582.608695652174"/>
    <n v="37217.391304347824"/>
    <s v="Cash"/>
    <n v="693"/>
    <s v="Custom"/>
    <d v="2025-04-13T00:00:00"/>
    <s v=""/>
    <x v="1"/>
    <s v="Mineral"/>
    <x v="0"/>
    <x v="2"/>
    <x v="0"/>
    <n v="0"/>
    <x v="0"/>
    <n v="30788"/>
    <n v="6429.3913043478242"/>
    <s v="O-45757-D-0003"/>
    <x v="0"/>
  </r>
  <r>
    <s v="F-231"/>
    <x v="52"/>
    <s v="D-0003"/>
    <x v="83"/>
    <s v="Kaoutoli, Brahmanbaria"/>
    <s v="+88001727-251558"/>
    <x v="3"/>
    <s v="Razur Rahman (Bipul)"/>
    <x v="8"/>
    <s v="Taltola"/>
    <x v="6"/>
    <s v="51004T 10W40 ESTER"/>
    <n v="12"/>
    <n v="860"/>
    <n v="12"/>
    <n v="1.1627906976744207E-2"/>
    <n v="0"/>
    <n v="850"/>
    <n v="12"/>
    <n v="12"/>
    <n v="10320"/>
    <n v="0"/>
    <n v="10200"/>
    <n v="1330.4347826086957"/>
    <n v="8869.565217391304"/>
    <s v="Cash"/>
    <n v="693"/>
    <s v="Custom"/>
    <d v="2025-04-13T00:00:00"/>
    <s v=""/>
    <x v="1"/>
    <s v="Technosynthese"/>
    <x v="0"/>
    <x v="2"/>
    <x v="2"/>
    <n v="0"/>
    <x v="2"/>
    <n v="7299.9600000000009"/>
    <n v="1569.6052173913031"/>
    <s v="O-45757-D-0003"/>
    <x v="0"/>
  </r>
  <r>
    <s v="F-231"/>
    <x v="52"/>
    <s v="D-0003"/>
    <x v="83"/>
    <s v="Kaoutoli, Brahmanbaria"/>
    <s v="+88001727-251558"/>
    <x v="3"/>
    <s v="Razur Rahman (Bipul)"/>
    <x v="8"/>
    <s v="Taltola"/>
    <x v="12"/>
    <s v="3000 4T 20W50"/>
    <n v="40"/>
    <n v="495"/>
    <n v="40"/>
    <n v="3.0303030303030276E-2"/>
    <n v="0"/>
    <n v="480"/>
    <n v="40"/>
    <n v="40"/>
    <n v="19800"/>
    <n v="0"/>
    <n v="19200"/>
    <n v="2504.3478260869565"/>
    <n v="16695.652173913044"/>
    <s v="Cash"/>
    <n v="693"/>
    <s v="Custom"/>
    <d v="2025-04-13T00:00:00"/>
    <s v=""/>
    <x v="1"/>
    <s v="Mineral"/>
    <x v="0"/>
    <x v="3"/>
    <x v="0"/>
    <n v="0"/>
    <x v="0"/>
    <n v="14596.800000000001"/>
    <n v="2098.8521739130429"/>
    <s v="O-45757-D-0003"/>
    <x v="0"/>
  </r>
  <r>
    <s v="F-231"/>
    <x v="52"/>
    <s v="D-0003"/>
    <x v="83"/>
    <s v="Kaoutoli, Brahmanbaria"/>
    <s v="+88001727-251558"/>
    <x v="3"/>
    <s v="Razur Rahman (Bipul)"/>
    <x v="8"/>
    <s v="Taltola"/>
    <x v="15"/>
    <s v="3000 4T 20W50"/>
    <n v="20"/>
    <n v="595"/>
    <n v="24"/>
    <n v="2.5210084033613467E-2"/>
    <n v="0"/>
    <n v="580"/>
    <n v="20"/>
    <n v="24"/>
    <n v="11900"/>
    <n v="0"/>
    <n v="11600"/>
    <n v="1513.0434782608695"/>
    <n v="10086.95652173913"/>
    <s v="Cash"/>
    <n v="693"/>
    <s v="Custom"/>
    <d v="2025-04-13T00:00:00"/>
    <s v=""/>
    <x v="1"/>
    <s v="Mineral"/>
    <x v="0"/>
    <x v="3"/>
    <x v="0"/>
    <n v="0"/>
    <x v="1"/>
    <n v="8692.2000000000007"/>
    <n v="1394.7565217391293"/>
    <s v="O-45757-D-0003"/>
    <x v="0"/>
  </r>
  <r>
    <s v="F-232"/>
    <x v="49"/>
    <s v="D-0023"/>
    <x v="69"/>
    <s v="Salo Market, Rangpur"/>
    <n v="1737144950"/>
    <x v="6"/>
    <s v="Raihan Siddiqui"/>
    <x v="9"/>
    <s v="Rangpur"/>
    <x v="0"/>
    <s v="3000 4T PLUS 10W30"/>
    <n v="200"/>
    <n v="525"/>
    <n v="200"/>
    <n v="0"/>
    <n v="0"/>
    <n v="525"/>
    <n v="200"/>
    <n v="200"/>
    <n v="105000"/>
    <n v="0"/>
    <n v="105000"/>
    <n v="13695.652173913044"/>
    <n v="91304.34782608696"/>
    <s v="Cash"/>
    <n v="694"/>
    <s v="Regular"/>
    <d v="2025-04-13T00:00:00"/>
    <s v=""/>
    <x v="3"/>
    <s v="Mineral"/>
    <x v="0"/>
    <x v="0"/>
    <x v="0"/>
    <n v="0"/>
    <x v="0"/>
    <n v="75866"/>
    <n v="15438.34782608696"/>
    <s v="O-45754-D-0023"/>
    <x v="0"/>
  </r>
  <r>
    <s v="F-232"/>
    <x v="49"/>
    <s v="D-0023"/>
    <x v="69"/>
    <s v="Salo Market, Rangpur"/>
    <n v="1737144950"/>
    <x v="6"/>
    <s v="Raihan Siddiqui"/>
    <x v="9"/>
    <s v="Rangpur"/>
    <x v="1"/>
    <s v="3000 4T PLUS 20W40"/>
    <n v="40"/>
    <n v="525"/>
    <n v="40"/>
    <n v="0"/>
    <n v="0"/>
    <n v="525"/>
    <n v="40"/>
    <n v="40"/>
    <n v="21000"/>
    <n v="0"/>
    <n v="21000"/>
    <n v="2739.1304347826085"/>
    <n v="18260.869565217392"/>
    <s v="Cash"/>
    <n v="694"/>
    <s v="Regular"/>
    <d v="2025-04-13T00:00:00"/>
    <s v=""/>
    <x v="3"/>
    <s v="Mineral"/>
    <x v="0"/>
    <x v="1"/>
    <x v="0"/>
    <n v="0"/>
    <x v="0"/>
    <n v="16510.400000000001"/>
    <n v="1750.4695652173905"/>
    <s v="O-45754-D-0023"/>
    <x v="0"/>
  </r>
  <r>
    <s v="F-232"/>
    <x v="49"/>
    <s v="D-0023"/>
    <x v="69"/>
    <s v="Salo Market, Rangpur"/>
    <n v="1737144950"/>
    <x v="6"/>
    <s v="Raihan Siddiqui"/>
    <x v="9"/>
    <s v="Rangpur"/>
    <x v="2"/>
    <s v="3000 4T PLUS 10W40"/>
    <n v="300"/>
    <n v="525"/>
    <n v="300"/>
    <n v="0"/>
    <n v="0"/>
    <n v="525"/>
    <n v="300"/>
    <n v="300"/>
    <n v="157500"/>
    <n v="0"/>
    <n v="157500"/>
    <n v="20543.478260869564"/>
    <n v="136956.52173913043"/>
    <s v="Cash"/>
    <n v="694"/>
    <s v="Regular"/>
    <d v="2025-04-13T00:00:00"/>
    <s v=""/>
    <x v="3"/>
    <s v="Mineral"/>
    <x v="0"/>
    <x v="2"/>
    <x v="0"/>
    <n v="0"/>
    <x v="0"/>
    <n v="115455"/>
    <n v="21501.521739130432"/>
    <s v="O-45754-D-0023"/>
    <x v="0"/>
  </r>
  <r>
    <s v="F-232"/>
    <x v="49"/>
    <s v="D-0023"/>
    <x v="69"/>
    <s v="Salo Market, Rangpur"/>
    <n v="1737144950"/>
    <x v="6"/>
    <s v="Raihan Siddiqui"/>
    <x v="9"/>
    <s v="Rangpur"/>
    <x v="7"/>
    <s v="7100 4T 10W30 ESTER CORE®"/>
    <n v="36"/>
    <n v="1040"/>
    <n v="36"/>
    <n v="0"/>
    <n v="0"/>
    <n v="1040"/>
    <n v="36"/>
    <n v="36"/>
    <n v="37440"/>
    <n v="0"/>
    <n v="37440"/>
    <n v="4883.478260869565"/>
    <n v="32556.521739130436"/>
    <s v="Cash"/>
    <n v="694"/>
    <s v="Regular"/>
    <d v="2025-04-13T00:00:00"/>
    <s v=""/>
    <x v="3"/>
    <s v="Synthetic"/>
    <x v="0"/>
    <x v="0"/>
    <x v="3"/>
    <n v="0"/>
    <x v="2"/>
    <n v="24834.959999999999"/>
    <n v="7721.5617391304368"/>
    <s v="O-45754-D-0023"/>
    <x v="0"/>
  </r>
  <r>
    <s v="F-232"/>
    <x v="49"/>
    <s v="D-0023"/>
    <x v="69"/>
    <s v="Salo Market, Rangpur"/>
    <n v="1737144950"/>
    <x v="6"/>
    <s v="Raihan Siddiqui"/>
    <x v="9"/>
    <s v="Rangpur"/>
    <x v="9"/>
    <s v="7100 4T 20W50 ESTER CORE®"/>
    <n v="24"/>
    <n v="1040"/>
    <n v="24"/>
    <n v="0"/>
    <n v="0"/>
    <n v="1040"/>
    <n v="24"/>
    <n v="24"/>
    <n v="24960"/>
    <n v="0"/>
    <n v="24960"/>
    <n v="3255.6521739130435"/>
    <n v="21704.347826086956"/>
    <s v="Cash"/>
    <n v="694"/>
    <s v="Regular"/>
    <d v="2025-04-13T00:00:00"/>
    <s v=""/>
    <x v="3"/>
    <s v="Synthetic"/>
    <x v="0"/>
    <x v="3"/>
    <x v="3"/>
    <n v="0"/>
    <x v="2"/>
    <n v="18328.761599999998"/>
    <n v="3375.586226086958"/>
    <s v="O-45754-D-0023"/>
    <x v="0"/>
  </r>
  <r>
    <s v="F-233"/>
    <x v="53"/>
    <s v="D-0023"/>
    <x v="42"/>
    <s v="Munshipara, Dinajpur Sadar"/>
    <n v="1533399630"/>
    <x v="6"/>
    <s v="Raihan Siddiqui"/>
    <x v="9"/>
    <s v="Rangpur"/>
    <x v="0"/>
    <s v="3000 4T PLUS 10W30"/>
    <n v="200"/>
    <n v="525"/>
    <n v="200"/>
    <n v="0"/>
    <n v="0"/>
    <n v="525"/>
    <n v="200"/>
    <n v="200"/>
    <n v="105000"/>
    <n v="0"/>
    <n v="105000"/>
    <n v="13695.652173913044"/>
    <n v="91304.34782608696"/>
    <s v="Cash"/>
    <n v="695"/>
    <s v="Regular"/>
    <d v="2025-04-13T00:00:00"/>
    <s v=""/>
    <x v="3"/>
    <s v="Mineral"/>
    <x v="0"/>
    <x v="0"/>
    <x v="0"/>
    <n v="0"/>
    <x v="0"/>
    <n v="75866"/>
    <n v="15438.34782608696"/>
    <s v="O-45760-D-0023"/>
    <x v="0"/>
  </r>
  <r>
    <s v="F-233"/>
    <x v="53"/>
    <s v="D-0023"/>
    <x v="42"/>
    <s v="Munshipara, Dinajpur Sadar"/>
    <n v="1533399630"/>
    <x v="6"/>
    <s v="Raihan Siddiqui"/>
    <x v="9"/>
    <s v="Rangpur"/>
    <x v="2"/>
    <s v="3000 4T PLUS 10W40"/>
    <n v="100"/>
    <n v="525"/>
    <n v="100"/>
    <n v="0"/>
    <n v="0"/>
    <n v="525"/>
    <n v="100"/>
    <n v="100"/>
    <n v="52500"/>
    <n v="0"/>
    <n v="52500"/>
    <n v="6847.826086956522"/>
    <n v="45652.17391304348"/>
    <s v="Cash"/>
    <n v="695"/>
    <s v="Regular"/>
    <d v="2025-04-13T00:00:00"/>
    <s v=""/>
    <x v="3"/>
    <s v="Mineral"/>
    <x v="0"/>
    <x v="2"/>
    <x v="0"/>
    <n v="0"/>
    <x v="0"/>
    <n v="38485"/>
    <n v="7167.1739130434798"/>
    <s v="O-45760-D-0023"/>
    <x v="0"/>
  </r>
  <r>
    <s v="F-234"/>
    <x v="51"/>
    <s v="D-0030"/>
    <x v="84"/>
    <s v="Bangla Motor"/>
    <s v="+88001779099593"/>
    <x v="0"/>
    <s v="Abdul Matin"/>
    <x v="30"/>
    <s v="Uttara"/>
    <x v="23"/>
    <s v="2000 Multi Power 20W50"/>
    <n v="400"/>
    <n v="2350"/>
    <n v="1600"/>
    <n v="0.57446808510638303"/>
    <n v="0"/>
    <n v="1000"/>
    <n v="400"/>
    <n v="1600"/>
    <n v="940000"/>
    <n v="0"/>
    <n v="400000"/>
    <n v="52173.913043478264"/>
    <n v="347826.08695652173"/>
    <s v="Cash"/>
    <n v="696"/>
    <s v="Custom"/>
    <d v="2025-04-20T00:00:00"/>
    <s v="No Transport allowance."/>
    <x v="0"/>
    <s v="Mineral"/>
    <x v="2"/>
    <x v="3"/>
    <x v="10"/>
    <n v="0"/>
    <x v="5"/>
    <n v="438180"/>
    <n v="-90353.913043478271"/>
    <s v="O-45762-D-0030"/>
    <x v="0"/>
  </r>
  <r>
    <s v="F-234"/>
    <x v="51"/>
    <s v="D-0030"/>
    <x v="84"/>
    <s v="Bangla Motor"/>
    <s v="+88001779099593"/>
    <x v="0"/>
    <s v="Abdul Matin"/>
    <x v="30"/>
    <s v="Uttara"/>
    <x v="51"/>
    <s v="2000 Multi Power 20W50"/>
    <n v="760"/>
    <n v="585"/>
    <n v="760"/>
    <n v="0.57264957264957261"/>
    <n v="0"/>
    <n v="250"/>
    <n v="760"/>
    <n v="760"/>
    <n v="444600"/>
    <n v="0"/>
    <n v="190000"/>
    <n v="24782.608695652172"/>
    <n v="165217.39130434784"/>
    <s v="Cash"/>
    <n v="696"/>
    <s v="Custom"/>
    <d v="2025-04-20T00:00:00"/>
    <s v="No Transport allowance."/>
    <x v="0"/>
    <s v="Mineral"/>
    <x v="2"/>
    <x v="3"/>
    <x v="10"/>
    <n v="0"/>
    <x v="0"/>
    <n v="304076"/>
    <n v="-138858.60869565216"/>
    <s v="O-45762-D-0030"/>
    <x v="0"/>
  </r>
  <r>
    <s v="F-235"/>
    <x v="54"/>
    <s v="D-0009"/>
    <x v="23"/>
    <s v="4/4, Saidabad, Dhaka-1100."/>
    <s v="+88001784398413"/>
    <x v="5"/>
    <s v="Abdul Matin"/>
    <x v="12"/>
    <s v="Saydabad"/>
    <x v="6"/>
    <s v="51004T 10W40 ESTER"/>
    <n v="120"/>
    <n v="860"/>
    <n v="120"/>
    <n v="1.1627906976744207E-2"/>
    <n v="0"/>
    <n v="850"/>
    <n v="120"/>
    <n v="120"/>
    <n v="103200"/>
    <n v="0"/>
    <n v="102000"/>
    <n v="13304.347826086956"/>
    <n v="88695.65217391304"/>
    <s v="Cash"/>
    <n v="697"/>
    <s v="Custom"/>
    <d v="2025-04-20T00:00:00"/>
    <s v="No Transport allowance."/>
    <x v="0"/>
    <s v="Technosynthese"/>
    <x v="0"/>
    <x v="2"/>
    <x v="2"/>
    <n v="0"/>
    <x v="2"/>
    <n v="72999.600000000006"/>
    <n v="15696.052173913034"/>
    <s v="O-45767-D-0009"/>
    <x v="0"/>
  </r>
  <r>
    <s v="F-235"/>
    <x v="54"/>
    <s v="D-0009"/>
    <x v="23"/>
    <s v="4/4, Saidabad, Dhaka-1100."/>
    <s v="+88001784398413"/>
    <x v="5"/>
    <s v="Abdul Matin"/>
    <x v="12"/>
    <s v="Saydabad"/>
    <x v="7"/>
    <s v="7100 4T 10W30 ESTER CORE®"/>
    <n v="120"/>
    <n v="1080"/>
    <n v="120"/>
    <n v="4.629629629629628E-2"/>
    <n v="0"/>
    <n v="1030"/>
    <n v="120"/>
    <n v="120"/>
    <n v="129600"/>
    <n v="0"/>
    <n v="123600"/>
    <n v="16121.739130434782"/>
    <n v="107478.26086956522"/>
    <s v="Cash"/>
    <n v="697"/>
    <s v="Custom"/>
    <d v="2025-04-20T00:00:00"/>
    <s v="No Transport allowance."/>
    <x v="0"/>
    <s v="Synthetic"/>
    <x v="0"/>
    <x v="0"/>
    <x v="3"/>
    <n v="0"/>
    <x v="2"/>
    <n v="82783.199999999997"/>
    <n v="24695.060869565219"/>
    <s v="O-45767-D-0009"/>
    <x v="0"/>
  </r>
  <r>
    <s v="F-235"/>
    <x v="54"/>
    <s v="D-0009"/>
    <x v="23"/>
    <s v="4/4, Saidabad, Dhaka-1100."/>
    <s v="+88001784398413"/>
    <x v="5"/>
    <s v="Abdul Matin"/>
    <x v="12"/>
    <s v="Saydabad"/>
    <x v="9"/>
    <s v="7100 4T 20W50 ESTER CORE®"/>
    <n v="60"/>
    <n v="1080"/>
    <n v="60"/>
    <n v="4.629629629629628E-2"/>
    <n v="0"/>
    <n v="1030"/>
    <n v="60"/>
    <n v="60"/>
    <n v="64800"/>
    <n v="0"/>
    <n v="61800"/>
    <n v="8060.869565217391"/>
    <n v="53739.130434782608"/>
    <s v="Cash"/>
    <n v="697"/>
    <s v="Custom"/>
    <d v="2025-04-20T00:00:00"/>
    <s v="No Transport allowance."/>
    <x v="0"/>
    <s v="Synthetic"/>
    <x v="0"/>
    <x v="3"/>
    <x v="3"/>
    <n v="0"/>
    <x v="2"/>
    <n v="45821.904000000002"/>
    <n v="7917.2264347826058"/>
    <s v="O-45767-D-0009"/>
    <x v="0"/>
  </r>
  <r>
    <s v="F-236"/>
    <x v="54"/>
    <s v="D-0007"/>
    <x v="85"/>
    <s v="Mirpur"/>
    <s v=""/>
    <x v="0"/>
    <s v="Abdul Matin"/>
    <x v="31"/>
    <s v="Mirpur 10"/>
    <x v="1"/>
    <s v="3000 4T PLUS 20W40"/>
    <n v="200"/>
    <n v="535"/>
    <n v="200"/>
    <n v="2.8037383177570097E-2"/>
    <n v="0"/>
    <n v="520"/>
    <n v="200"/>
    <n v="200"/>
    <n v="107000"/>
    <n v="0"/>
    <n v="104000"/>
    <n v="13565.217391304348"/>
    <n v="90434.782608695648"/>
    <s v="Cash"/>
    <n v="698"/>
    <s v="Custom"/>
    <d v="2025-04-21T00:00:00"/>
    <s v="No Transport allowance."/>
    <x v="0"/>
    <s v="Mineral"/>
    <x v="0"/>
    <x v="1"/>
    <x v="0"/>
    <n v="0"/>
    <x v="0"/>
    <n v="82552"/>
    <n v="7882.7826086956484"/>
    <s v="O-45767-D-0007"/>
    <x v="0"/>
  </r>
  <r>
    <s v="F-236"/>
    <x v="54"/>
    <s v="D-0007"/>
    <x v="85"/>
    <s v="Mirpur"/>
    <s v=""/>
    <x v="0"/>
    <s v="Abdul Matin"/>
    <x v="31"/>
    <s v="Mirpur 10"/>
    <x v="12"/>
    <s v="3000 4T 20W50"/>
    <n v="500"/>
    <n v="495"/>
    <n v="500"/>
    <n v="0.11111111111111116"/>
    <n v="0"/>
    <n v="440"/>
    <n v="500"/>
    <n v="500"/>
    <n v="247500"/>
    <n v="0"/>
    <n v="220000"/>
    <n v="28695.652173913044"/>
    <n v="191304.34782608695"/>
    <s v="Cash"/>
    <n v="698"/>
    <s v="Custom"/>
    <d v="2025-04-21T00:00:00"/>
    <s v="No Transport allowance."/>
    <x v="0"/>
    <s v="Mineral"/>
    <x v="0"/>
    <x v="3"/>
    <x v="0"/>
    <n v="0"/>
    <x v="0"/>
    <n v="182460"/>
    <n v="8844.3478260869451"/>
    <s v="O-45767-D-0007"/>
    <x v="0"/>
  </r>
  <r>
    <s v="F-237"/>
    <x v="55"/>
    <s v="D-0001"/>
    <x v="62"/>
    <s v="pangsha"/>
    <n v="1711154387"/>
    <x v="4"/>
    <s v="Abdul Matin"/>
    <x v="10"/>
    <s v="Pangsha"/>
    <x v="0"/>
    <s v="3000 4T PLUS 10W30"/>
    <n v="400"/>
    <n v="515"/>
    <n v="400"/>
    <n v="0"/>
    <n v="0"/>
    <n v="515"/>
    <n v="400"/>
    <n v="400"/>
    <n v="206000"/>
    <n v="0"/>
    <n v="206000"/>
    <n v="26869.565217391304"/>
    <n v="179130.4347826087"/>
    <s v="Cash"/>
    <n v="699"/>
    <s v="Flat Discount"/>
    <d v="2025-04-21T00:00:00"/>
    <s v=""/>
    <x v="0"/>
    <s v="Mineral"/>
    <x v="0"/>
    <x v="0"/>
    <x v="0"/>
    <n v="0"/>
    <x v="0"/>
    <n v="151732"/>
    <n v="27398.434782608703"/>
    <s v="O-45768-D-0001"/>
    <x v="0"/>
  </r>
  <r>
    <s v="F-237"/>
    <x v="55"/>
    <s v="D-0001"/>
    <x v="62"/>
    <s v="pangsha"/>
    <n v="1711154387"/>
    <x v="4"/>
    <s v="Abdul Matin"/>
    <x v="10"/>
    <s v="Pangsha"/>
    <x v="2"/>
    <s v="3000 4T PLUS 10W40"/>
    <n v="600"/>
    <n v="515"/>
    <n v="600"/>
    <n v="0"/>
    <n v="0"/>
    <n v="515"/>
    <n v="600"/>
    <n v="600"/>
    <n v="309000"/>
    <n v="0"/>
    <n v="309000"/>
    <n v="40304.34782608696"/>
    <n v="268695.65217391303"/>
    <s v="Cash"/>
    <n v="699"/>
    <s v="Flat Discount"/>
    <d v="2025-04-21T00:00:00"/>
    <s v=""/>
    <x v="0"/>
    <s v="Mineral"/>
    <x v="0"/>
    <x v="2"/>
    <x v="0"/>
    <n v="0"/>
    <x v="0"/>
    <n v="230910"/>
    <n v="37785.652173913026"/>
    <s v="O-45768-D-0001"/>
    <x v="0"/>
  </r>
  <r>
    <s v="F-237"/>
    <x v="55"/>
    <s v="D-0001"/>
    <x v="62"/>
    <s v="pangsha"/>
    <n v="1711154387"/>
    <x v="4"/>
    <s v="Abdul Matin"/>
    <x v="10"/>
    <s v="Pangsha"/>
    <x v="5"/>
    <s v="31004T GOLD 20W50"/>
    <n v="200"/>
    <n v="570"/>
    <n v="200"/>
    <n v="0"/>
    <n v="0"/>
    <n v="570"/>
    <n v="200"/>
    <n v="200"/>
    <n v="114000"/>
    <n v="0"/>
    <n v="114000"/>
    <n v="14869.565217391304"/>
    <n v="99130.434782608689"/>
    <s v="Cash"/>
    <n v="699"/>
    <s v="Flat Discount"/>
    <d v="2025-04-21T00:00:00"/>
    <s v=""/>
    <x v="0"/>
    <s v="Technosynthese"/>
    <x v="0"/>
    <x v="3"/>
    <x v="1"/>
    <n v="0"/>
    <x v="0"/>
    <n v="93878"/>
    <n v="5252.4347826086887"/>
    <s v="O-45768-D-0001"/>
    <x v="0"/>
  </r>
  <r>
    <s v="F-237"/>
    <x v="55"/>
    <s v="D-0001"/>
    <x v="62"/>
    <s v="pangsha"/>
    <n v="1711154387"/>
    <x v="4"/>
    <s v="Abdul Matin"/>
    <x v="10"/>
    <s v="Pangsha"/>
    <x v="12"/>
    <s v="3000 4T 20W50"/>
    <n v="1000"/>
    <n v="400"/>
    <n v="1000"/>
    <n v="0"/>
    <n v="0"/>
    <n v="400"/>
    <n v="1000"/>
    <n v="1000"/>
    <n v="400000"/>
    <n v="0"/>
    <n v="400000"/>
    <n v="52173.913043478264"/>
    <n v="347826.08695652173"/>
    <s v="Cash"/>
    <n v="699"/>
    <s v="Flat Discount"/>
    <d v="2025-04-21T00:00:00"/>
    <s v=""/>
    <x v="0"/>
    <s v="Mineral"/>
    <x v="0"/>
    <x v="3"/>
    <x v="0"/>
    <n v="0"/>
    <x v="0"/>
    <n v="364920"/>
    <n v="-17093.913043478271"/>
    <s v="O-45768-D-0001"/>
    <x v="0"/>
  </r>
  <r>
    <s v="F-237"/>
    <x v="55"/>
    <s v="D-0001"/>
    <x v="62"/>
    <s v="pangsha"/>
    <n v="1711154387"/>
    <x v="4"/>
    <s v="Abdul Matin"/>
    <x v="10"/>
    <s v="Pangsha"/>
    <x v="15"/>
    <s v="3000 4T 20W50"/>
    <n v="180"/>
    <n v="500"/>
    <n v="216"/>
    <n v="0"/>
    <n v="0"/>
    <n v="500"/>
    <n v="180"/>
    <n v="216"/>
    <n v="90000"/>
    <n v="0"/>
    <n v="90000"/>
    <n v="11739.130434782608"/>
    <n v="78260.869565217392"/>
    <s v="Cash"/>
    <n v="699"/>
    <s v="Flat Discount"/>
    <d v="2025-04-21T00:00:00"/>
    <s v=""/>
    <x v="0"/>
    <s v="Mineral"/>
    <x v="0"/>
    <x v="3"/>
    <x v="0"/>
    <n v="0"/>
    <x v="1"/>
    <n v="78229.8"/>
    <n v="31.069565217389027"/>
    <s v="O-45768-D-0001"/>
    <x v="0"/>
  </r>
  <r>
    <s v="F-238"/>
    <x v="54"/>
    <s v="D-0003"/>
    <x v="20"/>
    <s v="Taltola, Sylhet"/>
    <s v="+88001711-700652"/>
    <x v="3"/>
    <s v="Razur Rahman (Bipul)"/>
    <x v="8"/>
    <s v="Taltola"/>
    <x v="0"/>
    <s v="3000 4T PLUS 10W30"/>
    <n v="60"/>
    <n v="540"/>
    <n v="60"/>
    <n v="9.2592592592593004E-3"/>
    <n v="0"/>
    <n v="535"/>
    <n v="60"/>
    <n v="60"/>
    <n v="32400"/>
    <n v="0"/>
    <n v="32100"/>
    <n v="4186.95652173913"/>
    <n v="27913.043478260868"/>
    <s v="Cash"/>
    <n v="700"/>
    <s v="Custom"/>
    <d v="2025-04-21T00:00:00"/>
    <s v=""/>
    <x v="1"/>
    <s v="Mineral"/>
    <x v="0"/>
    <x v="0"/>
    <x v="0"/>
    <n v="0"/>
    <x v="0"/>
    <n v="22759.8"/>
    <n v="5153.2434782608689"/>
    <s v="O-45767-D-0003"/>
    <x v="0"/>
  </r>
  <r>
    <s v="F-238"/>
    <x v="54"/>
    <s v="D-0003"/>
    <x v="20"/>
    <s v="Taltola, Sylhet"/>
    <s v="+88001711-700652"/>
    <x v="3"/>
    <s v="Razur Rahman (Bipul)"/>
    <x v="8"/>
    <s v="Taltola"/>
    <x v="2"/>
    <s v="3000 4T PLUS 10W40"/>
    <n v="440"/>
    <n v="550"/>
    <n v="440"/>
    <n v="2.7272727272727226E-2"/>
    <n v="0"/>
    <n v="535"/>
    <n v="440"/>
    <n v="440"/>
    <n v="242000"/>
    <n v="0"/>
    <n v="235400"/>
    <n v="30704.347826086956"/>
    <n v="204695.65217391305"/>
    <s v="Cash"/>
    <n v="700"/>
    <s v="Custom"/>
    <d v="2025-04-21T00:00:00"/>
    <s v=""/>
    <x v="1"/>
    <s v="Mineral"/>
    <x v="0"/>
    <x v="2"/>
    <x v="0"/>
    <n v="0"/>
    <x v="0"/>
    <n v="169334"/>
    <n v="35361.652173913055"/>
    <s v="O-45767-D-0003"/>
    <x v="0"/>
  </r>
  <r>
    <s v="F-245"/>
    <x v="51"/>
    <s v="D-0006"/>
    <x v="18"/>
    <s v="Savar"/>
    <s v=""/>
    <x v="0"/>
    <s v="Abdul Matin"/>
    <x v="7"/>
    <s v="Savar"/>
    <x v="0"/>
    <s v="3000 4T PLUS 10W30"/>
    <n v="400"/>
    <n v="540"/>
    <n v="400"/>
    <n v="3.703703703703709E-2"/>
    <n v="0"/>
    <n v="520"/>
    <n v="400"/>
    <n v="400"/>
    <n v="216000"/>
    <n v="0"/>
    <n v="208000"/>
    <n v="27130.434782608696"/>
    <n v="180869.5652173913"/>
    <s v="Cash"/>
    <n v="707"/>
    <s v="Custom"/>
    <d v="2025-04-22T00:00:00"/>
    <s v="No Transport allowance."/>
    <x v="0"/>
    <s v="Mineral"/>
    <x v="0"/>
    <x v="0"/>
    <x v="0"/>
    <n v="0"/>
    <x v="0"/>
    <n v="151732"/>
    <n v="29137.565217391297"/>
    <s v="O-45762-D-0006"/>
    <x v="0"/>
  </r>
  <r>
    <s v="F-245"/>
    <x v="51"/>
    <s v="D-0006"/>
    <x v="18"/>
    <s v="Savar"/>
    <s v=""/>
    <x v="0"/>
    <s v="Abdul Matin"/>
    <x v="7"/>
    <s v="Savar"/>
    <x v="1"/>
    <s v="3000 4T PLUS 20W40"/>
    <n v="200"/>
    <n v="535"/>
    <n v="200"/>
    <n v="2.8037383177570097E-2"/>
    <n v="0"/>
    <n v="520"/>
    <n v="200"/>
    <n v="200"/>
    <n v="107000"/>
    <n v="0"/>
    <n v="104000"/>
    <n v="13565.217391304348"/>
    <n v="90434.782608695648"/>
    <s v="Cash"/>
    <n v="707"/>
    <s v="Custom"/>
    <d v="2025-04-22T00:00:00"/>
    <s v="No Transport allowance."/>
    <x v="0"/>
    <s v="Mineral"/>
    <x v="0"/>
    <x v="1"/>
    <x v="0"/>
    <n v="0"/>
    <x v="0"/>
    <n v="82552"/>
    <n v="7882.7826086956484"/>
    <s v="O-45762-D-0006"/>
    <x v="0"/>
  </r>
  <r>
    <s v="F-245"/>
    <x v="51"/>
    <s v="D-0006"/>
    <x v="18"/>
    <s v="Savar"/>
    <s v=""/>
    <x v="0"/>
    <s v="Abdul Matin"/>
    <x v="7"/>
    <s v="Savar"/>
    <x v="2"/>
    <s v="3000 4T PLUS 10W40"/>
    <n v="400"/>
    <n v="550"/>
    <n v="400"/>
    <n v="5.4545454545454564E-2"/>
    <n v="0"/>
    <n v="520"/>
    <n v="400"/>
    <n v="400"/>
    <n v="220000"/>
    <n v="0"/>
    <n v="208000"/>
    <n v="27130.434782608696"/>
    <n v="180869.5652173913"/>
    <s v="Cash"/>
    <n v="707"/>
    <s v="Custom"/>
    <d v="2025-04-22T00:00:00"/>
    <s v="No Transport allowance."/>
    <x v="0"/>
    <s v="Mineral"/>
    <x v="0"/>
    <x v="2"/>
    <x v="0"/>
    <n v="0"/>
    <x v="0"/>
    <n v="153940"/>
    <n v="26929.565217391297"/>
    <s v="O-45762-D-0006"/>
    <x v="0"/>
  </r>
  <r>
    <s v="F-242"/>
    <x v="55"/>
    <s v="D-0018"/>
    <x v="86"/>
    <s v="Dharmapur, Cumilla "/>
    <s v="01728083399"/>
    <x v="1"/>
    <s v="Razur Rahman (Bipul)"/>
    <x v="1"/>
    <s v="Kadamtoli"/>
    <x v="7"/>
    <s v="7100 4T 10W30 ESTER CORE®"/>
    <n v="24"/>
    <n v="1020"/>
    <n v="24"/>
    <n v="0"/>
    <n v="0"/>
    <n v="1020"/>
    <n v="24"/>
    <n v="24"/>
    <n v="24480"/>
    <n v="0"/>
    <n v="24480"/>
    <n v="3193.0434782608695"/>
    <n v="21286.956521739132"/>
    <s v="Cash"/>
    <n v="704"/>
    <s v="Flat Discount"/>
    <d v="2025-04-22T00:00:00"/>
    <s v=""/>
    <x v="1"/>
    <s v="Synthetic"/>
    <x v="0"/>
    <x v="0"/>
    <x v="3"/>
    <n v="0"/>
    <x v="2"/>
    <n v="16556.64"/>
    <n v="4730.3165217391324"/>
    <s v="O-45768-D-0018"/>
    <x v="0"/>
  </r>
  <r>
    <s v="F-242"/>
    <x v="55"/>
    <s v="D-0018"/>
    <x v="86"/>
    <s v="Dharmapur, Cumilla "/>
    <s v="01728083399"/>
    <x v="1"/>
    <s v="Razur Rahman (Bipul)"/>
    <x v="1"/>
    <s v="Kadamtoli"/>
    <x v="9"/>
    <s v="7100 4T 20W50 ESTER CORE®"/>
    <n v="36"/>
    <n v="1020"/>
    <n v="36"/>
    <n v="0"/>
    <n v="0"/>
    <n v="1020"/>
    <n v="36"/>
    <n v="36"/>
    <n v="36720"/>
    <n v="0"/>
    <n v="36720"/>
    <n v="4789.565217391304"/>
    <n v="31930.434782608696"/>
    <s v="Cash"/>
    <n v="704"/>
    <s v="Flat Discount"/>
    <d v="2025-04-22T00:00:00"/>
    <s v=""/>
    <x v="1"/>
    <s v="Synthetic"/>
    <x v="0"/>
    <x v="3"/>
    <x v="3"/>
    <n v="0"/>
    <x v="2"/>
    <n v="27493.142400000001"/>
    <n v="4437.2923826086953"/>
    <s v="O-45768-D-0018"/>
    <x v="0"/>
  </r>
  <r>
    <s v="F-243"/>
    <x v="55"/>
    <s v="D-0023"/>
    <x v="87"/>
    <s v="Shapla,Rangpur"/>
    <n v="1780903329"/>
    <x v="6"/>
    <s v="Raihan Siddiqui"/>
    <x v="9"/>
    <s v="Rangpur"/>
    <x v="0"/>
    <s v="3000 4T PLUS 10W30"/>
    <n v="260"/>
    <n v="530"/>
    <n v="260"/>
    <n v="9.4339622641509413E-3"/>
    <n v="0"/>
    <n v="525"/>
    <n v="260"/>
    <n v="260"/>
    <n v="137800"/>
    <n v="0"/>
    <n v="136500"/>
    <n v="17804.347826086956"/>
    <n v="118695.65217391304"/>
    <s v="Cash"/>
    <n v="705"/>
    <s v="Regular"/>
    <d v="2025-04-22T00:00:00"/>
    <s v=""/>
    <x v="3"/>
    <s v="Mineral"/>
    <x v="0"/>
    <x v="0"/>
    <x v="0"/>
    <n v="0"/>
    <x v="0"/>
    <n v="98625.8"/>
    <n v="20069.852173913037"/>
    <s v="O-45768-D-0023"/>
    <x v="0"/>
  </r>
  <r>
    <s v="F-243"/>
    <x v="55"/>
    <s v="D-0023"/>
    <x v="87"/>
    <s v="Shapla,Rangpur"/>
    <n v="1780903329"/>
    <x v="6"/>
    <s v="Raihan Siddiqui"/>
    <x v="9"/>
    <s v="Rangpur"/>
    <x v="2"/>
    <s v="3000 4T PLUS 10W40"/>
    <n v="700"/>
    <n v="530"/>
    <n v="700"/>
    <n v="9.4339622641509413E-3"/>
    <n v="0"/>
    <n v="525"/>
    <n v="700"/>
    <n v="700"/>
    <n v="371000"/>
    <n v="0"/>
    <n v="367500"/>
    <n v="47934.782608695656"/>
    <n v="319565.21739130432"/>
    <s v="Cash"/>
    <n v="705"/>
    <s v="Regular"/>
    <d v="2025-04-22T00:00:00"/>
    <s v=""/>
    <x v="3"/>
    <s v="Mineral"/>
    <x v="0"/>
    <x v="2"/>
    <x v="0"/>
    <n v="0"/>
    <x v="0"/>
    <n v="269395"/>
    <n v="50170.217391304323"/>
    <s v="O-45768-D-0023"/>
    <x v="0"/>
  </r>
  <r>
    <s v="F-243"/>
    <x v="55"/>
    <s v="D-0023"/>
    <x v="87"/>
    <s v="Shapla,Rangpur"/>
    <n v="1780903329"/>
    <x v="6"/>
    <s v="Raihan Siddiqui"/>
    <x v="9"/>
    <s v="Rangpur"/>
    <x v="5"/>
    <s v="31004T GOLD 20W50"/>
    <n v="40"/>
    <n v="605"/>
    <n v="40"/>
    <n v="8.2644628099173278E-3"/>
    <n v="0"/>
    <n v="600"/>
    <n v="40"/>
    <n v="40"/>
    <n v="24200"/>
    <n v="0"/>
    <n v="24000"/>
    <n v="3130.4347826086955"/>
    <n v="20869.565217391304"/>
    <s v="Cash"/>
    <n v="705"/>
    <s v="Regular"/>
    <d v="2025-04-22T00:00:00"/>
    <s v=""/>
    <x v="3"/>
    <s v="Technosynthese"/>
    <x v="0"/>
    <x v="3"/>
    <x v="1"/>
    <n v="0"/>
    <x v="0"/>
    <n v="18775.599999999999"/>
    <n v="2093.9652173913055"/>
    <s v="O-45768-D-0023"/>
    <x v="0"/>
  </r>
  <r>
    <s v="F-243"/>
    <x v="55"/>
    <s v="D-0023"/>
    <x v="87"/>
    <s v="Shapla,Rangpur"/>
    <n v="1780903329"/>
    <x v="6"/>
    <s v="Raihan Siddiqui"/>
    <x v="9"/>
    <s v="Rangpur"/>
    <x v="6"/>
    <s v="51004T 10W40 ESTER"/>
    <n v="24"/>
    <n v="855"/>
    <n v="24"/>
    <n v="5.8479532163743242E-3"/>
    <n v="0"/>
    <n v="850"/>
    <n v="24"/>
    <n v="24"/>
    <n v="20520"/>
    <n v="0"/>
    <n v="20400"/>
    <n v="2660.8695652173915"/>
    <n v="17739.130434782608"/>
    <s v="Cash"/>
    <n v="705"/>
    <s v="Regular"/>
    <d v="2025-04-22T00:00:00"/>
    <s v=""/>
    <x v="3"/>
    <s v="Technosynthese"/>
    <x v="0"/>
    <x v="2"/>
    <x v="2"/>
    <n v="0"/>
    <x v="2"/>
    <n v="14599.920000000002"/>
    <n v="3139.2104347826062"/>
    <s v="O-45768-D-0023"/>
    <x v="0"/>
  </r>
  <r>
    <s v="F-243"/>
    <x v="55"/>
    <s v="D-0023"/>
    <x v="87"/>
    <s v="Shapla,Rangpur"/>
    <n v="1780903329"/>
    <x v="6"/>
    <s v="Raihan Siddiqui"/>
    <x v="9"/>
    <s v="Rangpur"/>
    <x v="9"/>
    <s v="7100 4T 20W50 ESTER CORE®"/>
    <n v="24"/>
    <n v="1045"/>
    <n v="24"/>
    <n v="4.784688995215336E-3"/>
    <n v="0"/>
    <n v="1040"/>
    <n v="24"/>
    <n v="24"/>
    <n v="25080"/>
    <n v="0"/>
    <n v="24960"/>
    <n v="3255.6521739130435"/>
    <n v="21704.347826086956"/>
    <s v="Cash"/>
    <n v="705"/>
    <s v="Regular"/>
    <d v="2025-04-22T00:00:00"/>
    <s v=""/>
    <x v="3"/>
    <s v="Synthetic"/>
    <x v="0"/>
    <x v="3"/>
    <x v="3"/>
    <n v="0"/>
    <x v="2"/>
    <n v="18328.761599999998"/>
    <n v="3375.586226086958"/>
    <s v="O-45768-D-0023"/>
    <x v="0"/>
  </r>
  <r>
    <s v="F-243"/>
    <x v="55"/>
    <s v="D-0023"/>
    <x v="87"/>
    <s v="Shapla,Rangpur"/>
    <n v="1780903329"/>
    <x v="6"/>
    <s v="Raihan Siddiqui"/>
    <x v="9"/>
    <s v="Rangpur"/>
    <x v="12"/>
    <s v="3000 4T 20W50"/>
    <n v="500"/>
    <n v="450"/>
    <n v="500"/>
    <n v="3.3333333333333326E-2"/>
    <n v="0"/>
    <n v="435"/>
    <n v="500"/>
    <n v="500"/>
    <n v="225000"/>
    <n v="0"/>
    <n v="217500"/>
    <n v="28369.565217391304"/>
    <n v="189130.4347826087"/>
    <s v="Cash"/>
    <n v="705"/>
    <s v="Regular"/>
    <d v="2025-04-22T00:00:00"/>
    <s v=""/>
    <x v="3"/>
    <s v="Mineral"/>
    <x v="0"/>
    <x v="3"/>
    <x v="0"/>
    <n v="0"/>
    <x v="0"/>
    <n v="182460"/>
    <n v="6670.4347826087032"/>
    <s v="O-45768-D-0023"/>
    <x v="0"/>
  </r>
  <r>
    <s v="F-243"/>
    <x v="55"/>
    <s v="D-0023"/>
    <x v="87"/>
    <s v="Shapla,Rangpur"/>
    <n v="1780903329"/>
    <x v="6"/>
    <s v="Raihan Siddiqui"/>
    <x v="9"/>
    <s v="Rangpur"/>
    <x v="15"/>
    <s v="3000 4T 20W50"/>
    <n v="20"/>
    <n v="557"/>
    <n v="24"/>
    <n v="3.0520646319569078E-2"/>
    <n v="0"/>
    <n v="540"/>
    <n v="20"/>
    <n v="24"/>
    <n v="11140"/>
    <n v="0"/>
    <n v="10800"/>
    <n v="1408.695652173913"/>
    <n v="9391.3043478260861"/>
    <s v="Cash"/>
    <n v="705"/>
    <s v="Regular"/>
    <d v="2025-04-22T00:00:00"/>
    <s v=""/>
    <x v="3"/>
    <s v="Mineral"/>
    <x v="0"/>
    <x v="3"/>
    <x v="0"/>
    <n v="0"/>
    <x v="1"/>
    <n v="8692.2000000000007"/>
    <n v="699.10434782608536"/>
    <s v="O-45768-D-0023"/>
    <x v="0"/>
  </r>
  <r>
    <s v="F-244"/>
    <x v="55"/>
    <s v="D-0006"/>
    <x v="18"/>
    <s v="Savar"/>
    <s v=""/>
    <x v="0"/>
    <s v="Abdul Matin"/>
    <x v="7"/>
    <s v="Savar"/>
    <x v="0"/>
    <s v="3000 4T PLUS 10W30"/>
    <n v="200"/>
    <n v="540"/>
    <n v="200"/>
    <n v="4.629629629629628E-2"/>
    <n v="0"/>
    <n v="515"/>
    <n v="200"/>
    <n v="200"/>
    <n v="108000"/>
    <n v="0"/>
    <n v="103000"/>
    <n v="13434.782608695652"/>
    <n v="89565.217391304352"/>
    <s v="Cash"/>
    <n v="706"/>
    <s v="Custom"/>
    <d v="2025-04-22T00:00:00"/>
    <s v=""/>
    <x v="0"/>
    <s v="Mineral"/>
    <x v="0"/>
    <x v="0"/>
    <x v="0"/>
    <n v="0"/>
    <x v="0"/>
    <n v="75866"/>
    <n v="13699.217391304352"/>
    <s v="O-45768-D-0006"/>
    <x v="0"/>
  </r>
  <r>
    <s v="F-244"/>
    <x v="55"/>
    <s v="D-0006"/>
    <x v="18"/>
    <s v="Savar"/>
    <s v=""/>
    <x v="0"/>
    <s v="Abdul Matin"/>
    <x v="7"/>
    <s v="Savar"/>
    <x v="2"/>
    <s v="3000 4T PLUS 10W40"/>
    <n v="100"/>
    <n v="550"/>
    <n v="100"/>
    <n v="6.3636363636363602E-2"/>
    <n v="0"/>
    <n v="515"/>
    <n v="100"/>
    <n v="100"/>
    <n v="55000"/>
    <n v="0"/>
    <n v="51500"/>
    <n v="6717.391304347826"/>
    <n v="44782.608695652176"/>
    <s v="Cash"/>
    <n v="706"/>
    <s v="Custom"/>
    <d v="2025-04-22T00:00:00"/>
    <s v=""/>
    <x v="0"/>
    <s v="Mineral"/>
    <x v="0"/>
    <x v="2"/>
    <x v="0"/>
    <n v="0"/>
    <x v="0"/>
    <n v="38485"/>
    <n v="6297.6086956521758"/>
    <s v="O-45768-D-0006"/>
    <x v="0"/>
  </r>
  <r>
    <s v="F-244"/>
    <x v="55"/>
    <s v="D-0006"/>
    <x v="18"/>
    <s v="Savar"/>
    <s v=""/>
    <x v="0"/>
    <s v="Abdul Matin"/>
    <x v="7"/>
    <s v="Savar"/>
    <x v="19"/>
    <s v="51004T 10W30 ESTER"/>
    <n v="24"/>
    <n v="860"/>
    <n v="24"/>
    <n v="4.6511627906976716E-2"/>
    <n v="0"/>
    <n v="820"/>
    <n v="24"/>
    <n v="24"/>
    <n v="20640"/>
    <n v="0"/>
    <n v="19680"/>
    <n v="2566.9565217391305"/>
    <n v="17113.043478260868"/>
    <s v="Cash"/>
    <n v="706"/>
    <s v="Custom"/>
    <d v="2025-04-22T00:00:00"/>
    <s v=""/>
    <x v="0"/>
    <s v="Technosynthese"/>
    <x v="0"/>
    <x v="0"/>
    <x v="2"/>
    <n v="0"/>
    <x v="2"/>
    <n v="14463.36"/>
    <n v="2649.6834782608676"/>
    <s v="O-45768-D-0006"/>
    <x v="0"/>
  </r>
  <r>
    <s v="F-244"/>
    <x v="55"/>
    <s v="D-0006"/>
    <x v="18"/>
    <s v="Savar"/>
    <s v=""/>
    <x v="0"/>
    <s v="Abdul Matin"/>
    <x v="7"/>
    <s v="Savar"/>
    <x v="6"/>
    <s v="51004T 10W40 ESTER"/>
    <n v="60"/>
    <n v="860"/>
    <n v="60"/>
    <n v="4.6511627906976716E-2"/>
    <n v="0"/>
    <n v="820"/>
    <n v="60"/>
    <n v="60"/>
    <n v="51600"/>
    <n v="0"/>
    <n v="49200"/>
    <n v="6417.391304347826"/>
    <n v="42782.608695652176"/>
    <s v="Cash"/>
    <n v="706"/>
    <s v="Custom"/>
    <d v="2025-04-22T00:00:00"/>
    <s v=""/>
    <x v="0"/>
    <s v="Technosynthese"/>
    <x v="0"/>
    <x v="2"/>
    <x v="2"/>
    <n v="0"/>
    <x v="2"/>
    <n v="36499.800000000003"/>
    <n v="6282.8086956521729"/>
    <s v="O-45768-D-0006"/>
    <x v="0"/>
  </r>
  <r>
    <s v="F-244"/>
    <x v="55"/>
    <s v="D-0006"/>
    <x v="18"/>
    <s v="Savar"/>
    <s v=""/>
    <x v="0"/>
    <s v="Abdul Matin"/>
    <x v="7"/>
    <s v="Savar"/>
    <x v="7"/>
    <s v="7100 4T 10W30 ESTER CORE®"/>
    <n v="60"/>
    <n v="1080"/>
    <n v="60"/>
    <n v="5.555555555555558E-2"/>
    <n v="0"/>
    <n v="1020"/>
    <n v="60"/>
    <n v="60"/>
    <n v="64800"/>
    <n v="0"/>
    <n v="61200"/>
    <n v="7982.608695652174"/>
    <n v="53217.391304347824"/>
    <s v="Cash"/>
    <n v="706"/>
    <s v="Custom"/>
    <d v="2025-04-22T00:00:00"/>
    <s v=""/>
    <x v="0"/>
    <s v="Synthetic"/>
    <x v="0"/>
    <x v="0"/>
    <x v="3"/>
    <n v="0"/>
    <x v="2"/>
    <n v="41391.599999999999"/>
    <n v="11825.791304347826"/>
    <s v="O-45768-D-0006"/>
    <x v="0"/>
  </r>
  <r>
    <s v="F-239"/>
    <x v="56"/>
    <s v="D-0028"/>
    <x v="64"/>
    <s v=""/>
    <s v=""/>
    <x v="2"/>
    <s v="Captive Sales"/>
    <x v="26"/>
    <s v="Dhaka"/>
    <x v="48"/>
    <s v="Agri Super 15W40"/>
    <n v="227"/>
    <n v="660"/>
    <n v="227"/>
    <n v="0.22727272727272729"/>
    <n v="0"/>
    <n v="510"/>
    <n v="227"/>
    <n v="227"/>
    <n v="149820"/>
    <n v="0"/>
    <n v="115770"/>
    <n v="15100.434782608696"/>
    <n v="100669.56521739131"/>
    <s v="Cash"/>
    <n v="701"/>
    <s v="Custom"/>
    <d v="2025-04-22T00:00:00"/>
    <s v=""/>
    <x v="2"/>
    <s v="Mineral"/>
    <x v="4"/>
    <x v="6"/>
    <x v="19"/>
    <n v="0"/>
    <x v="0"/>
    <n v="90395.94"/>
    <n v="10273.625217391309"/>
    <s v="O-45769-D-0028"/>
    <x v="0"/>
  </r>
  <r>
    <s v="F-239"/>
    <x v="56"/>
    <s v="D-0028"/>
    <x v="64"/>
    <s v=""/>
    <s v=""/>
    <x v="2"/>
    <s v="Captive Sales"/>
    <x v="26"/>
    <s v="Dhaka"/>
    <x v="49"/>
    <s v="Agri Super 15W40"/>
    <n v="30"/>
    <n v="3100"/>
    <n v="150"/>
    <n v="0.1806451612903226"/>
    <n v="0"/>
    <n v="2540"/>
    <n v="30"/>
    <n v="150"/>
    <n v="93000"/>
    <n v="0"/>
    <n v="76200"/>
    <n v="9939.1304347826081"/>
    <n v="66260.869565217392"/>
    <s v="Cash"/>
    <n v="701"/>
    <s v="Custom"/>
    <d v="2025-04-22T00:00:00"/>
    <s v=""/>
    <x v="2"/>
    <s v="Mineral"/>
    <x v="4"/>
    <x v="6"/>
    <x v="19"/>
    <n v="0"/>
    <x v="18"/>
    <n v="58760.700000000004"/>
    <n v="7500.1695652173876"/>
    <s v="O-45769-D-0028"/>
    <x v="0"/>
  </r>
  <r>
    <s v="F-239"/>
    <x v="56"/>
    <s v="D-0028"/>
    <x v="64"/>
    <s v=""/>
    <s v=""/>
    <x v="2"/>
    <s v="Captive Sales"/>
    <x v="26"/>
    <s v="Dhaka"/>
    <x v="52"/>
    <s v="Agri Super 15W40"/>
    <n v="24"/>
    <n v="4613"/>
    <n v="180"/>
    <n v="0.2000867114675916"/>
    <n v="0"/>
    <n v="3690"/>
    <n v="24"/>
    <n v="180"/>
    <n v="110712"/>
    <n v="0"/>
    <n v="88560"/>
    <n v="11551.304347826086"/>
    <n v="77008.695652173919"/>
    <s v="Cash"/>
    <n v="701"/>
    <s v="Custom"/>
    <d v="2025-04-22T00:00:00"/>
    <s v=""/>
    <x v="2"/>
    <s v="Mineral"/>
    <x v="4"/>
    <x v="6"/>
    <x v="19"/>
    <n v="0"/>
    <x v="21"/>
    <n v="69786.240000000005"/>
    <n v="7222.4556521739141"/>
    <s v="O-45769-D-0028"/>
    <x v="0"/>
  </r>
  <r>
    <s v="F-239"/>
    <x v="56"/>
    <s v="D-0028"/>
    <x v="64"/>
    <s v=""/>
    <s v=""/>
    <x v="2"/>
    <s v="Captive Sales"/>
    <x v="26"/>
    <s v="Dhaka"/>
    <x v="53"/>
    <s v="Agri Super 15W40"/>
    <n v="48"/>
    <n v="6100"/>
    <n v="480"/>
    <n v="0.19836065573770489"/>
    <n v="0"/>
    <n v="4890"/>
    <n v="48"/>
    <n v="480"/>
    <n v="292800"/>
    <n v="0"/>
    <n v="234720"/>
    <n v="30615.652173913044"/>
    <n v="204104.34782608695"/>
    <s v="Cash"/>
    <n v="701"/>
    <s v="Custom"/>
    <d v="2025-04-22T00:00:00"/>
    <s v=""/>
    <x v="2"/>
    <s v="Mineral"/>
    <x v="4"/>
    <x v="6"/>
    <x v="19"/>
    <n v="0"/>
    <x v="22"/>
    <n v="181808.16"/>
    <n v="22296.187826086942"/>
    <s v="O-45769-D-0028"/>
    <x v="0"/>
  </r>
  <r>
    <s v="F-240"/>
    <x v="56"/>
    <s v="D-0028"/>
    <x v="64"/>
    <s v=""/>
    <s v=""/>
    <x v="2"/>
    <s v="Captive Sales"/>
    <x v="26"/>
    <s v="Dhaka"/>
    <x v="48"/>
    <s v="Agri Super 15W40"/>
    <n v="13"/>
    <n v="660"/>
    <n v="13"/>
    <n v="0.22727272727272729"/>
    <n v="0"/>
    <n v="510"/>
    <n v="13"/>
    <n v="13"/>
    <n v="8580"/>
    <n v="0"/>
    <n v="6630"/>
    <n v="864.78260869565213"/>
    <n v="5765.217391304348"/>
    <s v="Cash"/>
    <n v="702"/>
    <s v="Custom"/>
    <d v="2025-04-22T00:00:00"/>
    <s v=""/>
    <x v="2"/>
    <s v="Mineral"/>
    <x v="4"/>
    <x v="6"/>
    <x v="19"/>
    <n v="0"/>
    <x v="0"/>
    <n v="5176.8600000000006"/>
    <n v="588.3573913043474"/>
    <s v="O-45769-D-0028"/>
    <x v="0"/>
  </r>
  <r>
    <s v="F-240"/>
    <x v="56"/>
    <s v="D-0028"/>
    <x v="64"/>
    <s v=""/>
    <s v=""/>
    <x v="2"/>
    <s v="Captive Sales"/>
    <x v="26"/>
    <s v="Dhaka"/>
    <x v="49"/>
    <s v="Agri Super 15W40"/>
    <n v="30"/>
    <n v="3100"/>
    <n v="150"/>
    <n v="0.1806451612903226"/>
    <n v="0"/>
    <n v="2540"/>
    <n v="30"/>
    <n v="150"/>
    <n v="93000"/>
    <n v="0"/>
    <n v="76200"/>
    <n v="9939.1304347826081"/>
    <n v="66260.869565217392"/>
    <s v="Cash"/>
    <n v="702"/>
    <s v="Custom"/>
    <d v="2025-04-22T00:00:00"/>
    <s v=""/>
    <x v="2"/>
    <s v="Mineral"/>
    <x v="4"/>
    <x v="6"/>
    <x v="19"/>
    <n v="0"/>
    <x v="18"/>
    <n v="58760.700000000004"/>
    <n v="7500.1695652173876"/>
    <s v="O-45769-D-0028"/>
    <x v="0"/>
  </r>
  <r>
    <s v="F-240"/>
    <x v="56"/>
    <s v="D-0028"/>
    <x v="64"/>
    <s v=""/>
    <s v=""/>
    <x v="2"/>
    <s v="Captive Sales"/>
    <x v="26"/>
    <s v="Dhaka"/>
    <x v="52"/>
    <s v="Agri Super 15W40"/>
    <n v="24"/>
    <n v="4613"/>
    <n v="180"/>
    <n v="0.2000867114675916"/>
    <n v="0"/>
    <n v="3690"/>
    <n v="24"/>
    <n v="180"/>
    <n v="110712"/>
    <n v="0"/>
    <n v="88560"/>
    <n v="11551.304347826086"/>
    <n v="77008.695652173919"/>
    <s v="Cash"/>
    <n v="702"/>
    <s v="Custom"/>
    <d v="2025-04-22T00:00:00"/>
    <s v=""/>
    <x v="2"/>
    <s v="Mineral"/>
    <x v="4"/>
    <x v="6"/>
    <x v="19"/>
    <n v="0"/>
    <x v="21"/>
    <n v="69786.240000000005"/>
    <n v="7222.4556521739141"/>
    <s v="O-45769-D-0028"/>
    <x v="0"/>
  </r>
  <r>
    <s v="F-240"/>
    <x v="56"/>
    <s v="D-0028"/>
    <x v="64"/>
    <s v=""/>
    <s v=""/>
    <x v="2"/>
    <s v="Captive Sales"/>
    <x v="26"/>
    <s v="Dhaka"/>
    <x v="53"/>
    <s v="Agri Super 15W40"/>
    <n v="48"/>
    <n v="6100"/>
    <n v="480"/>
    <n v="0.19836065573770489"/>
    <n v="0"/>
    <n v="4890"/>
    <n v="48"/>
    <n v="480"/>
    <n v="292800"/>
    <n v="0"/>
    <n v="234720"/>
    <n v="30615.652173913044"/>
    <n v="204104.34782608695"/>
    <s v="Cash"/>
    <n v="702"/>
    <s v="Custom"/>
    <d v="2025-04-22T00:00:00"/>
    <s v=""/>
    <x v="2"/>
    <s v="Mineral"/>
    <x v="4"/>
    <x v="6"/>
    <x v="19"/>
    <n v="0"/>
    <x v="22"/>
    <n v="181808.16"/>
    <n v="22296.187826086942"/>
    <s v="O-45769-D-0028"/>
    <x v="0"/>
  </r>
  <r>
    <s v="F-241"/>
    <x v="56"/>
    <s v="D-0028"/>
    <x v="64"/>
    <s v=""/>
    <s v=""/>
    <x v="2"/>
    <s v="Captive Sales"/>
    <x v="26"/>
    <s v="Dhaka"/>
    <x v="49"/>
    <s v="Agri Super 15W40"/>
    <n v="28"/>
    <n v="3100"/>
    <n v="140"/>
    <n v="0.1806451612903226"/>
    <n v="0"/>
    <n v="2540"/>
    <n v="28"/>
    <n v="140"/>
    <n v="86800"/>
    <n v="0"/>
    <n v="71120"/>
    <n v="9276.5217391304341"/>
    <n v="61843.478260869568"/>
    <s v="Cash"/>
    <n v="703"/>
    <s v="Custom"/>
    <d v="2025-04-22T00:00:00"/>
    <s v=""/>
    <x v="2"/>
    <s v="Mineral"/>
    <x v="4"/>
    <x v="6"/>
    <x v="19"/>
    <n v="0"/>
    <x v="18"/>
    <n v="54843.32"/>
    <n v="7000.158260869568"/>
    <s v="O-45769-D-0028"/>
    <x v="0"/>
  </r>
  <r>
    <s v="F-241"/>
    <x v="56"/>
    <s v="D-0028"/>
    <x v="64"/>
    <s v=""/>
    <s v=""/>
    <x v="2"/>
    <s v="Captive Sales"/>
    <x v="26"/>
    <s v="Dhaka"/>
    <x v="52"/>
    <s v="Agri Super 15W40"/>
    <n v="24"/>
    <n v="4613"/>
    <n v="180"/>
    <n v="0.2000867114675916"/>
    <n v="0"/>
    <n v="3690"/>
    <n v="24"/>
    <n v="180"/>
    <n v="110712"/>
    <n v="0"/>
    <n v="88560"/>
    <n v="11551.304347826086"/>
    <n v="77008.695652173919"/>
    <s v="Cash"/>
    <n v="703"/>
    <s v="Custom"/>
    <d v="2025-04-22T00:00:00"/>
    <s v=""/>
    <x v="2"/>
    <s v="Mineral"/>
    <x v="4"/>
    <x v="6"/>
    <x v="19"/>
    <n v="0"/>
    <x v="21"/>
    <n v="69786.240000000005"/>
    <n v="7222.4556521739141"/>
    <s v="O-45769-D-0028"/>
    <x v="0"/>
  </r>
  <r>
    <s v="F-241"/>
    <x v="56"/>
    <s v="D-0028"/>
    <x v="64"/>
    <s v=""/>
    <s v=""/>
    <x v="2"/>
    <s v="Captive Sales"/>
    <x v="26"/>
    <s v="Dhaka"/>
    <x v="53"/>
    <s v="Agri Super 15W40"/>
    <n v="48"/>
    <n v="6100"/>
    <n v="480"/>
    <n v="0.19836065573770489"/>
    <n v="0"/>
    <n v="4890"/>
    <n v="48"/>
    <n v="480"/>
    <n v="292800"/>
    <n v="0"/>
    <n v="234720"/>
    <n v="30615.652173913044"/>
    <n v="204104.34782608695"/>
    <s v="Cash"/>
    <n v="703"/>
    <s v="Custom"/>
    <d v="2025-04-22T00:00:00"/>
    <s v=""/>
    <x v="2"/>
    <s v="Mineral"/>
    <x v="4"/>
    <x v="6"/>
    <x v="19"/>
    <n v="0"/>
    <x v="22"/>
    <n v="181808.16"/>
    <n v="22296.187826086942"/>
    <s v="O-45769-D-0028"/>
    <x v="0"/>
  </r>
  <r>
    <s v="Fd-242"/>
    <x v="57"/>
    <s v="D-0015"/>
    <x v="51"/>
    <s v="Wari"/>
    <s v=""/>
    <x v="5"/>
    <s v="Abdul Matin"/>
    <x v="6"/>
    <s v="Wari "/>
    <x v="2"/>
    <s v="3000 4T PLUS 10W40"/>
    <n v="3075"/>
    <n v="550"/>
    <n v="3075"/>
    <n v="0.63636363636363635"/>
    <n v="0"/>
    <n v="200"/>
    <n v="3075"/>
    <n v="3075"/>
    <n v="1691250"/>
    <n v="0"/>
    <n v="615000"/>
    <n v="80217.391304347824"/>
    <n v="534782.60869565222"/>
    <s v="Cash"/>
    <s v=""/>
    <s v="Custom"/>
    <s v=""/>
    <s v="Damaged products, 15 Drums , 205Ltr per Drum"/>
    <x v="0"/>
    <s v="Mineral"/>
    <x v="0"/>
    <x v="2"/>
    <x v="0"/>
    <n v="0"/>
    <x v="0"/>
    <n v="1183413.75"/>
    <n v="-648631.14130434778"/>
    <s v="O-45771-D-0015"/>
    <x v="2"/>
  </r>
  <r>
    <s v="Fd-243"/>
    <x v="58"/>
    <s v="D-0025"/>
    <x v="88"/>
    <s v="Vobanipur"/>
    <s v=""/>
    <x v="2"/>
    <s v="Captive Sales"/>
    <x v="13"/>
    <s v="Dhaka"/>
    <x v="2"/>
    <s v="3000 4T PLUS 10W40"/>
    <n v="153"/>
    <n v="550"/>
    <n v="153"/>
    <n v="0.6"/>
    <n v="0"/>
    <n v="220"/>
    <n v="153"/>
    <n v="153"/>
    <n v="84150"/>
    <n v="0"/>
    <n v="33660"/>
    <n v="4390.434782608696"/>
    <n v="29269.565217391304"/>
    <s v="Cash"/>
    <s v=""/>
    <s v="Custom"/>
    <s v=""/>
    <s v="Damaged products Sale"/>
    <x v="2"/>
    <s v="Mineral"/>
    <x v="0"/>
    <x v="2"/>
    <x v="0"/>
    <n v="0"/>
    <x v="0"/>
    <n v="58882.05"/>
    <n v="-29612.484782608699"/>
    <s v="O-45773-D-0025"/>
    <x v="2"/>
  </r>
  <r>
    <s v="Fr-245"/>
    <x v="59"/>
    <s v="D-0018"/>
    <x v="53"/>
    <s v="Ice Factory Road , Kadamtali Chittagong "/>
    <s v="019 7770 3528"/>
    <x v="1"/>
    <s v="Razur Rahman (Bipul)"/>
    <x v="1"/>
    <s v="Kadamtoli"/>
    <x v="0"/>
    <s v="3000 4T PLUS 10W30"/>
    <n v="12"/>
    <n v="540"/>
    <n v="12"/>
    <n v="1"/>
    <n v="0"/>
    <n v="0"/>
    <n v="12"/>
    <n v="12"/>
    <n v="6480"/>
    <n v="0"/>
    <n v="0"/>
    <n v="0"/>
    <n v="0"/>
    <s v="Cash"/>
    <s v=""/>
    <s v="Flat Discount"/>
    <s v=""/>
    <s v="Replacement products"/>
    <x v="1"/>
    <s v="Mineral"/>
    <x v="0"/>
    <x v="0"/>
    <x v="0"/>
    <n v="0"/>
    <x v="0"/>
    <n v="4551.96"/>
    <n v="-4551.96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1"/>
    <s v="3000 4T PLUS 20W40"/>
    <n v="30"/>
    <n v="535"/>
    <n v="30"/>
    <n v="1"/>
    <n v="0"/>
    <n v="0"/>
    <n v="30"/>
    <n v="30"/>
    <n v="16050"/>
    <n v="0"/>
    <n v="0"/>
    <n v="0"/>
    <n v="0"/>
    <s v="Cash"/>
    <s v=""/>
    <s v="Flat Discount"/>
    <s v=""/>
    <s v="Replacement products"/>
    <x v="1"/>
    <s v="Mineral"/>
    <x v="0"/>
    <x v="1"/>
    <x v="0"/>
    <n v="0"/>
    <x v="0"/>
    <n v="12382.8"/>
    <n v="-12382.8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2"/>
    <s v="3000 4T PLUS 10W40"/>
    <n v="37"/>
    <n v="550"/>
    <n v="37"/>
    <n v="1"/>
    <n v="0"/>
    <n v="0"/>
    <n v="37"/>
    <n v="37"/>
    <n v="20350"/>
    <n v="0"/>
    <n v="0"/>
    <n v="0"/>
    <n v="0"/>
    <s v="Cash"/>
    <s v=""/>
    <s v="Flat Discount"/>
    <s v=""/>
    <s v="Replacement products"/>
    <x v="1"/>
    <s v="Mineral"/>
    <x v="0"/>
    <x v="2"/>
    <x v="0"/>
    <n v="0"/>
    <x v="0"/>
    <n v="14239.45"/>
    <n v="-14239.45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3"/>
    <s v="3000 4T PLUS 10W30"/>
    <n v="2"/>
    <n v="650"/>
    <n v="2.4"/>
    <n v="1"/>
    <n v="0"/>
    <n v="0"/>
    <n v="2"/>
    <n v="2.4"/>
    <n v="1300"/>
    <n v="0"/>
    <n v="0"/>
    <n v="0"/>
    <n v="0"/>
    <s v="Cash"/>
    <s v=""/>
    <s v="Flat Discount"/>
    <s v=""/>
    <s v="Replacement products"/>
    <x v="1"/>
    <s v="Mineral"/>
    <x v="0"/>
    <x v="0"/>
    <x v="0"/>
    <n v="0"/>
    <x v="1"/>
    <n v="877.8"/>
    <n v="-877.8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5"/>
    <s v="31004T GOLD 20W50"/>
    <n v="28"/>
    <n v="600"/>
    <n v="28"/>
    <n v="1"/>
    <n v="0"/>
    <n v="0"/>
    <n v="28"/>
    <n v="28"/>
    <n v="16800"/>
    <n v="0"/>
    <n v="0"/>
    <n v="0"/>
    <n v="0"/>
    <s v="Cash"/>
    <s v=""/>
    <s v="Flat Discount"/>
    <s v=""/>
    <s v="Replacement products"/>
    <x v="1"/>
    <s v="Technosynthese"/>
    <x v="0"/>
    <x v="3"/>
    <x v="1"/>
    <n v="0"/>
    <x v="0"/>
    <n v="13142.92"/>
    <n v="-13142.92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7"/>
    <s v="7100 4T 10W30 ESTER CORE®"/>
    <n v="1"/>
    <n v="1080"/>
    <n v="1"/>
    <n v="1"/>
    <n v="0"/>
    <n v="0"/>
    <n v="1"/>
    <n v="1"/>
    <n v="1080"/>
    <n v="0"/>
    <n v="0"/>
    <n v="0"/>
    <n v="0"/>
    <s v="Cash"/>
    <s v=""/>
    <s v="Flat Discount"/>
    <s v=""/>
    <s v="Replacement products"/>
    <x v="1"/>
    <s v="Synthetic"/>
    <x v="0"/>
    <x v="0"/>
    <x v="3"/>
    <n v="0"/>
    <x v="2"/>
    <n v="689.86"/>
    <n v="-689.86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9"/>
    <s v="7100 4T 20W50 ESTER CORE®"/>
    <n v="1"/>
    <n v="1080"/>
    <n v="1"/>
    <n v="1"/>
    <n v="0"/>
    <n v="0"/>
    <n v="1"/>
    <n v="1"/>
    <n v="1080"/>
    <n v="0"/>
    <n v="0"/>
    <n v="0"/>
    <n v="0"/>
    <s v="Cash"/>
    <s v=""/>
    <s v="Flat Discount"/>
    <s v=""/>
    <s v="Replacement products"/>
    <x v="1"/>
    <s v="Synthetic"/>
    <x v="0"/>
    <x v="3"/>
    <x v="3"/>
    <n v="0"/>
    <x v="2"/>
    <n v="763.69839999999999"/>
    <n v="-763.69839999999999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18"/>
    <s v="Inugel Expert Coolant"/>
    <n v="1"/>
    <n v="425"/>
    <n v="1"/>
    <n v="1"/>
    <n v="0"/>
    <n v="0"/>
    <n v="1"/>
    <n v="1"/>
    <n v="425"/>
    <n v="0"/>
    <n v="0"/>
    <n v="0"/>
    <n v="0"/>
    <s v="Cash"/>
    <s v=""/>
    <s v="Flat Discount"/>
    <s v=""/>
    <s v="Replacement products"/>
    <x v="1"/>
    <s v="Care Products"/>
    <x v="1"/>
    <x v="4"/>
    <x v="9"/>
    <n v="0"/>
    <x v="0"/>
    <n v="230.64"/>
    <n v="-230.64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54"/>
    <s v="Run 4T 20W50"/>
    <n v="8"/>
    <n v="0"/>
    <n v="8"/>
    <s v=""/>
    <n v="0"/>
    <n v="0"/>
    <n v="8"/>
    <n v="8"/>
    <n v="0"/>
    <n v="0"/>
    <n v="0"/>
    <n v="0"/>
    <n v="0"/>
    <s v="Cash"/>
    <s v=""/>
    <s v="Flat Discount"/>
    <s v=""/>
    <s v="Replacement products"/>
    <x v="1"/>
    <s v="Mineral"/>
    <x v="0"/>
    <x v="3"/>
    <x v="21"/>
    <n v="0"/>
    <x v="0"/>
    <n v="2747.04"/>
    <n v="-2747.04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55"/>
    <s v="RUN 4T 20W40"/>
    <n v="10"/>
    <n v="565"/>
    <n v="10"/>
    <n v="1"/>
    <n v="0"/>
    <n v="0"/>
    <n v="10"/>
    <n v="10"/>
    <n v="5650"/>
    <n v="0"/>
    <n v="0"/>
    <n v="0"/>
    <n v="0"/>
    <s v="Cash"/>
    <s v=""/>
    <s v="Flat Discount"/>
    <s v=""/>
    <s v="Replacement products"/>
    <x v="1"/>
    <s v="Mineral"/>
    <x v="0"/>
    <x v="1"/>
    <x v="21"/>
    <n v="0"/>
    <x v="0"/>
    <n v="3595.7"/>
    <n v="-3595.7"/>
    <s v="O-45774-D-0018"/>
    <x v="3"/>
  </r>
  <r>
    <s v="Fr-245"/>
    <x v="59"/>
    <s v="D-0018"/>
    <x v="53"/>
    <s v="Ice Factory Road , Kadamtali Chittagong "/>
    <s v="019 7770 3528"/>
    <x v="1"/>
    <s v="Razur Rahman (Bipul)"/>
    <x v="1"/>
    <s v="Kadamtoli"/>
    <x v="15"/>
    <s v="3000 4T 20W50"/>
    <n v="1"/>
    <n v="595"/>
    <n v="1.2"/>
    <n v="1"/>
    <n v="0"/>
    <n v="0"/>
    <n v="1"/>
    <n v="1.2"/>
    <n v="595"/>
    <n v="0"/>
    <n v="0"/>
    <n v="0"/>
    <n v="0"/>
    <s v="Cash"/>
    <s v=""/>
    <s v="Flat Discount"/>
    <s v=""/>
    <s v="Replacement products"/>
    <x v="1"/>
    <s v="Mineral"/>
    <x v="0"/>
    <x v="3"/>
    <x v="0"/>
    <n v="0"/>
    <x v="1"/>
    <n v="434.61"/>
    <n v="-434.61"/>
    <s v="O-45774-D-0018"/>
    <x v="3"/>
  </r>
  <r>
    <s v="F-244"/>
    <x v="60"/>
    <s v="D-0018"/>
    <x v="53"/>
    <s v="Ice Factory Road , Kadamtali Chittagong "/>
    <s v="019 7770 3528"/>
    <x v="1"/>
    <s v="Razur Rahman (Bipul)"/>
    <x v="1"/>
    <s v="Kadamtoli"/>
    <x v="0"/>
    <s v="3000 4T PLUS 10W30"/>
    <n v="500"/>
    <n v="525"/>
    <n v="500"/>
    <n v="0"/>
    <n v="0"/>
    <n v="525"/>
    <n v="500"/>
    <n v="500"/>
    <n v="262500"/>
    <n v="0"/>
    <n v="262500"/>
    <n v="34239.130434782608"/>
    <n v="228260.86956521738"/>
    <s v="Cash"/>
    <n v="708"/>
    <s v="Flat Discount"/>
    <d v="2025-04-26T00:00:00"/>
    <s v=""/>
    <x v="1"/>
    <s v="Mineral"/>
    <x v="0"/>
    <x v="0"/>
    <x v="0"/>
    <n v="0"/>
    <x v="0"/>
    <n v="189665"/>
    <n v="38595.869565217377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2"/>
    <s v="3000 4T PLUS 10W40"/>
    <n v="720"/>
    <n v="525"/>
    <n v="720"/>
    <n v="0"/>
    <n v="0"/>
    <n v="525"/>
    <n v="720"/>
    <n v="720"/>
    <n v="378000"/>
    <n v="0"/>
    <n v="378000"/>
    <n v="49304.34782608696"/>
    <n v="328695.65217391303"/>
    <s v="Cash"/>
    <n v="708"/>
    <s v="Flat Discount"/>
    <d v="2025-04-26T00:00:00"/>
    <s v=""/>
    <x v="1"/>
    <s v="Mineral"/>
    <x v="0"/>
    <x v="2"/>
    <x v="0"/>
    <n v="0"/>
    <x v="0"/>
    <n v="277092"/>
    <n v="51603.652173913026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21"/>
    <s v="31004T GOLD 10W30"/>
    <n v="100"/>
    <n v="540"/>
    <n v="100"/>
    <n v="0"/>
    <n v="0"/>
    <n v="540"/>
    <n v="100"/>
    <n v="100"/>
    <n v="54000"/>
    <n v="0"/>
    <n v="54000"/>
    <n v="7043.478260869565"/>
    <n v="46956.521739130432"/>
    <s v="Cash"/>
    <n v="708"/>
    <s v="Flat Discount"/>
    <d v="2025-04-26T00:00:00"/>
    <s v=""/>
    <x v="1"/>
    <s v="Technosynthese"/>
    <x v="0"/>
    <x v="0"/>
    <x v="1"/>
    <n v="0"/>
    <x v="0"/>
    <n v="42510"/>
    <n v="4446.5217391304323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6"/>
    <s v="51004T 10W40 ESTER"/>
    <n v="240"/>
    <n v="830"/>
    <n v="240"/>
    <n v="0"/>
    <n v="0"/>
    <n v="830"/>
    <n v="240"/>
    <n v="240"/>
    <n v="199200"/>
    <n v="0"/>
    <n v="199200"/>
    <n v="25982.608695652172"/>
    <n v="173217.39130434784"/>
    <s v="Cash"/>
    <n v="708"/>
    <s v="Flat Discount"/>
    <d v="2025-04-26T00:00:00"/>
    <s v=""/>
    <x v="1"/>
    <s v="Technosynthese"/>
    <x v="0"/>
    <x v="2"/>
    <x v="2"/>
    <n v="0"/>
    <x v="2"/>
    <n v="145999.20000000001"/>
    <n v="27218.191304347827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9"/>
    <s v="7100 4T 20W50 ESTER CORE®"/>
    <n v="60"/>
    <n v="1020"/>
    <n v="60"/>
    <n v="0"/>
    <n v="0"/>
    <n v="1020"/>
    <n v="60"/>
    <n v="60"/>
    <n v="61200"/>
    <n v="0"/>
    <n v="61200"/>
    <n v="7982.608695652174"/>
    <n v="53217.391304347824"/>
    <s v="Cash"/>
    <n v="708"/>
    <s v="Flat Discount"/>
    <d v="2025-04-26T00:00:00"/>
    <s v=""/>
    <x v="1"/>
    <s v="Synthetic"/>
    <x v="0"/>
    <x v="3"/>
    <x v="3"/>
    <n v="0"/>
    <x v="2"/>
    <n v="45821.904000000002"/>
    <n v="7395.4873043478219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18"/>
    <s v="Inugel Expert Coolant"/>
    <n v="100"/>
    <n v="400"/>
    <n v="100"/>
    <n v="0"/>
    <n v="0"/>
    <n v="400"/>
    <n v="100"/>
    <n v="100"/>
    <n v="40000"/>
    <n v="0"/>
    <n v="40000"/>
    <n v="5217.391304347826"/>
    <n v="34782.608695652176"/>
    <s v="Cash"/>
    <n v="708"/>
    <s v="Flat Discount"/>
    <d v="2025-04-26T00:00:00"/>
    <s v=""/>
    <x v="1"/>
    <s v="Care Products"/>
    <x v="1"/>
    <x v="4"/>
    <x v="9"/>
    <n v="0"/>
    <x v="0"/>
    <n v="23064"/>
    <n v="11718.608695652176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10"/>
    <s v="Scooter LE 4T 10W30 HC-TECH®"/>
    <n v="300"/>
    <n v="420"/>
    <n v="240"/>
    <n v="0"/>
    <n v="0"/>
    <n v="420"/>
    <n v="300"/>
    <n v="240"/>
    <n v="126000"/>
    <n v="0"/>
    <n v="126000"/>
    <n v="16434.782608695652"/>
    <n v="109565.21739130435"/>
    <s v="Cash"/>
    <n v="708"/>
    <s v="Flat Discount"/>
    <d v="2025-04-26T00:00:00"/>
    <s v=""/>
    <x v="1"/>
    <s v="Mineral"/>
    <x v="0"/>
    <x v="0"/>
    <x v="4"/>
    <n v="0"/>
    <x v="3"/>
    <n v="99999"/>
    <n v="9566.2173913043516"/>
    <s v="O-45770-D-0018"/>
    <x v="0"/>
  </r>
  <r>
    <s v="F-244"/>
    <x v="60"/>
    <s v="D-0018"/>
    <x v="53"/>
    <s v="Ice Factory Road , Kadamtali Chittagong "/>
    <s v="019 7770 3528"/>
    <x v="1"/>
    <s v="Razur Rahman (Bipul)"/>
    <x v="1"/>
    <s v="Kadamtoli"/>
    <x v="12"/>
    <s v="3000 4T 20W50"/>
    <n v="300"/>
    <n v="400"/>
    <n v="300"/>
    <n v="0"/>
    <n v="0"/>
    <n v="400"/>
    <n v="300"/>
    <n v="300"/>
    <n v="120000"/>
    <n v="0"/>
    <n v="120000"/>
    <n v="15652.173913043478"/>
    <n v="104347.82608695653"/>
    <s v="Cash"/>
    <n v="708"/>
    <s v="Flat Discount"/>
    <d v="2025-04-26T00:00:00"/>
    <s v=""/>
    <x v="1"/>
    <s v="Mineral"/>
    <x v="0"/>
    <x v="3"/>
    <x v="0"/>
    <n v="0"/>
    <x v="0"/>
    <n v="109476"/>
    <n v="-5128.1739130434726"/>
    <s v="O-45770-D-0018"/>
    <x v="0"/>
  </r>
  <r>
    <s v="Fd-246"/>
    <x v="61"/>
    <s v="D-0025"/>
    <x v="88"/>
    <s v="Vobanipur"/>
    <s v=""/>
    <x v="2"/>
    <s v="Captive Sales"/>
    <x v="13"/>
    <s v="Dhaka"/>
    <x v="2"/>
    <s v="3000 4T PLUS 10W40"/>
    <n v="30"/>
    <n v="550"/>
    <n v="30"/>
    <n v="0.6"/>
    <n v="0"/>
    <n v="220"/>
    <n v="30"/>
    <n v="30"/>
    <n v="16500"/>
    <n v="0"/>
    <n v="6600"/>
    <n v="860.86956521739125"/>
    <n v="5739.130434782609"/>
    <s v="Cash"/>
    <s v=""/>
    <s v="Custom"/>
    <s v=""/>
    <s v=""/>
    <x v="2"/>
    <s v="Mineral"/>
    <x v="0"/>
    <x v="2"/>
    <x v="0"/>
    <n v="0"/>
    <x v="0"/>
    <n v="11545.5"/>
    <n v="-5806.369565217391"/>
    <s v="O-45775-D-0025"/>
    <x v="2"/>
  </r>
  <r>
    <s v="F-247"/>
    <x v="61"/>
    <s v="D-0027"/>
    <x v="89"/>
    <s v="Dhaka"/>
    <s v=""/>
    <x v="2"/>
    <s v="Captive Sales"/>
    <x v="21"/>
    <s v="Dhaka"/>
    <x v="14"/>
    <s v="8100 X.Max 0W40"/>
    <n v="50"/>
    <n v="5600"/>
    <n v="200"/>
    <n v="0.4642857142857143"/>
    <n v="0"/>
    <n v="3000"/>
    <n v="50"/>
    <n v="200"/>
    <n v="280000"/>
    <n v="0"/>
    <n v="150000"/>
    <n v="19565.217391304348"/>
    <n v="130434.78260869565"/>
    <s v="Cash"/>
    <n v="709"/>
    <s v="Custom"/>
    <d v="2025-04-28T00:00:00"/>
    <s v=""/>
    <x v="2"/>
    <s v="Synthetic"/>
    <x v="2"/>
    <x v="5"/>
    <x v="6"/>
    <n v="0"/>
    <x v="5"/>
    <n v="146798.5"/>
    <n v="-16363.717391304352"/>
    <s v="O-45775-D-0027"/>
    <x v="0"/>
  </r>
  <r>
    <s v="F-248"/>
    <x v="61"/>
    <s v="D-0026"/>
    <x v="90"/>
    <s v="Dhaka"/>
    <s v=""/>
    <x v="2"/>
    <s v="Captive Sales"/>
    <x v="17"/>
    <s v="Dhaka"/>
    <x v="24"/>
    <s v="4000 Motion Plus 15W40"/>
    <n v="95"/>
    <n v="2700"/>
    <n v="380"/>
    <n v="0.437037037037037"/>
    <n v="0"/>
    <n v="1520"/>
    <n v="95"/>
    <n v="380"/>
    <n v="256500"/>
    <n v="0"/>
    <n v="144400"/>
    <n v="18834.782608695652"/>
    <n v="125565.21739130435"/>
    <s v="Cash"/>
    <n v="710"/>
    <s v="Custom"/>
    <d v="2025-04-28T00:00:00"/>
    <s v=""/>
    <x v="2"/>
    <s v="Mineral"/>
    <x v="2"/>
    <x v="6"/>
    <x v="11"/>
    <n v="0"/>
    <x v="5"/>
    <n v="125663.15"/>
    <n v="-97.932608695642557"/>
    <s v="O-45775-D-0026"/>
    <x v="0"/>
  </r>
  <r>
    <s v="F-249"/>
    <x v="59"/>
    <s v="D-0014"/>
    <x v="14"/>
    <s v="Sadar Moulvibazar"/>
    <s v="+88001784-667321"/>
    <x v="3"/>
    <s v="Razur Rahman (Bipul)"/>
    <x v="3"/>
    <s v="Paduar Bazar Bisso Road"/>
    <x v="0"/>
    <s v="3000 4T PLUS 10W30"/>
    <n v="20"/>
    <n v="540"/>
    <n v="20"/>
    <n v="9.2592592592593004E-3"/>
    <n v="0"/>
    <n v="535"/>
    <n v="20"/>
    <n v="20"/>
    <n v="10800"/>
    <n v="0"/>
    <n v="10700"/>
    <n v="1395.6521739130435"/>
    <n v="9304.347826086956"/>
    <s v="Cash"/>
    <n v="711"/>
    <s v="Custom"/>
    <d v="2025-04-28T00:00:00"/>
    <s v=""/>
    <x v="1"/>
    <s v="Mineral"/>
    <x v="0"/>
    <x v="0"/>
    <x v="0"/>
    <n v="0"/>
    <x v="0"/>
    <n v="7586.5999999999995"/>
    <n v="1717.7478260869566"/>
    <s v="O-45774-D-0014"/>
    <x v="0"/>
  </r>
  <r>
    <s v="F-249"/>
    <x v="59"/>
    <s v="D-0014"/>
    <x v="14"/>
    <s v="Sadar Moulvibazar"/>
    <s v="+88001784-667321"/>
    <x v="3"/>
    <s v="Razur Rahman (Bipul)"/>
    <x v="3"/>
    <s v="Paduar Bazar Bisso Road"/>
    <x v="12"/>
    <s v="3000 4T 20W50"/>
    <n v="20"/>
    <n v="495"/>
    <n v="20"/>
    <n v="3.0303030303030276E-2"/>
    <n v="0"/>
    <n v="480"/>
    <n v="20"/>
    <n v="20"/>
    <n v="9900"/>
    <n v="0"/>
    <n v="9600"/>
    <n v="1252.1739130434783"/>
    <n v="8347.826086956522"/>
    <s v="Cash"/>
    <n v="711"/>
    <s v="Custom"/>
    <d v="2025-04-28T00:00:00"/>
    <s v=""/>
    <x v="1"/>
    <s v="Mineral"/>
    <x v="0"/>
    <x v="3"/>
    <x v="0"/>
    <n v="0"/>
    <x v="0"/>
    <n v="7298.4000000000005"/>
    <n v="1049.4260869565214"/>
    <s v="O-45774-D-0014"/>
    <x v="0"/>
  </r>
  <r>
    <s v="F-250"/>
    <x v="59"/>
    <s v="D-0014"/>
    <x v="9"/>
    <s v="Chowmuhoni"/>
    <s v="+88001818-147844"/>
    <x v="3"/>
    <s v="Razur Rahman (Bipul)"/>
    <x v="3"/>
    <s v="Paduar Bazar Bisso Road"/>
    <x v="2"/>
    <s v="3000 4T PLUS 10W40"/>
    <n v="40"/>
    <n v="550"/>
    <n v="40"/>
    <n v="3.6363636363636376E-2"/>
    <n v="0"/>
    <n v="530"/>
    <n v="40"/>
    <n v="40"/>
    <n v="22000"/>
    <n v="0"/>
    <n v="21200"/>
    <n v="2765.217391304348"/>
    <n v="18434.782608695652"/>
    <s v="Cash"/>
    <n v="712"/>
    <s v="Custom"/>
    <d v="2025-04-28T00:00:00"/>
    <s v=""/>
    <x v="1"/>
    <s v="Mineral"/>
    <x v="0"/>
    <x v="2"/>
    <x v="0"/>
    <n v="0"/>
    <x v="0"/>
    <n v="15394"/>
    <n v="3040.782608695652"/>
    <s v="O-45774-D-0014"/>
    <x v="0"/>
  </r>
  <r>
    <s v="F-250"/>
    <x v="59"/>
    <s v="D-0014"/>
    <x v="9"/>
    <s v="Chowmuhoni"/>
    <s v="+88001818-147844"/>
    <x v="3"/>
    <s v="Razur Rahman (Bipul)"/>
    <x v="3"/>
    <s v="Paduar Bazar Bisso Road"/>
    <x v="55"/>
    <s v="RUN 4T 20W40"/>
    <n v="220"/>
    <n v="565"/>
    <n v="220"/>
    <n v="0.29203539823008851"/>
    <n v="0"/>
    <n v="400"/>
    <n v="220"/>
    <n v="220"/>
    <n v="124300"/>
    <n v="0"/>
    <n v="88000"/>
    <n v="11478.260869565218"/>
    <n v="76521.739130434784"/>
    <s v="Cash"/>
    <n v="712"/>
    <s v="Custom"/>
    <d v="2025-04-28T00:00:00"/>
    <s v=""/>
    <x v="1"/>
    <s v="Mineral"/>
    <x v="0"/>
    <x v="1"/>
    <x v="21"/>
    <n v="0"/>
    <x v="0"/>
    <n v="79105.399999999994"/>
    <n v="-2583.6608695652103"/>
    <s v="O-45774-D-0014"/>
    <x v="0"/>
  </r>
  <r>
    <s v="F-251"/>
    <x v="61"/>
    <s v="D-0030"/>
    <x v="91"/>
    <s v="Uttara"/>
    <s v=""/>
    <x v="0"/>
    <s v="Abdul Matin"/>
    <x v="30"/>
    <s v="Uttara"/>
    <x v="23"/>
    <s v="2000 Multi Power 20W50"/>
    <n v="44"/>
    <n v="2350"/>
    <n v="176"/>
    <n v="0.57446808510638303"/>
    <n v="0"/>
    <n v="1000"/>
    <n v="44"/>
    <n v="176"/>
    <n v="103400"/>
    <n v="0"/>
    <n v="44000"/>
    <n v="5739.130434782609"/>
    <n v="38260.869565217392"/>
    <s v="Cash"/>
    <n v="713"/>
    <s v="Custom"/>
    <d v="2025-04-28T00:00:00"/>
    <s v=""/>
    <x v="0"/>
    <s v="Mineral"/>
    <x v="2"/>
    <x v="3"/>
    <x v="10"/>
    <n v="0"/>
    <x v="5"/>
    <n v="48199.8"/>
    <n v="-9938.930434782611"/>
    <s v="O-45775-D-0030"/>
    <x v="0"/>
  </r>
  <r>
    <s v="F-252"/>
    <x v="62"/>
    <s v="D-0018"/>
    <x v="92"/>
    <s v="Halisohor, Chittagong "/>
    <s v="0 16 7387 6255"/>
    <x v="1"/>
    <s v="Razur Rahman (Bipul)"/>
    <x v="1"/>
    <s v="Kadamtoli"/>
    <x v="12"/>
    <s v="3000 4T 20W50"/>
    <n v="40"/>
    <n v="420"/>
    <n v="40"/>
    <n v="0"/>
    <n v="0"/>
    <n v="420"/>
    <n v="40"/>
    <n v="40"/>
    <n v="16800"/>
    <n v="0"/>
    <n v="16800"/>
    <n v="2191.304347826087"/>
    <n v="14608.695652173914"/>
    <s v="Cash"/>
    <n v="714"/>
    <s v="Flat Discount"/>
    <d v="2025-04-29T00:00:00"/>
    <s v=""/>
    <x v="1"/>
    <s v="Mineral"/>
    <x v="0"/>
    <x v="3"/>
    <x v="0"/>
    <n v="0"/>
    <x v="0"/>
    <n v="14596.800000000001"/>
    <n v="11.895652173912822"/>
    <s v="O-45776-D-0018"/>
    <x v="0"/>
  </r>
  <r>
    <s v="Fs-217"/>
    <x v="63"/>
    <s v="D-0015"/>
    <x v="51"/>
    <s v="Wari "/>
    <s v=""/>
    <x v="5"/>
    <s v="Abdul Matin"/>
    <x v="6"/>
    <s v="Wari "/>
    <x v="5"/>
    <s v="31004T GOLD 20W50"/>
    <n v="240"/>
    <n v="600"/>
    <n v="240"/>
    <n v="8.333333333333337E-2"/>
    <n v="0"/>
    <n v="550"/>
    <n v="240"/>
    <n v="240"/>
    <n v="144000"/>
    <n v="0"/>
    <n v="132000"/>
    <n v="17217.391304347828"/>
    <n v="114782.60869565218"/>
    <s v="Cash"/>
    <s v=""/>
    <s v="Custom"/>
    <s v=""/>
    <s v=""/>
    <x v="0"/>
    <s v="Technosynthese"/>
    <x v="0"/>
    <x v="3"/>
    <x v="1"/>
    <n v="0"/>
    <x v="0"/>
    <n v="112653.59999999999"/>
    <n v="2129.0086956521845"/>
    <s v="O-45777-D-0015"/>
    <x v="1"/>
  </r>
  <r>
    <s v="F-254"/>
    <x v="63"/>
    <s v="D-0025"/>
    <x v="93"/>
    <s v="Dhaka"/>
    <s v=""/>
    <x v="2"/>
    <s v="Captive Sales"/>
    <x v="13"/>
    <s v="Dhaka"/>
    <x v="14"/>
    <s v="8100 X.Max 0W40"/>
    <n v="100"/>
    <n v="5600"/>
    <n v="400"/>
    <n v="0.4642857142857143"/>
    <n v="0"/>
    <n v="3000"/>
    <n v="100"/>
    <n v="400"/>
    <n v="560000"/>
    <n v="0"/>
    <n v="300000"/>
    <n v="39130.434782608696"/>
    <n v="260869.5652173913"/>
    <s v="Cash"/>
    <n v="716"/>
    <s v="Custom"/>
    <s v=""/>
    <s v=""/>
    <x v="2"/>
    <s v="Synthetic"/>
    <x v="2"/>
    <x v="5"/>
    <x v="6"/>
    <n v="0"/>
    <x v="5"/>
    <n v="293597"/>
    <n v="-32727.434782608703"/>
    <s v="O-45777-D-0025"/>
    <x v="0"/>
  </r>
  <r>
    <s v="F-255"/>
    <x v="59"/>
    <s v="D-0015"/>
    <x v="51"/>
    <s v="Wari"/>
    <s v=""/>
    <x v="5"/>
    <s v="Abdul Matin"/>
    <x v="6"/>
    <s v="Wari "/>
    <x v="0"/>
    <s v="3000 4T PLUS 10W30"/>
    <n v="600"/>
    <n v="540"/>
    <n v="600"/>
    <n v="4.629629629629628E-2"/>
    <n v="0"/>
    <n v="515"/>
    <n v="600"/>
    <n v="600"/>
    <n v="324000"/>
    <n v="0"/>
    <n v="309000"/>
    <n v="40304.34782608696"/>
    <n v="268695.65217391303"/>
    <s v="Cash"/>
    <n v="717"/>
    <s v="Custom"/>
    <s v=""/>
    <s v="No Transport Allowance"/>
    <x v="0"/>
    <s v="Mineral"/>
    <x v="0"/>
    <x v="0"/>
    <x v="0"/>
    <n v="0"/>
    <x v="0"/>
    <n v="227598"/>
    <n v="41097.652173913026"/>
    <s v="O-45774-D-0015"/>
    <x v="0"/>
  </r>
  <r>
    <s v="F-255"/>
    <x v="59"/>
    <s v="D-0015"/>
    <x v="51"/>
    <s v="Wari"/>
    <s v=""/>
    <x v="5"/>
    <s v="Abdul Matin"/>
    <x v="6"/>
    <s v="Wari "/>
    <x v="1"/>
    <s v="3000 4T PLUS 20W40"/>
    <n v="1600"/>
    <n v="535"/>
    <n v="1600"/>
    <n v="3.7383177570093462E-2"/>
    <n v="0"/>
    <n v="515"/>
    <n v="1600"/>
    <n v="1600"/>
    <n v="856000"/>
    <n v="0"/>
    <n v="824000"/>
    <n v="107478.26086956522"/>
    <n v="716521.73913043481"/>
    <s v="Cash"/>
    <n v="717"/>
    <s v="Custom"/>
    <s v=""/>
    <s v="No Transport Allowance"/>
    <x v="0"/>
    <s v="Mineral"/>
    <x v="0"/>
    <x v="1"/>
    <x v="0"/>
    <n v="0"/>
    <x v="0"/>
    <n v="660416"/>
    <n v="56105.739130434813"/>
    <s v="O-45774-D-0015"/>
    <x v="0"/>
  </r>
  <r>
    <s v="F-255"/>
    <x v="59"/>
    <s v="D-0015"/>
    <x v="51"/>
    <s v="Wari"/>
    <s v=""/>
    <x v="5"/>
    <s v="Abdul Matin"/>
    <x v="6"/>
    <s v="Wari "/>
    <x v="2"/>
    <s v="3000 4T PLUS 10W40"/>
    <n v="900"/>
    <n v="550"/>
    <n v="900"/>
    <n v="6.3636363636363602E-2"/>
    <n v="0"/>
    <n v="515"/>
    <n v="900"/>
    <n v="900"/>
    <n v="495000"/>
    <n v="0"/>
    <n v="463500"/>
    <n v="60456.521739130432"/>
    <n v="403043.47826086957"/>
    <s v="Cash"/>
    <n v="717"/>
    <s v="Custom"/>
    <s v=""/>
    <s v="No Transport Allowance"/>
    <x v="0"/>
    <s v="Mineral"/>
    <x v="0"/>
    <x v="2"/>
    <x v="0"/>
    <n v="0"/>
    <x v="0"/>
    <n v="346365"/>
    <n v="56678.478260869568"/>
    <s v="O-45774-D-0015"/>
    <x v="0"/>
  </r>
  <r>
    <s v="F-253"/>
    <x v="61"/>
    <s v="D-0001"/>
    <x v="94"/>
    <s v="Rajbari"/>
    <s v=""/>
    <x v="4"/>
    <s v="Abdul Matin"/>
    <x v="10"/>
    <s v="Pangsha"/>
    <x v="2"/>
    <s v="3000 4T PLUS 10W40"/>
    <n v="1280"/>
    <n v="515"/>
    <n v="1280"/>
    <n v="0"/>
    <n v="0"/>
    <n v="515"/>
    <n v="1280"/>
    <n v="1280"/>
    <n v="659200"/>
    <n v="0"/>
    <n v="659200"/>
    <n v="85982.608695652176"/>
    <n v="573217.39130434778"/>
    <s v="Cash"/>
    <n v="715"/>
    <s v="Flat Discount"/>
    <s v=""/>
    <s v=""/>
    <x v="0"/>
    <s v="Mineral"/>
    <x v="0"/>
    <x v="2"/>
    <x v="0"/>
    <n v="0"/>
    <x v="0"/>
    <n v="492608"/>
    <n v="80609.391304347781"/>
    <s v="O-45775-D-0001"/>
    <x v="0"/>
  </r>
  <r>
    <s v="F-253"/>
    <x v="61"/>
    <s v="D-0001"/>
    <x v="94"/>
    <s v="Rajbari"/>
    <s v=""/>
    <x v="4"/>
    <s v="Abdul Matin"/>
    <x v="10"/>
    <s v="Pangsha"/>
    <x v="6"/>
    <s v="51004T 10W40 ESTER"/>
    <n v="240"/>
    <n v="820"/>
    <n v="240"/>
    <n v="0"/>
    <n v="0"/>
    <n v="820"/>
    <n v="240"/>
    <n v="240"/>
    <n v="196800"/>
    <n v="0"/>
    <n v="196800"/>
    <n v="25669.565217391304"/>
    <n v="171130.4347826087"/>
    <s v="Cash"/>
    <n v="715"/>
    <s v="Flat Discount"/>
    <s v=""/>
    <s v=""/>
    <x v="0"/>
    <s v="Technosynthese"/>
    <x v="0"/>
    <x v="2"/>
    <x v="2"/>
    <n v="0"/>
    <x v="2"/>
    <n v="145999.20000000001"/>
    <n v="25131.234782608692"/>
    <s v="O-45775-D-0001"/>
    <x v="0"/>
  </r>
  <r>
    <s v="F-253"/>
    <x v="61"/>
    <s v="D-0001"/>
    <x v="94"/>
    <s v="Rajbari"/>
    <s v=""/>
    <x v="4"/>
    <s v="Abdul Matin"/>
    <x v="10"/>
    <s v="Pangsha"/>
    <x v="12"/>
    <s v="3000 4T 20W50"/>
    <n v="400"/>
    <n v="400"/>
    <n v="400"/>
    <n v="0"/>
    <n v="0"/>
    <n v="400"/>
    <n v="400"/>
    <n v="400"/>
    <n v="160000"/>
    <n v="0"/>
    <n v="160000"/>
    <n v="20869.565217391304"/>
    <n v="139130.4347826087"/>
    <s v="Cash"/>
    <n v="715"/>
    <s v="Flat Discount"/>
    <s v=""/>
    <s v=""/>
    <x v="0"/>
    <s v="Mineral"/>
    <x v="0"/>
    <x v="3"/>
    <x v="0"/>
    <n v="0"/>
    <x v="0"/>
    <n v="145968"/>
    <n v="-6837.5652173912968"/>
    <s v="O-45775-D-0001"/>
    <x v="0"/>
  </r>
  <r>
    <s v="Fs-218"/>
    <x v="59"/>
    <s v="D-0015"/>
    <x v="51"/>
    <s v="Wari"/>
    <s v=""/>
    <x v="5"/>
    <s v="Abdul Matin"/>
    <x v="6"/>
    <s v="Wari "/>
    <x v="0"/>
    <s v="3000 4T PLUS 10W30"/>
    <n v="400"/>
    <n v="540"/>
    <n v="400"/>
    <n v="4.629629629629628E-2"/>
    <n v="0"/>
    <n v="515"/>
    <n v="400"/>
    <n v="400"/>
    <n v="216000"/>
    <n v="0"/>
    <n v="206000"/>
    <n v="26869.565217391304"/>
    <n v="179130.4347826087"/>
    <s v="Cash"/>
    <s v=""/>
    <s v="Custom"/>
    <s v=""/>
    <s v="No Transport Allowance"/>
    <x v="0"/>
    <s v="Mineral"/>
    <x v="0"/>
    <x v="0"/>
    <x v="0"/>
    <n v="0"/>
    <x v="0"/>
    <n v="151732"/>
    <n v="27398.434782608703"/>
    <s v="O-45774-D-0015"/>
    <x v="1"/>
  </r>
  <r>
    <s v="Fs-218"/>
    <x v="59"/>
    <s v="D-0015"/>
    <x v="51"/>
    <s v="Wari"/>
    <s v=""/>
    <x v="5"/>
    <s v="Abdul Matin"/>
    <x v="6"/>
    <s v="Wari "/>
    <x v="1"/>
    <s v="3000 4T PLUS 20W40"/>
    <n v="1400"/>
    <n v="535"/>
    <n v="1400"/>
    <n v="3.7383177570093462E-2"/>
    <n v="0"/>
    <n v="515"/>
    <n v="1400"/>
    <n v="1400"/>
    <n v="749000"/>
    <n v="0"/>
    <n v="721000"/>
    <n v="94043.478260869568"/>
    <n v="626956.52173913049"/>
    <s v="Cash"/>
    <s v=""/>
    <s v="Custom"/>
    <s v=""/>
    <s v="No Transport Allowance"/>
    <x v="0"/>
    <s v="Mineral"/>
    <x v="0"/>
    <x v="1"/>
    <x v="0"/>
    <n v="0"/>
    <x v="0"/>
    <n v="577864"/>
    <n v="49092.52173913049"/>
    <s v="O-45774-D-0015"/>
    <x v="1"/>
  </r>
  <r>
    <s v="Fs-218"/>
    <x v="59"/>
    <s v="D-0015"/>
    <x v="51"/>
    <s v="Wari"/>
    <s v=""/>
    <x v="5"/>
    <s v="Abdul Matin"/>
    <x v="6"/>
    <s v="Wari "/>
    <x v="2"/>
    <s v="3000 4T PLUS 10W40"/>
    <n v="2100"/>
    <n v="550"/>
    <n v="2100"/>
    <n v="6.3636363636363602E-2"/>
    <n v="0"/>
    <n v="515"/>
    <n v="2100"/>
    <n v="2100"/>
    <n v="1155000"/>
    <n v="0"/>
    <n v="1081500"/>
    <n v="141065.21739130435"/>
    <n v="940434.78260869568"/>
    <s v="Cash"/>
    <s v=""/>
    <s v="Custom"/>
    <s v=""/>
    <s v="No Transport Allowance"/>
    <x v="0"/>
    <s v="Mineral"/>
    <x v="0"/>
    <x v="2"/>
    <x v="0"/>
    <n v="0"/>
    <x v="0"/>
    <n v="808185"/>
    <n v="132249.78260869568"/>
    <s v="O-45774-D-0015"/>
    <x v="1"/>
  </r>
  <r>
    <s v="Fs-219"/>
    <x v="61"/>
    <s v="D-0001"/>
    <x v="62"/>
    <s v="pangsha"/>
    <n v="1711154387"/>
    <x v="4"/>
    <s v="Abdul Matin"/>
    <x v="10"/>
    <s v="Pangsha"/>
    <x v="0"/>
    <s v="3000 4T PLUS 10W30"/>
    <n v="2000"/>
    <n v="515"/>
    <n v="2000"/>
    <n v="0"/>
    <n v="0"/>
    <n v="515"/>
    <n v="2000"/>
    <n v="2000"/>
    <n v="1030000"/>
    <n v="0"/>
    <n v="1030000"/>
    <n v="134347.82608695651"/>
    <n v="895652.17391304346"/>
    <s v="Cash"/>
    <s v=""/>
    <s v="Flat Discount"/>
    <s v=""/>
    <s v=""/>
    <x v="0"/>
    <s v="Mineral"/>
    <x v="0"/>
    <x v="0"/>
    <x v="0"/>
    <n v="0"/>
    <x v="0"/>
    <n v="758660"/>
    <n v="136992.17391304346"/>
    <s v="O-45775-D-0001"/>
    <x v="1"/>
  </r>
  <r>
    <s v="Fs-219"/>
    <x v="61"/>
    <s v="D-0001"/>
    <x v="62"/>
    <s v="pangsha"/>
    <n v="1711154387"/>
    <x v="4"/>
    <s v="Abdul Matin"/>
    <x v="10"/>
    <s v="Pangsha"/>
    <x v="1"/>
    <s v="3000 4T PLUS 20W40"/>
    <n v="1500"/>
    <n v="515"/>
    <n v="1500"/>
    <n v="0"/>
    <n v="0"/>
    <n v="515"/>
    <n v="1500"/>
    <n v="1500"/>
    <n v="772500"/>
    <n v="0"/>
    <n v="772500"/>
    <n v="100760.86956521739"/>
    <n v="671739.13043478259"/>
    <s v="Cash"/>
    <s v=""/>
    <s v="Flat Discount"/>
    <s v=""/>
    <s v=""/>
    <x v="0"/>
    <s v="Mineral"/>
    <x v="0"/>
    <x v="1"/>
    <x v="0"/>
    <n v="0"/>
    <x v="0"/>
    <n v="619140"/>
    <n v="52599.130434782594"/>
    <s v="O-45775-D-0001"/>
    <x v="1"/>
  </r>
  <r>
    <s v="Fs-219"/>
    <x v="61"/>
    <s v="D-0001"/>
    <x v="62"/>
    <s v="pangsha"/>
    <n v="1711154387"/>
    <x v="4"/>
    <s v="Abdul Matin"/>
    <x v="10"/>
    <s v="Pangsha"/>
    <x v="2"/>
    <s v="3000 4T PLUS 10W40"/>
    <n v="1720"/>
    <n v="515"/>
    <n v="1720"/>
    <n v="0"/>
    <n v="0"/>
    <n v="515"/>
    <n v="1720"/>
    <n v="1720"/>
    <n v="885800"/>
    <n v="0"/>
    <n v="885800"/>
    <n v="115539.13043478261"/>
    <n v="770260.86956521741"/>
    <s v="Cash"/>
    <s v=""/>
    <s v="Flat Discount"/>
    <s v=""/>
    <s v=""/>
    <x v="0"/>
    <s v="Mineral"/>
    <x v="0"/>
    <x v="2"/>
    <x v="0"/>
    <n v="0"/>
    <x v="0"/>
    <n v="661942"/>
    <n v="108318.86956521741"/>
    <s v="O-45775-D-0001"/>
    <x v="1"/>
  </r>
  <r>
    <s v="Fs-219"/>
    <x v="61"/>
    <s v="D-0001"/>
    <x v="62"/>
    <s v="pangsha"/>
    <n v="1711154387"/>
    <x v="4"/>
    <s v="Abdul Matin"/>
    <x v="10"/>
    <s v="Pangsha"/>
    <x v="18"/>
    <s v="Inugel Expert Coolant"/>
    <n v="200"/>
    <n v="400"/>
    <n v="200"/>
    <n v="0"/>
    <n v="0"/>
    <n v="400"/>
    <n v="200"/>
    <n v="200"/>
    <n v="80000"/>
    <n v="0"/>
    <n v="80000"/>
    <n v="10434.782608695652"/>
    <n v="69565.217391304352"/>
    <s v="Cash"/>
    <s v=""/>
    <s v="Flat Discount"/>
    <s v=""/>
    <s v=""/>
    <x v="0"/>
    <s v="Care Products"/>
    <x v="1"/>
    <x v="4"/>
    <x v="9"/>
    <n v="0"/>
    <x v="0"/>
    <n v="46128"/>
    <n v="23437.217391304352"/>
    <s v="O-45775-D-0001"/>
    <x v="1"/>
  </r>
  <r>
    <s v="Fs-219"/>
    <x v="61"/>
    <s v="D-0001"/>
    <x v="62"/>
    <s v="pangsha"/>
    <n v="1711154387"/>
    <x v="4"/>
    <s v="Abdul Matin"/>
    <x v="10"/>
    <s v="Pangsha"/>
    <x v="12"/>
    <s v="3000 4T 20W50"/>
    <n v="2100"/>
    <n v="400"/>
    <n v="2100"/>
    <n v="0"/>
    <n v="0"/>
    <n v="400"/>
    <n v="2100"/>
    <n v="2100"/>
    <n v="840000"/>
    <n v="0"/>
    <n v="840000"/>
    <n v="109565.21739130435"/>
    <n v="730434.78260869568"/>
    <s v="Cash"/>
    <s v=""/>
    <s v="Flat Discount"/>
    <s v=""/>
    <s v=""/>
    <x v="0"/>
    <s v="Mineral"/>
    <x v="0"/>
    <x v="3"/>
    <x v="0"/>
    <n v="0"/>
    <x v="0"/>
    <n v="766332"/>
    <n v="-35897.217391304323"/>
    <s v="O-45775-D-0001"/>
    <x v="1"/>
  </r>
  <r>
    <s v="Fs-220"/>
    <x v="63"/>
    <s v="D-0015"/>
    <x v="51"/>
    <s v="Wari "/>
    <s v=""/>
    <x v="5"/>
    <s v="Abdul Matin"/>
    <x v="6"/>
    <s v="Wari "/>
    <x v="2"/>
    <s v="3000 4T PLUS 10W40"/>
    <n v="8055"/>
    <n v="550"/>
    <n v="8055"/>
    <n v="0.63636363636363635"/>
    <n v="0"/>
    <n v="200"/>
    <n v="8055"/>
    <n v="8055"/>
    <n v="4430250"/>
    <n v="0"/>
    <n v="1611000"/>
    <n v="210130.4347826087"/>
    <n v="1400869.5652173914"/>
    <s v="Cash"/>
    <s v=""/>
    <s v="Custom"/>
    <s v=""/>
    <s v=""/>
    <x v="0"/>
    <s v="Mineral"/>
    <x v="0"/>
    <x v="2"/>
    <x v="0"/>
    <n v="0"/>
    <x v="0"/>
    <n v="3099966.75"/>
    <n v="-1699097.1847826086"/>
    <s v="O-45777-D-001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E4B5CD-0E98-4FD4-AB12-A3A83FE12727}" name="PivotTable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8" firstHeaderRow="1" firstDataRow="2" firstDataCol="1" rowPageCount="1" colPageCount="1"/>
  <pivotFields count="43">
    <pivotField showAll="0"/>
    <pivotField numFmtId="164" showAll="0">
      <items count="65">
        <item x="1"/>
        <item x="0"/>
        <item x="2"/>
        <item x="3"/>
        <item x="4"/>
        <item x="5"/>
        <item x="8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23"/>
        <item x="24"/>
        <item x="26"/>
        <item x="27"/>
        <item x="25"/>
        <item x="28"/>
        <item x="29"/>
        <item x="30"/>
        <item x="31"/>
        <item x="32"/>
        <item x="33"/>
        <item x="34"/>
        <item x="35"/>
        <item x="39"/>
        <item x="38"/>
        <item x="40"/>
        <item x="41"/>
        <item x="42"/>
        <item x="44"/>
        <item x="43"/>
        <item x="45"/>
        <item x="47"/>
        <item x="46"/>
        <item x="48"/>
        <item x="49"/>
        <item x="50"/>
        <item x="52"/>
        <item x="53"/>
        <item x="51"/>
        <item x="54"/>
        <item x="55"/>
        <item x="56"/>
        <item x="60"/>
        <item x="57"/>
        <item x="58"/>
        <item x="59"/>
        <item x="36"/>
        <item x="37"/>
        <item x="61"/>
        <item x="62"/>
        <item x="6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3">
        <item x="5"/>
        <item x="19"/>
        <item x="8"/>
        <item x="16"/>
        <item x="27"/>
        <item x="9"/>
        <item x="3"/>
        <item x="4"/>
        <item x="2"/>
        <item x="21"/>
        <item x="28"/>
        <item x="25"/>
        <item x="1"/>
        <item x="0"/>
        <item x="10"/>
        <item x="31"/>
        <item x="30"/>
        <item x="7"/>
        <item x="23"/>
        <item x="6"/>
        <item x="26"/>
        <item x="13"/>
        <item x="29"/>
        <item x="17"/>
        <item x="15"/>
        <item x="14"/>
        <item x="18"/>
        <item x="22"/>
        <item x="20"/>
        <item x="12"/>
        <item x="11"/>
        <item x="24"/>
        <item t="default"/>
      </items>
    </pivotField>
    <pivotField showAll="0"/>
    <pivotField axis="axisPage" showAll="0">
      <items count="57">
        <item x="0"/>
        <item x="1"/>
        <item x="2"/>
        <item x="5"/>
        <item x="19"/>
        <item x="6"/>
        <item x="8"/>
        <item x="9"/>
        <item x="27"/>
        <item x="14"/>
        <item x="16"/>
        <item x="29"/>
        <item x="30"/>
        <item x="31"/>
        <item x="32"/>
        <item x="21"/>
        <item x="10"/>
        <item x="3"/>
        <item x="7"/>
        <item x="23"/>
        <item x="18"/>
        <item x="28"/>
        <item x="24"/>
        <item x="33"/>
        <item x="34"/>
        <item x="35"/>
        <item x="4"/>
        <item x="20"/>
        <item x="40"/>
        <item x="41"/>
        <item x="26"/>
        <item x="11"/>
        <item x="50"/>
        <item x="25"/>
        <item x="51"/>
        <item x="42"/>
        <item x="43"/>
        <item x="44"/>
        <item x="45"/>
        <item x="46"/>
        <item x="47"/>
        <item x="17"/>
        <item x="13"/>
        <item x="22"/>
        <item x="12"/>
        <item x="15"/>
        <item x="36"/>
        <item x="37"/>
        <item x="48"/>
        <item x="49"/>
        <item x="52"/>
        <item x="53"/>
        <item x="38"/>
        <item x="39"/>
        <item x="54"/>
        <item x="55"/>
        <item t="default"/>
      </items>
    </pivotField>
    <pivotField showAll="0"/>
    <pivotField showAll="0"/>
    <pivotField showAll="0"/>
    <pivotField showAll="0"/>
    <pivotField showAll="0"/>
    <pivotField numFmtId="166" showAll="0"/>
    <pivotField showAll="0"/>
    <pivotField dataField="1"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numFmtId="166" showAll="0"/>
    <pivotField numFmtId="166"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8"/>
  </rowFields>
  <rowItems count="4">
    <i>
      <x v="2"/>
    </i>
    <i>
      <x v="16"/>
    </i>
    <i>
      <x v="31"/>
    </i>
    <i t="grand">
      <x/>
    </i>
  </rowItems>
  <colFields count="1">
    <field x="42"/>
  </colFields>
  <colItems count="5">
    <i>
      <x v="1"/>
    </i>
    <i>
      <x v="2"/>
    </i>
    <i>
      <x v="3"/>
    </i>
    <i>
      <x v="4"/>
    </i>
    <i t="grand">
      <x/>
    </i>
  </colItems>
  <pageFields count="1">
    <pageField fld="10" item="19" hier="-1"/>
  </pageFields>
  <dataFields count="1">
    <dataField name="Sum of Total Qty" fld="18" baseField="0" baseItem="0" numFmtId="166"/>
  </dataFields>
  <pivotTableStyleInfo name="PivotStyleMedium1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4A61B0-A7D3-4845-893A-4EC13511FBF4}" name="Dealer wise Sales" cacheId="43" applyNumberFormats="0" applyBorderFormats="0" applyFontFormats="0" applyPatternFormats="0" applyAlignmentFormats="0" applyWidthHeightFormats="1" dataCaption="Values" showMissing="0" updatedVersion="8" minRefreshableVersion="3" useAutoFormatting="1" colGrandTotals="0" itemPrintTitles="1" mergeItem="1" createdVersion="8" compact="0" compactData="0" multipleFieldFilters="0" rowHeaderCaption="Dealers">
  <location ref="A7:I14" firstHeaderRow="1" firstDataRow="3" firstDataCol="4" rowPageCount="5" colPageCount="1"/>
  <pivotFields count="43">
    <pivotField compact="0" outline="0" showAll="0"/>
    <pivotField compact="0" numFmtId="164" outline="0" multipleItemSelectionAllowed="1" showAll="0">
      <items count="65">
        <item x="0"/>
        <item x="2"/>
        <item x="3"/>
        <item x="1"/>
        <item x="4"/>
        <item x="5"/>
        <item x="8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6"/>
        <item x="24"/>
        <item x="27"/>
        <item x="25"/>
        <item x="28"/>
        <item x="29"/>
        <item x="30"/>
        <item x="31"/>
        <item x="32"/>
        <item x="36"/>
        <item x="33"/>
        <item x="34"/>
        <item x="35"/>
        <item x="39"/>
        <item x="38"/>
        <item x="37"/>
        <item x="40"/>
        <item x="41"/>
        <item x="42"/>
        <item x="44"/>
        <item x="43"/>
        <item x="45"/>
        <item x="47"/>
        <item x="46"/>
        <item x="48"/>
        <item x="49"/>
        <item x="50"/>
        <item x="52"/>
        <item x="53"/>
        <item x="51"/>
        <item x="54"/>
        <item x="55"/>
        <item x="56"/>
        <item x="60"/>
        <item x="57"/>
        <item x="59"/>
        <item x="58"/>
        <item x="61"/>
        <item x="62"/>
        <item x="63"/>
        <item t="default"/>
      </items>
    </pivotField>
    <pivotField compact="0" outline="0" showAll="0"/>
    <pivotField axis="axisRow" compact="0" outline="0" showAll="0" defaultSubtotal="0">
      <items count="95">
        <item x="20"/>
        <item x="17"/>
        <item x="13"/>
        <item x="0"/>
        <item x="18"/>
        <item x="12"/>
        <item x="3"/>
        <item x="23"/>
        <item x="8"/>
        <item x="6"/>
        <item x="7"/>
        <item x="9"/>
        <item x="11"/>
        <item x="10"/>
        <item x="1"/>
        <item x="2"/>
        <item x="4"/>
        <item x="14"/>
        <item x="15"/>
        <item x="16"/>
        <item x="22"/>
        <item x="19"/>
        <item x="21"/>
        <item x="24"/>
        <item x="27"/>
        <item x="28"/>
        <item x="26"/>
        <item x="29"/>
        <item x="30"/>
        <item x="31"/>
        <item x="32"/>
        <item x="34"/>
        <item x="35"/>
        <item x="36"/>
        <item x="37"/>
        <item x="39"/>
        <item x="38"/>
        <item x="5"/>
        <item x="25"/>
        <item x="70"/>
        <item x="33"/>
        <item x="47"/>
        <item x="43"/>
        <item x="40"/>
        <item x="44"/>
        <item x="45"/>
        <item x="46"/>
        <item x="48"/>
        <item x="41"/>
        <item x="42"/>
        <item x="50"/>
        <item x="49"/>
        <item x="51"/>
        <item x="52"/>
        <item x="53"/>
        <item x="55"/>
        <item x="54"/>
        <item x="57"/>
        <item x="56"/>
        <item x="58"/>
        <item x="59"/>
        <item x="60"/>
        <item x="61"/>
        <item x="67"/>
        <item x="62"/>
        <item x="66"/>
        <item x="63"/>
        <item x="68"/>
        <item x="69"/>
        <item x="71"/>
        <item x="72"/>
        <item x="73"/>
        <item x="74"/>
        <item x="65"/>
        <item x="77"/>
        <item x="76"/>
        <item x="78"/>
        <item x="75"/>
        <item x="79"/>
        <item x="80"/>
        <item x="83"/>
        <item x="81"/>
        <item x="84"/>
        <item x="82"/>
        <item x="85"/>
        <item x="86"/>
        <item x="87"/>
        <item x="64"/>
        <item x="88"/>
        <item x="89"/>
        <item x="90"/>
        <item x="91"/>
        <item x="92"/>
        <item x="93"/>
        <item x="94"/>
      </items>
    </pivotField>
    <pivotField compact="0" outline="0" showAll="0"/>
    <pivotField compact="0" outline="0" showAll="0"/>
    <pivotField axis="axisRow" compact="0" outline="0" showAll="0">
      <items count="10">
        <item x="2"/>
        <item x="5"/>
        <item x="3"/>
        <item x="4"/>
        <item x="6"/>
        <item x="1"/>
        <item x="7"/>
        <item x="8"/>
        <item x="0"/>
        <item t="default"/>
      </items>
    </pivotField>
    <pivotField compact="0" outline="0" showAll="0"/>
    <pivotField name="Dealers" axis="axisRow" compact="0" outline="0" showAll="0">
      <items count="33">
        <item h="1" sd="0" x="5"/>
        <item h="1" x="8"/>
        <item h="1" x="9"/>
        <item h="1" x="3"/>
        <item h="1" x="4"/>
        <item h="1" sd="0" x="1"/>
        <item sd="0" x="10"/>
        <item h="1" sd="0" x="7"/>
        <item sd="0" x="6"/>
        <item h="1" sd="0" x="13"/>
        <item h="1" sd="0" x="14"/>
        <item h="1" sd="0" x="12"/>
        <item h="1" x="11"/>
        <item h="1" sd="0" x="0"/>
        <item h="1" sd="0" x="2"/>
        <item h="1" sd="0" x="15"/>
        <item h="1" sd="0" x="16"/>
        <item h="1" sd="0" x="18"/>
        <item h="1" x="19"/>
        <item h="1" sd="0" x="20"/>
        <item h="1" sd="0" x="21"/>
        <item h="1" sd="0" x="22"/>
        <item h="1" sd="0" x="23"/>
        <item h="1" sd="0" x="24"/>
        <item h="1" sd="0" x="25"/>
        <item h="1" sd="0" x="17"/>
        <item h="1" sd="0" x="28"/>
        <item h="1" sd="0" x="29"/>
        <item h="1" sd="0" x="27"/>
        <item h="1" sd="0" x="26"/>
        <item h="1" x="30"/>
        <item h="1" sd="0" x="31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5">
        <item x="2"/>
        <item x="0"/>
        <item x="1"/>
        <item x="3"/>
        <item t="default"/>
      </items>
    </pivotField>
    <pivotField compact="0" outline="0" showAll="0"/>
    <pivotField axis="axisRow" compact="0" outline="0" showAll="0">
      <items count="6">
        <item h="1" x="4"/>
        <item h="1" x="1"/>
        <item h="1" x="3"/>
        <item x="0"/>
        <item h="1" x="2"/>
        <item t="default"/>
      </items>
    </pivotField>
    <pivotField axis="axisPage" compact="0" showAll="0" defaultSubtotal="0">
      <items count="9">
        <item x="7"/>
        <item x="5"/>
        <item x="0"/>
        <item x="2"/>
        <item x="6"/>
        <item x="1"/>
        <item x="3"/>
        <item x="4"/>
        <item x="8"/>
      </items>
    </pivotField>
    <pivotField axis="axisPage" compact="0" outline="0" showAll="0">
      <items count="23">
        <item x="10"/>
        <item x="0"/>
        <item x="1"/>
        <item x="11"/>
        <item x="2"/>
        <item x="3"/>
        <item x="6"/>
        <item x="5"/>
        <item x="8"/>
        <item x="9"/>
        <item x="7"/>
        <item x="4"/>
        <item x="12"/>
        <item x="13"/>
        <item x="14"/>
        <item x="15"/>
        <item x="16"/>
        <item x="20"/>
        <item x="17"/>
        <item x="18"/>
        <item x="19"/>
        <item x="21"/>
        <item t="default"/>
      </items>
    </pivotField>
    <pivotField compact="0" numFmtId="167" outline="0" showAll="0"/>
    <pivotField axis="axisPage" compact="0" outline="0" showAll="0">
      <items count="24">
        <item x="22"/>
        <item x="16"/>
        <item x="11"/>
        <item x="12"/>
        <item x="9"/>
        <item x="2"/>
        <item x="17"/>
        <item x="19"/>
        <item x="10"/>
        <item x="6"/>
        <item x="20"/>
        <item x="3"/>
        <item x="1"/>
        <item x="0"/>
        <item x="7"/>
        <item x="14"/>
        <item x="13"/>
        <item x="15"/>
        <item x="8"/>
        <item x="4"/>
        <item x="5"/>
        <item x="18"/>
        <item x="21"/>
        <item t="default"/>
      </items>
    </pivotField>
    <pivotField compact="0" outline="0" showAll="0"/>
    <pivotField dataField="1" compact="0" outline="0" showAll="0"/>
    <pivotField compact="0" outline="0" showAll="0"/>
    <pivotField axis="axisPage" compact="0" outline="0" showAll="0">
      <items count="5">
        <item x="0"/>
        <item x="1"/>
        <item x="2"/>
        <item x="3"/>
        <item t="default"/>
      </items>
    </pivotField>
    <pivotField compact="0" outline="0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compact="0" outline="0" showAll="0">
      <items count="15">
        <item h="1" x="0"/>
        <item n="January" h="1" x="1"/>
        <item n="February" h="1" x="2"/>
        <item n="March" h="1" x="3"/>
        <item n="April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</pivotFields>
  <rowFields count="4">
    <field x="6"/>
    <field x="8"/>
    <field x="3"/>
    <field x="32"/>
  </rowFields>
  <rowItems count="5">
    <i>
      <x v="1"/>
      <x v="8"/>
    </i>
    <i t="default">
      <x v="1"/>
    </i>
    <i>
      <x v="3"/>
      <x v="6"/>
    </i>
    <i t="default">
      <x v="3"/>
    </i>
    <i t="grand">
      <x/>
    </i>
  </rowItems>
  <colFields count="2">
    <field x="42"/>
    <field x="-2"/>
  </colFields>
  <colItems count="5">
    <i>
      <x v="4"/>
      <x/>
    </i>
    <i r="1" i="1">
      <x v="1"/>
    </i>
    <i r="1" i="2">
      <x v="2"/>
    </i>
    <i r="1" i="3">
      <x v="3"/>
    </i>
    <i r="1" i="4">
      <x v="4"/>
    </i>
  </colItems>
  <pageFields count="5">
    <pageField fld="30" hier="-1"/>
    <pageField fld="36" hier="-1"/>
    <pageField fld="40" hier="-1"/>
    <pageField fld="33" hier="-1"/>
    <pageField fld="34" hier="-1"/>
  </pageFields>
  <dataFields count="5">
    <dataField name="Volume" fld="19" baseField="8" baseItem="0"/>
    <dataField name="Revenue" fld="24" baseField="8" baseItem="9"/>
    <dataField name="Total Units" fld="18" baseField="0" baseItem="0"/>
    <dataField name="Billing Price" fld="22" baseField="0" baseItem="0"/>
    <dataField name="Profit/(Loss)" fld="38" baseField="0" baseItem="0"/>
  </dataFields>
  <formats count="181">
    <format dxfId="0">
      <pivotArea outline="0" collapsedLevelsAreSubtotals="1" fieldPosition="0"/>
    </format>
    <format dxfId="1">
      <pivotArea type="origin" dataOnly="0" labelOnly="1" outline="0" offset="A2:D2" fieldPosition="0"/>
    </format>
    <format dxfId="2">
      <pivotArea field="6" type="button" dataOnly="0" labelOnly="1" outline="0" axis="axisRow" fieldPosition="0"/>
    </format>
    <format dxfId="3">
      <pivotArea field="8" type="button" dataOnly="0" labelOnly="1" outline="0" axis="axisRow" fieldPosition="1"/>
    </format>
    <format dxfId="4">
      <pivotArea field="3" type="button" dataOnly="0" labelOnly="1" outline="0" axis="axisRow" fieldPosition="2"/>
    </format>
    <format dxfId="5">
      <pivotArea dataOnly="0" labelOnly="1" outline="0" fieldPosition="0">
        <references count="1">
          <reference field="42" count="1">
            <x v="1"/>
          </reference>
        </references>
      </pivotArea>
    </format>
    <format dxfId="6">
      <pivotArea dataOnly="0" labelOnly="1" outline="0" fieldPosition="0">
        <references count="2">
          <reference field="4294967294" count="1">
            <x v="0"/>
          </reference>
          <reference field="42" count="1" selected="0">
            <x v="1"/>
          </reference>
        </references>
      </pivotArea>
    </format>
    <format dxfId="7">
      <pivotArea outline="0" collapsedLevelsAreSubtotals="1" fieldPosition="0"/>
    </format>
    <format dxfId="8">
      <pivotArea type="origin" dataOnly="0" labelOnly="1" outline="0" offset="A2:D2" fieldPosition="0"/>
    </format>
    <format dxfId="9">
      <pivotArea field="6" type="button" dataOnly="0" labelOnly="1" outline="0" axis="axisRow" fieldPosition="0"/>
    </format>
    <format dxfId="10">
      <pivotArea field="8" type="button" dataOnly="0" labelOnly="1" outline="0" axis="axisRow" fieldPosition="1"/>
    </format>
    <format dxfId="11">
      <pivotArea field="3" type="button" dataOnly="0" labelOnly="1" outline="0" axis="axisRow" fieldPosition="2"/>
    </format>
    <format dxfId="12">
      <pivotArea dataOnly="0" labelOnly="1" outline="0" fieldPosition="0">
        <references count="1">
          <reference field="42" count="1">
            <x v="1"/>
          </reference>
        </references>
      </pivotArea>
    </format>
    <format dxfId="13">
      <pivotArea dataOnly="0" labelOnly="1" outline="0" fieldPosition="0">
        <references count="2">
          <reference field="4294967294" count="1">
            <x v="0"/>
          </reference>
          <reference field="42" count="1" selected="0">
            <x v="1"/>
          </reference>
        </references>
      </pivotArea>
    </format>
    <format dxfId="14">
      <pivotArea outline="0" collapsedLevelsAreSubtotals="1" fieldPosition="0"/>
    </format>
    <format dxfId="15">
      <pivotArea outline="0" collapsedLevelsAreSubtotals="1" fieldPosition="0"/>
    </format>
    <format dxfId="16">
      <pivotArea dataOnly="0" labelOnly="1" grandRow="1" outline="0" fieldPosition="0"/>
    </format>
    <format dxfId="17">
      <pivotArea field="30" type="button" dataOnly="0" labelOnly="1" outline="0" axis="axisPage" fieldPosition="0"/>
    </format>
    <format dxfId="18">
      <pivotArea field="6" type="button" dataOnly="0" labelOnly="1" outline="0" axis="axisRow" fieldPosition="0"/>
    </format>
    <format dxfId="19">
      <pivotArea field="8" type="button" dataOnly="0" labelOnly="1" outline="0" axis="axisRow" fieldPosition="1"/>
    </format>
    <format dxfId="20">
      <pivotArea field="3" type="button" dataOnly="0" labelOnly="1" outline="0" axis="axisRow" fieldPosition="2"/>
    </format>
    <format dxfId="21">
      <pivotArea field="42" type="button" dataOnly="0" labelOnly="1" outline="0" axis="axisCol" fieldPosition="0"/>
    </format>
    <format dxfId="22">
      <pivotArea field="-2" type="button" dataOnly="0" labelOnly="1" outline="0" axis="axisCol" fieldPosition="1"/>
    </format>
    <format dxfId="23">
      <pivotArea dataOnly="0" labelOnly="1" outline="0" fieldPosition="0">
        <references count="1">
          <reference field="42" count="1">
            <x v="1"/>
          </reference>
        </references>
      </pivotArea>
    </format>
    <format dxfId="24">
      <pivotArea dataOnly="0" labelOnly="1" grandRow="1" outline="0" fieldPosition="0"/>
    </format>
    <format dxfId="25">
      <pivotArea type="origin" dataOnly="0" labelOnly="1" outline="0" offset="A2:C2" fieldPosition="0"/>
    </format>
    <format dxfId="26">
      <pivotArea dataOnly="0" labelOnly="1" outline="0" fieldPosition="0">
        <references count="1">
          <reference field="42" count="0"/>
        </references>
      </pivotArea>
    </format>
    <format dxfId="27">
      <pivotArea dataOnly="0" labelOnly="1" outline="0" fieldPosition="0">
        <references count="2">
          <reference field="4294967294" count="1">
            <x v="0"/>
          </reference>
          <reference field="42" count="0" selected="0"/>
        </references>
      </pivotArea>
    </format>
    <format dxfId="28">
      <pivotArea dataOnly="0" labelOnly="1" outline="0" fieldPosition="0">
        <references count="2">
          <reference field="4294967294" count="1">
            <x v="0"/>
          </reference>
          <reference field="42" count="0" selected="0"/>
        </references>
      </pivotArea>
    </format>
    <format dxfId="29">
      <pivotArea dataOnly="0" labelOnly="1" outline="0" fieldPosition="0">
        <references count="1">
          <reference field="42" count="0"/>
        </references>
      </pivotArea>
    </format>
    <format dxfId="30">
      <pivotArea field="42" grandRow="1" outline="0" axis="axisCol" fieldPosition="0">
        <references count="2">
          <reference field="4294967294" count="1" selected="0">
            <x v="0"/>
          </reference>
          <reference field="42" count="0" selected="0"/>
        </references>
      </pivotArea>
    </format>
    <format dxfId="31">
      <pivotArea dataOnly="0" labelOnly="1" outline="0" fieldPosition="0">
        <references count="1">
          <reference field="42" count="0"/>
        </references>
      </pivotArea>
    </format>
    <format dxfId="32">
      <pivotArea field="6" type="button" dataOnly="0" labelOnly="1" outline="0" axis="axisRow" fieldPosition="0"/>
    </format>
    <format dxfId="33">
      <pivotArea field="8" type="button" dataOnly="0" labelOnly="1" outline="0" axis="axisRow" fieldPosition="1"/>
    </format>
    <format dxfId="34">
      <pivotArea field="3" type="button" dataOnly="0" labelOnly="1" outline="0" axis="axisRow" fieldPosition="2"/>
    </format>
    <format dxfId="35">
      <pivotArea dataOnly="0" labelOnly="1" outline="0" fieldPosition="0">
        <references count="2">
          <reference field="4294967294" count="1">
            <x v="0"/>
          </reference>
          <reference field="42" count="0" selected="0"/>
        </references>
      </pivotArea>
    </format>
    <format dxfId="36">
      <pivotArea field="42" type="button" dataOnly="0" labelOnly="1" outline="0" axis="axisCol" fieldPosition="0"/>
    </format>
    <format dxfId="37">
      <pivotArea field="-2" type="button" dataOnly="0" labelOnly="1" outline="0" axis="axisCol" fieldPosition="1"/>
    </format>
    <format dxfId="38">
      <pivotArea type="topRight" dataOnly="0" labelOnly="1" outline="0" fieldPosition="0"/>
    </format>
    <format dxfId="39">
      <pivotArea dataOnly="0" labelOnly="1" outline="0" fieldPosition="0">
        <references count="1">
          <reference field="42" count="0"/>
        </references>
      </pivotArea>
    </format>
    <format dxfId="40">
      <pivotArea dataOnly="0" labelOnly="1" outline="0" fieldPosition="0">
        <references count="1">
          <reference field="42" count="0"/>
        </references>
      </pivotArea>
    </format>
    <format dxfId="41">
      <pivotArea dataOnly="0" labelOnly="1" outline="0" fieldPosition="0">
        <references count="2">
          <reference field="6" count="1" selected="0">
            <x v="0"/>
          </reference>
          <reference field="8" count="1">
            <x v="25"/>
          </reference>
        </references>
      </pivotArea>
    </format>
    <format dxfId="42">
      <pivotArea type="origin" dataOnly="0" labelOnly="1" outline="0" fieldPosition="0"/>
    </format>
    <format dxfId="43">
      <pivotArea field="6" type="button" dataOnly="0" labelOnly="1" outline="0" axis="axisRow" fieldPosition="0"/>
    </format>
    <format dxfId="44">
      <pivotArea field="8" type="button" dataOnly="0" labelOnly="1" outline="0" axis="axisRow" fieldPosition="1"/>
    </format>
    <format dxfId="45">
      <pivotArea field="3" type="button" dataOnly="0" labelOnly="1" outline="0" axis="axisRow" fieldPosition="2"/>
    </format>
    <format dxfId="46">
      <pivotArea dataOnly="0" labelOnly="1" outline="0" fieldPosition="0">
        <references count="1">
          <reference field="6" count="8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47">
      <pivotArea dataOnly="0" labelOnly="1" outline="0" fieldPosition="0">
        <references count="1">
          <reference field="6" count="8" defaultSubtotal="1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48">
      <pivotArea dataOnly="0" labelOnly="1" outline="0" fieldPosition="0">
        <references count="2">
          <reference field="6" count="1" selected="0">
            <x v="0"/>
          </reference>
          <reference field="8" count="2">
            <x v="24"/>
            <x v="27"/>
          </reference>
        </references>
      </pivotArea>
    </format>
    <format dxfId="49">
      <pivotArea dataOnly="0" labelOnly="1" outline="0" fieldPosition="0">
        <references count="2">
          <reference field="6" count="1" selected="0">
            <x v="0"/>
          </reference>
          <reference field="8" count="2" defaultSubtotal="1">
            <x v="24"/>
            <x v="27"/>
          </reference>
        </references>
      </pivotArea>
    </format>
    <format dxfId="50">
      <pivotArea dataOnly="0" labelOnly="1" outline="0" fieldPosition="0">
        <references count="2">
          <reference field="6" count="1" selected="0">
            <x v="1"/>
          </reference>
          <reference field="8" count="3">
            <x v="11"/>
            <x v="22"/>
            <x v="28"/>
          </reference>
        </references>
      </pivotArea>
    </format>
    <format dxfId="51">
      <pivotArea dataOnly="0" labelOnly="1" outline="0" fieldPosition="0">
        <references count="2">
          <reference field="6" count="1" selected="0">
            <x v="2"/>
          </reference>
          <reference field="8" count="1">
            <x v="1"/>
          </reference>
        </references>
      </pivotArea>
    </format>
    <format dxfId="52">
      <pivotArea dataOnly="0" labelOnly="1" outline="0" fieldPosition="0">
        <references count="2">
          <reference field="6" count="1" selected="0">
            <x v="3"/>
          </reference>
          <reference field="8" count="1">
            <x v="6"/>
          </reference>
        </references>
      </pivotArea>
    </format>
    <format dxfId="53">
      <pivotArea dataOnly="0" labelOnly="1" outline="0" fieldPosition="0">
        <references count="2">
          <reference field="6" count="1" selected="0">
            <x v="4"/>
          </reference>
          <reference field="8" count="1">
            <x v="2"/>
          </reference>
        </references>
      </pivotArea>
    </format>
    <format dxfId="54">
      <pivotArea dataOnly="0" labelOnly="1" outline="0" fieldPosition="0">
        <references count="2">
          <reference field="6" count="1" selected="0">
            <x v="4"/>
          </reference>
          <reference field="8" count="1" defaultSubtotal="1">
            <x v="2"/>
          </reference>
        </references>
      </pivotArea>
    </format>
    <format dxfId="55">
      <pivotArea dataOnly="0" labelOnly="1" outline="0" fieldPosition="0">
        <references count="2">
          <reference field="6" count="1" selected="0">
            <x v="6"/>
          </reference>
          <reference field="8" count="1">
            <x v="18"/>
          </reference>
        </references>
      </pivotArea>
    </format>
    <format dxfId="56">
      <pivotArea dataOnly="0" labelOnly="1" outline="0" fieldPosition="0">
        <references count="2">
          <reference field="6" count="1" selected="0">
            <x v="7"/>
          </reference>
          <reference field="8" count="1">
            <x v="26"/>
          </reference>
        </references>
      </pivotArea>
    </format>
    <format dxfId="57">
      <pivotArea dataOnly="0" labelOnly="1" outline="0" fieldPosition="0">
        <references count="2">
          <reference field="6" count="1" selected="0">
            <x v="8"/>
          </reference>
          <reference field="8" count="2">
            <x v="7"/>
            <x v="30"/>
          </reference>
        </references>
      </pivotArea>
    </format>
    <format dxfId="58">
      <pivotArea dataOnly="0" labelOnly="1" outline="0" fieldPosition="0">
        <references count="3">
          <reference field="3" count="1">
            <x v="60"/>
          </reference>
          <reference field="6" count="1" selected="0">
            <x v="0"/>
          </reference>
          <reference field="8" count="1" selected="0">
            <x v="24"/>
          </reference>
        </references>
      </pivotArea>
    </format>
    <format dxfId="59">
      <pivotArea dataOnly="0" labelOnly="1" outline="0" fieldPosition="0">
        <references count="3">
          <reference field="3" count="1">
            <x v="39"/>
          </reference>
          <reference field="6" count="1" selected="0">
            <x v="0"/>
          </reference>
          <reference field="8" count="1" selected="0">
            <x v="27"/>
          </reference>
        </references>
      </pivotArea>
    </format>
    <format dxfId="60">
      <pivotArea dataOnly="0" labelOnly="1" outline="0" fieldPosition="0">
        <references count="3">
          <reference field="3" count="4">
            <x v="61"/>
            <x v="65"/>
            <x v="68"/>
            <x v="69"/>
          </reference>
          <reference field="6" count="1" selected="0">
            <x v="4"/>
          </reference>
          <reference field="8" count="1" selected="0">
            <x v="2"/>
          </reference>
        </references>
      </pivotArea>
    </format>
    <format dxfId="61">
      <pivotArea dataOnly="0" labelOnly="1" outline="0" fieldPosition="0">
        <references count="2">
          <reference field="4294967294" count="5">
            <x v="0"/>
            <x v="1"/>
            <x v="2"/>
            <x v="3"/>
            <x v="4"/>
          </reference>
          <reference field="42" count="0" selected="0"/>
        </references>
      </pivotArea>
    </format>
    <format dxfId="62">
      <pivotArea dataOnly="0" labelOnly="1" outline="0" fieldPosition="0">
        <references count="2">
          <reference field="4294967294" count="4">
            <x v="1"/>
            <x v="2"/>
            <x v="3"/>
            <x v="4"/>
          </reference>
          <reference field="42" count="0" selected="0"/>
        </references>
      </pivotArea>
    </format>
    <format dxfId="63">
      <pivotArea outline="0" fieldPosition="0">
        <references count="1">
          <reference field="42" count="1" selected="0">
            <x v="2"/>
          </reference>
        </references>
      </pivotArea>
    </format>
    <format dxfId="64">
      <pivotArea type="topRight" dataOnly="0" labelOnly="1" outline="0" offset="D1:H1" fieldPosition="0"/>
    </format>
    <format dxfId="65">
      <pivotArea dataOnly="0" labelOnly="1" outline="0" fieldPosition="0">
        <references count="1">
          <reference field="42" count="1">
            <x v="2"/>
          </reference>
        </references>
      </pivotArea>
    </format>
    <format dxfId="66">
      <pivotArea dataOnly="0" labelOnly="1" outline="0" fieldPosition="0">
        <references count="2">
          <reference field="4294967294" count="5">
            <x v="0"/>
            <x v="1"/>
            <x v="2"/>
            <x v="3"/>
            <x v="4"/>
          </reference>
          <reference field="42" count="1" selected="0">
            <x v="2"/>
          </reference>
        </references>
      </pivotArea>
    </format>
    <format dxfId="67">
      <pivotArea type="all" dataOnly="0" outline="0" fieldPosition="0"/>
    </format>
    <format dxfId="68">
      <pivotArea outline="0" collapsedLevelsAreSubtotals="1" fieldPosition="0"/>
    </format>
    <format dxfId="69">
      <pivotArea type="origin" dataOnly="0" labelOnly="1" outline="0" fieldPosition="0"/>
    </format>
    <format dxfId="70">
      <pivotArea field="42" type="button" dataOnly="0" labelOnly="1" outline="0" axis="axisCol" fieldPosition="0"/>
    </format>
    <format dxfId="71">
      <pivotArea field="-2" type="button" dataOnly="0" labelOnly="1" outline="0" axis="axisCol" fieldPosition="1"/>
    </format>
    <format dxfId="72">
      <pivotArea type="topRight" dataOnly="0" labelOnly="1" outline="0" fieldPosition="0"/>
    </format>
    <format dxfId="73">
      <pivotArea field="6" type="button" dataOnly="0" labelOnly="1" outline="0" axis="axisRow" fieldPosition="0"/>
    </format>
    <format dxfId="74">
      <pivotArea field="8" type="button" dataOnly="0" labelOnly="1" outline="0" axis="axisRow" fieldPosition="1"/>
    </format>
    <format dxfId="75">
      <pivotArea field="3" type="button" dataOnly="0" labelOnly="1" outline="0" axis="axisRow" fieldPosition="2"/>
    </format>
    <format dxfId="76">
      <pivotArea dataOnly="0" labelOnly="1" outline="0" fieldPosition="0">
        <references count="1">
          <reference field="6" count="8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77">
      <pivotArea dataOnly="0" labelOnly="1" outline="0" fieldPosition="0">
        <references count="1">
          <reference field="6" count="8" defaultSubtotal="1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78">
      <pivotArea dataOnly="0" labelOnly="1" grandRow="1" outline="0" fieldPosition="0"/>
    </format>
    <format dxfId="79">
      <pivotArea dataOnly="0" labelOnly="1" outline="0" fieldPosition="0">
        <references count="2">
          <reference field="6" count="1" selected="0">
            <x v="0"/>
          </reference>
          <reference field="8" count="3">
            <x v="9"/>
            <x v="24"/>
            <x v="27"/>
          </reference>
        </references>
      </pivotArea>
    </format>
    <format dxfId="80">
      <pivotArea dataOnly="0" labelOnly="1" outline="0" fieldPosition="0">
        <references count="2">
          <reference field="6" count="1" selected="0">
            <x v="1"/>
          </reference>
          <reference field="8" count="3">
            <x v="11"/>
            <x v="22"/>
            <x v="28"/>
          </reference>
        </references>
      </pivotArea>
    </format>
    <format dxfId="81">
      <pivotArea dataOnly="0" labelOnly="1" outline="0" fieldPosition="0">
        <references count="2">
          <reference field="6" count="1" selected="0">
            <x v="2"/>
          </reference>
          <reference field="8" count="1">
            <x v="1"/>
          </reference>
        </references>
      </pivotArea>
    </format>
    <format dxfId="82">
      <pivotArea dataOnly="0" labelOnly="1" outline="0" fieldPosition="0">
        <references count="2">
          <reference field="6" count="1" selected="0">
            <x v="3"/>
          </reference>
          <reference field="8" count="1">
            <x v="6"/>
          </reference>
        </references>
      </pivotArea>
    </format>
    <format dxfId="83">
      <pivotArea dataOnly="0" labelOnly="1" outline="0" fieldPosition="0">
        <references count="2">
          <reference field="6" count="1" selected="0">
            <x v="4"/>
          </reference>
          <reference field="8" count="1">
            <x v="2"/>
          </reference>
        </references>
      </pivotArea>
    </format>
    <format dxfId="84">
      <pivotArea dataOnly="0" labelOnly="1" outline="0" fieldPosition="0">
        <references count="2">
          <reference field="6" count="1" selected="0">
            <x v="4"/>
          </reference>
          <reference field="8" count="1" defaultSubtotal="1">
            <x v="2"/>
          </reference>
        </references>
      </pivotArea>
    </format>
    <format dxfId="85">
      <pivotArea dataOnly="0" labelOnly="1" outline="0" fieldPosition="0">
        <references count="2">
          <reference field="6" count="1" selected="0">
            <x v="6"/>
          </reference>
          <reference field="8" count="1">
            <x v="18"/>
          </reference>
        </references>
      </pivotArea>
    </format>
    <format dxfId="86">
      <pivotArea dataOnly="0" labelOnly="1" outline="0" fieldPosition="0">
        <references count="2">
          <reference field="6" count="1" selected="0">
            <x v="6"/>
          </reference>
          <reference field="8" count="1" defaultSubtotal="1">
            <x v="18"/>
          </reference>
        </references>
      </pivotArea>
    </format>
    <format dxfId="87">
      <pivotArea dataOnly="0" labelOnly="1" outline="0" fieldPosition="0">
        <references count="2">
          <reference field="6" count="1" selected="0">
            <x v="7"/>
          </reference>
          <reference field="8" count="1">
            <x v="26"/>
          </reference>
        </references>
      </pivotArea>
    </format>
    <format dxfId="88">
      <pivotArea dataOnly="0" labelOnly="1" outline="0" fieldPosition="0">
        <references count="2">
          <reference field="6" count="1" selected="0">
            <x v="8"/>
          </reference>
          <reference field="8" count="2">
            <x v="7"/>
            <x v="30"/>
          </reference>
        </references>
      </pivotArea>
    </format>
    <format dxfId="89">
      <pivotArea dataOnly="0" labelOnly="1" outline="0" fieldPosition="0">
        <references count="2">
          <reference field="6" count="1" selected="0">
            <x v="8"/>
          </reference>
          <reference field="8" count="2" defaultSubtotal="1">
            <x v="7"/>
            <x v="30"/>
          </reference>
        </references>
      </pivotArea>
    </format>
    <format dxfId="90">
      <pivotArea dataOnly="0" labelOnly="1" outline="0" fieldPosition="0">
        <references count="3">
          <reference field="3" count="4">
            <x v="61"/>
            <x v="65"/>
            <x v="68"/>
            <x v="69"/>
          </reference>
          <reference field="6" count="1" selected="0">
            <x v="4"/>
          </reference>
          <reference field="8" count="1" selected="0">
            <x v="2"/>
          </reference>
        </references>
      </pivotArea>
    </format>
    <format dxfId="91">
      <pivotArea dataOnly="0" labelOnly="1" outline="0" fieldPosition="0">
        <references count="3">
          <reference field="3" count="2">
            <x v="32"/>
            <x v="62"/>
          </reference>
          <reference field="6" count="1" selected="0">
            <x v="6"/>
          </reference>
          <reference field="8" count="1" selected="0">
            <x v="18"/>
          </reference>
        </references>
      </pivotArea>
    </format>
    <format dxfId="92">
      <pivotArea dataOnly="0" labelOnly="1" outline="0" fieldPosition="0">
        <references count="3">
          <reference field="3" count="2">
            <x v="4"/>
            <x v="66"/>
          </reference>
          <reference field="6" count="1" selected="0">
            <x v="8"/>
          </reference>
          <reference field="8" count="1" selected="0">
            <x v="7"/>
          </reference>
        </references>
      </pivotArea>
    </format>
    <format dxfId="93">
      <pivotArea dataOnly="0" labelOnly="1" outline="0" fieldPosition="0">
        <references count="3">
          <reference field="3" count="1">
            <x v="70"/>
          </reference>
          <reference field="6" count="1" selected="0">
            <x v="8"/>
          </reference>
          <reference field="8" count="1" selected="0">
            <x v="30"/>
          </reference>
        </references>
      </pivotArea>
    </format>
    <format dxfId="94">
      <pivotArea dataOnly="0" labelOnly="1" outline="0" fieldPosition="0">
        <references count="1">
          <reference field="42" count="0"/>
        </references>
      </pivotArea>
    </format>
    <format dxfId="95">
      <pivotArea dataOnly="0" labelOnly="1" outline="0" fieldPosition="0">
        <references count="2">
          <reference field="4294967294" count="5">
            <x v="0"/>
            <x v="1"/>
            <x v="2"/>
            <x v="3"/>
            <x v="4"/>
          </reference>
          <reference field="42" count="0" selected="0"/>
        </references>
      </pivotArea>
    </format>
    <format dxfId="96">
      <pivotArea dataOnly="0" labelOnly="1" outline="0" fieldPosition="0">
        <references count="1">
          <reference field="6" count="1">
            <x v="1"/>
          </reference>
        </references>
      </pivotArea>
    </format>
    <format dxfId="97">
      <pivotArea dataOnly="0" labelOnly="1" outline="0" fieldPosition="0">
        <references count="1">
          <reference field="6" count="1">
            <x v="0"/>
          </reference>
        </references>
      </pivotArea>
    </format>
    <format dxfId="98">
      <pivotArea dataOnly="0" labelOnly="1" outline="0" fieldPosition="0">
        <references count="1">
          <reference field="6" count="8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99">
      <pivotArea dataOnly="0" labelOnly="1" outline="0" fieldPosition="0">
        <references count="1">
          <reference field="6" count="8" defaultSubtotal="1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100">
      <pivotArea dataOnly="0" labelOnly="1" outline="0" fieldPosition="0">
        <references count="2">
          <reference field="6" count="1" selected="0">
            <x v="0"/>
          </reference>
          <reference field="8" count="3">
            <x v="9"/>
            <x v="24"/>
            <x v="27"/>
          </reference>
        </references>
      </pivotArea>
    </format>
    <format dxfId="101">
      <pivotArea dataOnly="0" labelOnly="1" outline="0" fieldPosition="0">
        <references count="2">
          <reference field="6" count="1" selected="0">
            <x v="1"/>
          </reference>
          <reference field="8" count="3">
            <x v="11"/>
            <x v="22"/>
            <x v="28"/>
          </reference>
        </references>
      </pivotArea>
    </format>
    <format dxfId="102">
      <pivotArea dataOnly="0" labelOnly="1" outline="0" fieldPosition="0">
        <references count="2">
          <reference field="6" count="1" selected="0">
            <x v="1"/>
          </reference>
          <reference field="8" count="1" defaultSubtotal="1">
            <x v="28"/>
          </reference>
        </references>
      </pivotArea>
    </format>
    <format dxfId="103">
      <pivotArea dataOnly="0" labelOnly="1" outline="0" fieldPosition="0">
        <references count="2">
          <reference field="6" count="1" selected="0">
            <x v="2"/>
          </reference>
          <reference field="8" count="2">
            <x v="1"/>
            <x v="4"/>
          </reference>
        </references>
      </pivotArea>
    </format>
    <format dxfId="104">
      <pivotArea dataOnly="0" labelOnly="1" outline="0" fieldPosition="0">
        <references count="2">
          <reference field="6" count="1" selected="0">
            <x v="2"/>
          </reference>
          <reference field="8" count="1" defaultSubtotal="1">
            <x v="4"/>
          </reference>
        </references>
      </pivotArea>
    </format>
    <format dxfId="105">
      <pivotArea dataOnly="0" labelOnly="1" outline="0" fieldPosition="0">
        <references count="2">
          <reference field="6" count="1" selected="0">
            <x v="3"/>
          </reference>
          <reference field="8" count="1">
            <x v="6"/>
          </reference>
        </references>
      </pivotArea>
    </format>
    <format dxfId="106">
      <pivotArea dataOnly="0" labelOnly="1" outline="0" fieldPosition="0">
        <references count="2">
          <reference field="6" count="1" selected="0">
            <x v="4"/>
          </reference>
          <reference field="8" count="1">
            <x v="2"/>
          </reference>
        </references>
      </pivotArea>
    </format>
    <format dxfId="107">
      <pivotArea dataOnly="0" labelOnly="1" outline="0" fieldPosition="0">
        <references count="2">
          <reference field="6" count="1" selected="0">
            <x v="4"/>
          </reference>
          <reference field="8" count="1" defaultSubtotal="1">
            <x v="2"/>
          </reference>
        </references>
      </pivotArea>
    </format>
    <format dxfId="108">
      <pivotArea dataOnly="0" labelOnly="1" outline="0" fieldPosition="0">
        <references count="2">
          <reference field="6" count="1" selected="0">
            <x v="6"/>
          </reference>
          <reference field="8" count="1">
            <x v="18"/>
          </reference>
        </references>
      </pivotArea>
    </format>
    <format dxfId="109">
      <pivotArea dataOnly="0" labelOnly="1" outline="0" fieldPosition="0">
        <references count="2">
          <reference field="6" count="1" selected="0">
            <x v="6"/>
          </reference>
          <reference field="8" count="1" defaultSubtotal="1">
            <x v="18"/>
          </reference>
        </references>
      </pivotArea>
    </format>
    <format dxfId="110">
      <pivotArea dataOnly="0" labelOnly="1" outline="0" fieldPosition="0">
        <references count="2">
          <reference field="6" count="1" selected="0">
            <x v="7"/>
          </reference>
          <reference field="8" count="1">
            <x v="26"/>
          </reference>
        </references>
      </pivotArea>
    </format>
    <format dxfId="111">
      <pivotArea dataOnly="0" labelOnly="1" outline="0" fieldPosition="0">
        <references count="2">
          <reference field="6" count="1" selected="0">
            <x v="8"/>
          </reference>
          <reference field="8" count="2">
            <x v="7"/>
            <x v="30"/>
          </reference>
        </references>
      </pivotArea>
    </format>
    <format dxfId="112">
      <pivotArea dataOnly="0" labelOnly="1" outline="0" fieldPosition="0">
        <references count="2">
          <reference field="6" count="1" selected="0">
            <x v="8"/>
          </reference>
          <reference field="8" count="2" defaultSubtotal="1">
            <x v="7"/>
            <x v="30"/>
          </reference>
        </references>
      </pivotArea>
    </format>
    <format dxfId="113">
      <pivotArea dataOnly="0" labelOnly="1" outline="0" fieldPosition="0">
        <references count="3">
          <reference field="3" count="1">
            <x v="73"/>
          </reference>
          <reference field="6" count="1" selected="0">
            <x v="1"/>
          </reference>
          <reference field="8" count="1" selected="0">
            <x v="28"/>
          </reference>
        </references>
      </pivotArea>
    </format>
    <format dxfId="114">
      <pivotArea dataOnly="0" labelOnly="1" outline="0" fieldPosition="0">
        <references count="3">
          <reference field="3" count="2">
            <x v="11"/>
            <x v="75"/>
          </reference>
          <reference field="6" count="1" selected="0">
            <x v="2"/>
          </reference>
          <reference field="8" count="1" selected="0">
            <x v="4"/>
          </reference>
        </references>
      </pivotArea>
    </format>
    <format dxfId="115">
      <pivotArea dataOnly="0" labelOnly="1" outline="0" fieldPosition="0">
        <references count="3">
          <reference field="3" count="7">
            <x v="61"/>
            <x v="65"/>
            <x v="68"/>
            <x v="69"/>
            <x v="72"/>
            <x v="74"/>
            <x v="76"/>
          </reference>
          <reference field="6" count="1" selected="0">
            <x v="4"/>
          </reference>
          <reference field="8" count="1" selected="0">
            <x v="2"/>
          </reference>
        </references>
      </pivotArea>
    </format>
    <format dxfId="116">
      <pivotArea dataOnly="0" labelOnly="1" outline="0" fieldPosition="0">
        <references count="3">
          <reference field="3" count="2">
            <x v="32"/>
            <x v="62"/>
          </reference>
          <reference field="6" count="1" selected="0">
            <x v="6"/>
          </reference>
          <reference field="8" count="1" selected="0">
            <x v="18"/>
          </reference>
        </references>
      </pivotArea>
    </format>
    <format dxfId="117">
      <pivotArea dataOnly="0" labelOnly="1" outline="0" fieldPosition="0">
        <references count="3">
          <reference field="3" count="2">
            <x v="4"/>
            <x v="66"/>
          </reference>
          <reference field="6" count="1" selected="0">
            <x v="8"/>
          </reference>
          <reference field="8" count="1" selected="0">
            <x v="7"/>
          </reference>
        </references>
      </pivotArea>
    </format>
    <format dxfId="118">
      <pivotArea dataOnly="0" labelOnly="1" outline="0" fieldPosition="0">
        <references count="3">
          <reference field="3" count="1">
            <x v="70"/>
          </reference>
          <reference field="6" count="1" selected="0">
            <x v="8"/>
          </reference>
          <reference field="8" count="1" selected="0">
            <x v="30"/>
          </reference>
        </references>
      </pivotArea>
    </format>
    <format dxfId="119">
      <pivotArea field="42" type="button" dataOnly="0" labelOnly="1" outline="0" axis="axisCol" fieldPosition="0"/>
    </format>
    <format dxfId="120">
      <pivotArea field="-2" type="button" dataOnly="0" labelOnly="1" outline="0" axis="axisCol" fieldPosition="1"/>
    </format>
    <format dxfId="121">
      <pivotArea type="topRight" dataOnly="0" labelOnly="1" outline="0" fieldPosition="0"/>
    </format>
    <format dxfId="122">
      <pivotArea dataOnly="0" labelOnly="1" outline="0" fieldPosition="0">
        <references count="1">
          <reference field="42" count="0"/>
        </references>
      </pivotArea>
    </format>
    <format dxfId="123">
      <pivotArea dataOnly="0" labelOnly="1" outline="0" fieldPosition="0">
        <references count="2">
          <reference field="4294967294" count="5">
            <x v="0"/>
            <x v="1"/>
            <x v="2"/>
            <x v="3"/>
            <x v="4"/>
          </reference>
          <reference field="42" count="0" selected="0"/>
        </references>
      </pivotArea>
    </format>
    <format dxfId="124">
      <pivotArea type="origin" dataOnly="0" labelOnly="1" outline="0" fieldPosition="0"/>
    </format>
    <format dxfId="125">
      <pivotArea field="42" type="button" dataOnly="0" labelOnly="1" outline="0" axis="axisCol" fieldPosition="0"/>
    </format>
    <format dxfId="126">
      <pivotArea field="-2" type="button" dataOnly="0" labelOnly="1" outline="0" axis="axisCol" fieldPosition="1"/>
    </format>
    <format dxfId="127">
      <pivotArea type="topRight" dataOnly="0" labelOnly="1" outline="0" fieldPosition="0"/>
    </format>
    <format dxfId="128">
      <pivotArea field="6" type="button" dataOnly="0" labelOnly="1" outline="0" axis="axisRow" fieldPosition="0"/>
    </format>
    <format dxfId="129">
      <pivotArea field="8" type="button" dataOnly="0" labelOnly="1" outline="0" axis="axisRow" fieldPosition="1"/>
    </format>
    <format dxfId="130">
      <pivotArea field="3" type="button" dataOnly="0" labelOnly="1" outline="0" axis="axisRow" fieldPosition="2"/>
    </format>
    <format dxfId="131">
      <pivotArea dataOnly="0" labelOnly="1" outline="0" fieldPosition="0">
        <references count="1">
          <reference field="42" count="0"/>
        </references>
      </pivotArea>
    </format>
    <format dxfId="132">
      <pivotArea dataOnly="0" labelOnly="1" outline="0" fieldPosition="0">
        <references count="2">
          <reference field="4294967294" count="5">
            <x v="0"/>
            <x v="1"/>
            <x v="2"/>
            <x v="3"/>
            <x v="4"/>
          </reference>
          <reference field="42" count="0" selected="0"/>
        </references>
      </pivotArea>
    </format>
    <format dxfId="133">
      <pivotArea dataOnly="0" labelOnly="1" outline="0" fieldPosition="0">
        <references count="2">
          <reference field="6" count="1" selected="0">
            <x v="1"/>
          </reference>
          <reference field="8" count="3">
            <x v="11"/>
            <x v="22"/>
            <x v="28"/>
          </reference>
        </references>
      </pivotArea>
    </format>
    <format dxfId="134">
      <pivotArea dataOnly="0" labelOnly="1" outline="0" fieldPosition="0">
        <references count="1">
          <reference field="6" count="8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135">
      <pivotArea dataOnly="0" labelOnly="1" outline="0" fieldPosition="0">
        <references count="1">
          <reference field="6" count="7" defaultSubtotal="1">
            <x v="0"/>
            <x v="1"/>
            <x v="2"/>
            <x v="3"/>
            <x v="4"/>
            <x v="6"/>
            <x v="7"/>
          </reference>
        </references>
      </pivotArea>
    </format>
    <format dxfId="136">
      <pivotArea dataOnly="0" labelOnly="1" outline="0" fieldPosition="0">
        <references count="2">
          <reference field="6" count="1" selected="0">
            <x v="0"/>
          </reference>
          <reference field="8" count="3">
            <x v="9"/>
            <x v="24"/>
            <x v="27"/>
          </reference>
        </references>
      </pivotArea>
    </format>
    <format dxfId="137">
      <pivotArea dataOnly="0" labelOnly="1" outline="0" fieldPosition="0">
        <references count="2">
          <reference field="6" count="1" selected="0">
            <x v="1"/>
          </reference>
          <reference field="8" count="3">
            <x v="11"/>
            <x v="22"/>
            <x v="28"/>
          </reference>
        </references>
      </pivotArea>
    </format>
    <format dxfId="138">
      <pivotArea dataOnly="0" labelOnly="1" outline="0" fieldPosition="0">
        <references count="2">
          <reference field="6" count="1" selected="0">
            <x v="2"/>
          </reference>
          <reference field="8" count="2">
            <x v="1"/>
            <x v="4"/>
          </reference>
        </references>
      </pivotArea>
    </format>
    <format dxfId="139">
      <pivotArea dataOnly="0" labelOnly="1" outline="0" fieldPosition="0">
        <references count="2">
          <reference field="6" count="1" selected="0">
            <x v="2"/>
          </reference>
          <reference field="8" count="1" defaultSubtotal="1">
            <x v="4"/>
          </reference>
        </references>
      </pivotArea>
    </format>
    <format dxfId="140">
      <pivotArea dataOnly="0" labelOnly="1" outline="0" fieldPosition="0">
        <references count="2">
          <reference field="6" count="1" selected="0">
            <x v="3"/>
          </reference>
          <reference field="8" count="1">
            <x v="6"/>
          </reference>
        </references>
      </pivotArea>
    </format>
    <format dxfId="141">
      <pivotArea dataOnly="0" labelOnly="1" outline="0" fieldPosition="0">
        <references count="2">
          <reference field="6" count="1" selected="0">
            <x v="4"/>
          </reference>
          <reference field="8" count="1">
            <x v="2"/>
          </reference>
        </references>
      </pivotArea>
    </format>
    <format dxfId="142">
      <pivotArea dataOnly="0" labelOnly="1" outline="0" fieldPosition="0">
        <references count="2">
          <reference field="6" count="1" selected="0">
            <x v="4"/>
          </reference>
          <reference field="8" count="1" defaultSubtotal="1">
            <x v="2"/>
          </reference>
        </references>
      </pivotArea>
    </format>
    <format dxfId="143">
      <pivotArea dataOnly="0" labelOnly="1" outline="0" fieldPosition="0">
        <references count="2">
          <reference field="6" count="1" selected="0">
            <x v="6"/>
          </reference>
          <reference field="8" count="1">
            <x v="18"/>
          </reference>
        </references>
      </pivotArea>
    </format>
    <format dxfId="144">
      <pivotArea dataOnly="0" labelOnly="1" outline="0" fieldPosition="0">
        <references count="2">
          <reference field="6" count="1" selected="0">
            <x v="6"/>
          </reference>
          <reference field="8" count="1" defaultSubtotal="1">
            <x v="18"/>
          </reference>
        </references>
      </pivotArea>
    </format>
    <format dxfId="145">
      <pivotArea dataOnly="0" labelOnly="1" outline="0" fieldPosition="0">
        <references count="2">
          <reference field="6" count="1" selected="0">
            <x v="7"/>
          </reference>
          <reference field="8" count="1">
            <x v="26"/>
          </reference>
        </references>
      </pivotArea>
    </format>
    <format dxfId="146">
      <pivotArea dataOnly="0" labelOnly="1" outline="0" fieldPosition="0">
        <references count="2">
          <reference field="6" count="1" selected="0">
            <x v="8"/>
          </reference>
          <reference field="8" count="2">
            <x v="7"/>
            <x v="30"/>
          </reference>
        </references>
      </pivotArea>
    </format>
    <format dxfId="147">
      <pivotArea dataOnly="0" labelOnly="1" outline="0" fieldPosition="0">
        <references count="2">
          <reference field="6" count="1" selected="0">
            <x v="8"/>
          </reference>
          <reference field="8" count="2" defaultSubtotal="1">
            <x v="7"/>
            <x v="30"/>
          </reference>
        </references>
      </pivotArea>
    </format>
    <format dxfId="148">
      <pivotArea dataOnly="0" labelOnly="1" outline="0" fieldPosition="0">
        <references count="3">
          <reference field="3" count="2">
            <x v="11"/>
            <x v="75"/>
          </reference>
          <reference field="6" count="1" selected="0">
            <x v="2"/>
          </reference>
          <reference field="8" count="1" selected="0">
            <x v="4"/>
          </reference>
        </references>
      </pivotArea>
    </format>
    <format dxfId="149">
      <pivotArea dataOnly="0" labelOnly="1" outline="0" fieldPosition="0">
        <references count="3">
          <reference field="3" count="7">
            <x v="61"/>
            <x v="65"/>
            <x v="68"/>
            <x v="69"/>
            <x v="72"/>
            <x v="74"/>
            <x v="76"/>
          </reference>
          <reference field="6" count="1" selected="0">
            <x v="4"/>
          </reference>
          <reference field="8" count="1" selected="0">
            <x v="2"/>
          </reference>
        </references>
      </pivotArea>
    </format>
    <format dxfId="150">
      <pivotArea dataOnly="0" labelOnly="1" outline="0" fieldPosition="0">
        <references count="3">
          <reference field="3" count="2">
            <x v="32"/>
            <x v="62"/>
          </reference>
          <reference field="6" count="1" selected="0">
            <x v="6"/>
          </reference>
          <reference field="8" count="1" selected="0">
            <x v="18"/>
          </reference>
        </references>
      </pivotArea>
    </format>
    <format dxfId="151">
      <pivotArea dataOnly="0" labelOnly="1" outline="0" fieldPosition="0">
        <references count="3">
          <reference field="3" count="2">
            <x v="4"/>
            <x v="66"/>
          </reference>
          <reference field="6" count="1" selected="0">
            <x v="8"/>
          </reference>
          <reference field="8" count="1" selected="0">
            <x v="7"/>
          </reference>
        </references>
      </pivotArea>
    </format>
    <format dxfId="152">
      <pivotArea dataOnly="0" labelOnly="1" outline="0" fieldPosition="0">
        <references count="3">
          <reference field="3" count="1">
            <x v="70"/>
          </reference>
          <reference field="6" count="1" selected="0">
            <x v="8"/>
          </reference>
          <reference field="8" count="1" selected="0">
            <x v="30"/>
          </reference>
        </references>
      </pivotArea>
    </format>
    <format dxfId="153">
      <pivotArea dataOnly="0" labelOnly="1" outline="0" fieldPosition="0">
        <references count="1">
          <reference field="42" count="0"/>
        </references>
      </pivotArea>
    </format>
    <format dxfId="154">
      <pivotArea field="6" type="button" dataOnly="0" labelOnly="1" outline="0" axis="axisRow" fieldPosition="0"/>
    </format>
    <format dxfId="155">
      <pivotArea field="8" type="button" dataOnly="0" labelOnly="1" outline="0" axis="axisRow" fieldPosition="1"/>
    </format>
    <format dxfId="156">
      <pivotArea field="3" type="button" dataOnly="0" labelOnly="1" outline="0" axis="axisRow" fieldPosition="2"/>
    </format>
    <format dxfId="157">
      <pivotArea outline="0" collapsedLevelsAreSubtotals="1" fieldPosition="0"/>
    </format>
    <format dxfId="158">
      <pivotArea outline="0" collapsedLevelsAreSubtotals="1" fieldPosition="0"/>
    </format>
    <format dxfId="159">
      <pivotArea dataOnly="0" labelOnly="1" outline="0" fieldPosition="0">
        <references count="1">
          <reference field="6" count="8" defaultSubtotal="1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160">
      <pivotArea dataOnly="0" labelOnly="1" outline="0" fieldPosition="0">
        <references count="3">
          <reference field="3" count="2">
            <x v="4"/>
            <x v="66"/>
          </reference>
          <reference field="6" count="1" selected="0">
            <x v="8"/>
          </reference>
          <reference field="8" count="1" selected="0">
            <x v="7"/>
          </reference>
        </references>
      </pivotArea>
    </format>
    <format dxfId="161">
      <pivotArea dataOnly="0" labelOnly="1" outline="0" fieldPosition="0">
        <references count="1">
          <reference field="6" count="8">
            <x v="0"/>
            <x v="1"/>
            <x v="2"/>
            <x v="3"/>
            <x v="4"/>
            <x v="6"/>
            <x v="7"/>
            <x v="8"/>
          </reference>
        </references>
      </pivotArea>
    </format>
    <format dxfId="162">
      <pivotArea dataOnly="0" labelOnly="1" outline="0" fieldPosition="0">
        <references count="1">
          <reference field="6" count="7" defaultSubtotal="1">
            <x v="0"/>
            <x v="1"/>
            <x v="2"/>
            <x v="3"/>
            <x v="4"/>
            <x v="6"/>
            <x v="7"/>
          </reference>
        </references>
      </pivotArea>
    </format>
    <format dxfId="163">
      <pivotArea dataOnly="0" labelOnly="1" outline="0" fieldPosition="0">
        <references count="2">
          <reference field="6" count="1" selected="0">
            <x v="0"/>
          </reference>
          <reference field="8" count="3">
            <x v="9"/>
            <x v="24"/>
            <x v="27"/>
          </reference>
        </references>
      </pivotArea>
    </format>
    <format dxfId="164">
      <pivotArea dataOnly="0" labelOnly="1" outline="0" fieldPosition="0">
        <references count="2">
          <reference field="6" count="1" selected="0">
            <x v="1"/>
          </reference>
          <reference field="8" count="3">
            <x v="11"/>
            <x v="22"/>
            <x v="28"/>
          </reference>
        </references>
      </pivotArea>
    </format>
    <format dxfId="165">
      <pivotArea dataOnly="0" labelOnly="1" outline="0" fieldPosition="0">
        <references count="2">
          <reference field="6" count="1" selected="0">
            <x v="2"/>
          </reference>
          <reference field="8" count="2">
            <x v="1"/>
            <x v="4"/>
          </reference>
        </references>
      </pivotArea>
    </format>
    <format dxfId="166">
      <pivotArea dataOnly="0" labelOnly="1" outline="0" fieldPosition="0">
        <references count="2">
          <reference field="6" count="1" selected="0">
            <x v="2"/>
          </reference>
          <reference field="8" count="1" defaultSubtotal="1">
            <x v="4"/>
          </reference>
        </references>
      </pivotArea>
    </format>
    <format dxfId="167">
      <pivotArea dataOnly="0" labelOnly="1" outline="0" fieldPosition="0">
        <references count="2">
          <reference field="6" count="1" selected="0">
            <x v="3"/>
          </reference>
          <reference field="8" count="1">
            <x v="6"/>
          </reference>
        </references>
      </pivotArea>
    </format>
    <format dxfId="168">
      <pivotArea dataOnly="0" labelOnly="1" outline="0" fieldPosition="0">
        <references count="2">
          <reference field="6" count="1" selected="0">
            <x v="4"/>
          </reference>
          <reference field="8" count="1">
            <x v="2"/>
          </reference>
        </references>
      </pivotArea>
    </format>
    <format dxfId="169">
      <pivotArea dataOnly="0" labelOnly="1" outline="0" fieldPosition="0">
        <references count="2">
          <reference field="6" count="1" selected="0">
            <x v="4"/>
          </reference>
          <reference field="8" count="1" defaultSubtotal="1">
            <x v="2"/>
          </reference>
        </references>
      </pivotArea>
    </format>
    <format dxfId="170">
      <pivotArea dataOnly="0" labelOnly="1" outline="0" fieldPosition="0">
        <references count="2">
          <reference field="6" count="1" selected="0">
            <x v="6"/>
          </reference>
          <reference field="8" count="1">
            <x v="18"/>
          </reference>
        </references>
      </pivotArea>
    </format>
    <format dxfId="171">
      <pivotArea dataOnly="0" labelOnly="1" outline="0" fieldPosition="0">
        <references count="2">
          <reference field="6" count="1" selected="0">
            <x v="6"/>
          </reference>
          <reference field="8" count="1" defaultSubtotal="1">
            <x v="18"/>
          </reference>
        </references>
      </pivotArea>
    </format>
    <format dxfId="172">
      <pivotArea dataOnly="0" labelOnly="1" outline="0" fieldPosition="0">
        <references count="2">
          <reference field="6" count="1" selected="0">
            <x v="7"/>
          </reference>
          <reference field="8" count="1">
            <x v="26"/>
          </reference>
        </references>
      </pivotArea>
    </format>
    <format dxfId="173">
      <pivotArea dataOnly="0" labelOnly="1" outline="0" fieldPosition="0">
        <references count="2">
          <reference field="6" count="1" selected="0">
            <x v="8"/>
          </reference>
          <reference field="8" count="2">
            <x v="7"/>
            <x v="30"/>
          </reference>
        </references>
      </pivotArea>
    </format>
    <format dxfId="174">
      <pivotArea dataOnly="0" labelOnly="1" outline="0" fieldPosition="0">
        <references count="2">
          <reference field="6" count="1" selected="0">
            <x v="8"/>
          </reference>
          <reference field="8" count="2" defaultSubtotal="1">
            <x v="7"/>
            <x v="30"/>
          </reference>
        </references>
      </pivotArea>
    </format>
    <format dxfId="175">
      <pivotArea dataOnly="0" labelOnly="1" outline="0" fieldPosition="0">
        <references count="3">
          <reference field="3" count="2">
            <x v="11"/>
            <x v="75"/>
          </reference>
          <reference field="6" count="1" selected="0">
            <x v="2"/>
          </reference>
          <reference field="8" count="1" selected="0">
            <x v="4"/>
          </reference>
        </references>
      </pivotArea>
    </format>
    <format dxfId="176">
      <pivotArea dataOnly="0" labelOnly="1" outline="0" fieldPosition="0">
        <references count="3">
          <reference field="3" count="8">
            <x v="61"/>
            <x v="65"/>
            <x v="68"/>
            <x v="69"/>
            <x v="72"/>
            <x v="74"/>
            <x v="76"/>
            <x v="78"/>
          </reference>
          <reference field="6" count="1" selected="0">
            <x v="4"/>
          </reference>
          <reference field="8" count="1" selected="0">
            <x v="2"/>
          </reference>
        </references>
      </pivotArea>
    </format>
    <format dxfId="177">
      <pivotArea dataOnly="0" labelOnly="1" outline="0" fieldPosition="0">
        <references count="3">
          <reference field="3" count="2">
            <x v="32"/>
            <x v="62"/>
          </reference>
          <reference field="6" count="1" selected="0">
            <x v="6"/>
          </reference>
          <reference field="8" count="1" selected="0">
            <x v="18"/>
          </reference>
        </references>
      </pivotArea>
    </format>
    <format dxfId="178">
      <pivotArea dataOnly="0" labelOnly="1" outline="0" fieldPosition="0">
        <references count="3">
          <reference field="3" count="1">
            <x v="4"/>
          </reference>
          <reference field="6" count="1" selected="0">
            <x v="8"/>
          </reference>
          <reference field="8" count="1" selected="0">
            <x v="7"/>
          </reference>
        </references>
      </pivotArea>
    </format>
    <format dxfId="179">
      <pivotArea dataOnly="0" labelOnly="1" outline="0" fieldPosition="0">
        <references count="3">
          <reference field="3" count="1">
            <x v="70"/>
          </reference>
          <reference field="6" count="1" selected="0">
            <x v="8"/>
          </reference>
          <reference field="8" count="1" selected="0">
            <x v="30"/>
          </reference>
        </references>
      </pivotArea>
    </format>
    <format dxfId="180">
      <pivotArea dataOnly="0" labelOnly="1" outline="0" fieldPosition="0">
        <references count="2">
          <reference field="4294967294" count="5">
            <x v="0"/>
            <x v="1"/>
            <x v="2"/>
            <x v="3"/>
            <x v="4"/>
          </reference>
          <reference field="42" count="0" selected="0"/>
        </references>
      </pivotArea>
    </format>
  </formats>
  <pivotTableStyleInfo name="PivotStyleMedium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74EA8A-24A0-4398-9F14-41C7D6172DF7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ategory">
  <location ref="A3:F9" firstHeaderRow="0" firstDataRow="1" firstDataCol="1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(Unit)" fld="0" baseField="0" baseItem="0"/>
    <dataField name="Current (Ltr)" fld="1" baseField="0" baseItem="0"/>
    <dataField name="Costing Value (tk)" fld="2" baseField="0" baseItem="0"/>
    <dataField name="Damage (Unit)" fld="3" baseField="0" baseItem="0"/>
    <dataField name="Est Sales Value (tk)" fld="4" baseField="0" baseItem="0"/>
  </dataFields>
  <formats count="12">
    <format dxfId="324">
      <pivotArea type="all" dataOnly="0" outline="0" fieldPosition="0"/>
    </format>
    <format dxfId="323">
      <pivotArea outline="0" collapsedLevelsAreSubtotals="1" fieldPosition="0"/>
    </format>
    <format dxfId="322">
      <pivotArea field="5" type="button" dataOnly="0" labelOnly="1" outline="0" axis="axisRow" fieldPosition="0"/>
    </format>
    <format dxfId="321">
      <pivotArea dataOnly="0" labelOnly="1" fieldPosition="0">
        <references count="1">
          <reference field="5" count="0"/>
        </references>
      </pivotArea>
    </format>
    <format dxfId="320">
      <pivotArea dataOnly="0" labelOnly="1" grandRow="1" outline="0" fieldPosition="0"/>
    </format>
    <format dxfId="3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8">
      <pivotArea type="all" dataOnly="0" outline="0" fieldPosition="0"/>
    </format>
    <format dxfId="317">
      <pivotArea outline="0" collapsedLevelsAreSubtotals="1" fieldPosition="0"/>
    </format>
    <format dxfId="316">
      <pivotArea field="5" type="button" dataOnly="0" labelOnly="1" outline="0" axis="axisRow" fieldPosition="0"/>
    </format>
    <format dxfId="315">
      <pivotArea dataOnly="0" labelOnly="1" fieldPosition="0">
        <references count="1">
          <reference field="5" count="0"/>
        </references>
      </pivotArea>
    </format>
    <format dxfId="314">
      <pivotArea dataOnly="0" labelOnly="1" grandRow="1" outline="0" fieldPosition="0"/>
    </format>
    <format dxfId="3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Hierarchies count="5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rrent (Unit)"/>
    <pivotHierarchy dragToData="1" caption="Current (Ltr)"/>
    <pivotHierarchy dragToData="1" caption="Costing Value (tk)"/>
    <pivotHierarchy dragToData="1" caption="Damage (Unit)"/>
    <pivotHierarchy dragToData="1" caption="Est Sales Value (tk)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rrent_Stock]"/>
        <x15:activeTabTopLevelEntity name="[SKU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97B5CE-9F49-449A-A553-1F7218D22632}" name="Primary_Order" displayName="Primary_Order" ref="A1:AO589" headerRowDxfId="264" dataDxfId="263" totalsRowDxfId="262">
  <autoFilter ref="A1:AO589" xr:uid="{1397B5CE-9F49-449A-A553-1F7218D22632}"/>
  <tableColumns count="41">
    <tableColumn id="1" xr3:uid="{8ED63A31-2D7B-4F09-B778-5A2BA25B747B}" name="Sales Reciept" totalsRowLabel="Total" dataDxfId="261"/>
    <tableColumn id="2" xr3:uid="{69515F04-CFD5-4764-BAB6-FB93A6D014DD}" name="Date" dataDxfId="260"/>
    <tableColumn id="3" xr3:uid="{D37F9AA2-2A48-4B7D-859F-0AA2EB793240}" name="MMD ID" dataDxfId="259"/>
    <tableColumn id="4" xr3:uid="{7333EF10-8D85-4CBA-8C96-4BA42D35488C}" name="Retailer" dataDxfId="258"/>
    <tableColumn id="5" xr3:uid="{2141F130-9D2A-4026-AA3C-D32501F52060}" name="Delvery Address" dataDxfId="257"/>
    <tableColumn id="6" xr3:uid="{B8747C81-E117-4CF2-8B14-6387811253E7}" name="To Dealer(Contact no)" dataDxfId="256"/>
    <tableColumn id="7" xr3:uid="{8160C449-31E0-4FAF-840A-830D412141F1}" name="TSM/TSE" dataDxfId="255"/>
    <tableColumn id="8" xr3:uid="{E3DC6663-DA51-40D9-9524-76FA0EA8CB24}" name="AM" dataDxfId="254"/>
    <tableColumn id="9" xr3:uid="{0858B673-34F5-4C69-B2A4-78612EA0B8A4}" name="MMD" dataDxfId="253"/>
    <tableColumn id="10" xr3:uid="{DC530B54-1DC9-4389-AE0C-21FC26937336}" name="Location" dataDxfId="252"/>
    <tableColumn id="11" xr3:uid="{90321D5D-279F-4ACA-9D51-9E1840573C1E}" name="Product ID" dataDxfId="251"/>
    <tableColumn id="12" xr3:uid="{FF074061-DF64-4297-9273-DBD2F47E99A9}" name="Product Name" dataDxfId="250">
      <calculatedColumnFormula>VLOOKUP(Primary_Order[[#This Row],[Product ID]],SKU[],3,0)</calculatedColumnFormula>
    </tableColumn>
    <tableColumn id="13" xr3:uid="{E389480E-5C36-4F11-A2A1-C30364931DA0}" name="Order Qty(Piece)" dataDxfId="248" totalsRowDxfId="249" dataCellStyle="Comma"/>
    <tableColumn id="14" xr3:uid="{23B464FE-A6CC-4CE2-98E4-A72DC6C2CE1A}" name="Price/Piece" dataDxfId="246" totalsRowDxfId="247" dataCellStyle="Comma"/>
    <tableColumn id="15" xr3:uid="{044AA770-58F7-4877-9412-823EBF052241}" name="Order Volume(ltr)" dataDxfId="244" totalsRowDxfId="245" dataCellStyle="Comma"/>
    <tableColumn id="16" xr3:uid="{44C04402-A289-49AE-B7AF-E21405DF39D6}" name="Discount Percentage" dataDxfId="242" totalsRowDxfId="243" dataCellStyle="Percent"/>
    <tableColumn id="17" xr3:uid="{C3BD7663-8782-4833-9E84-9366A76CA0DC}" name="Free Quantity" dataDxfId="240" totalsRowDxfId="241" dataCellStyle="Comma"/>
    <tableColumn id="18" xr3:uid="{7B4199C0-4981-42A5-8703-9FC37AE3ADDD}" name="After Discount Price/Piece" dataDxfId="238" totalsRowDxfId="239" dataCellStyle="Comma"/>
    <tableColumn id="19" xr3:uid="{4E5AD7C1-1037-4495-9C27-5A6DFE185382}" name="Total Qty" dataDxfId="236" totalsRowDxfId="237" dataCellStyle="Comma"/>
    <tableColumn id="20" xr3:uid="{5D269866-69D2-48F4-9E67-EEDBC7B30B93}" name="Total Volume" dataDxfId="234" totalsRowDxfId="235" dataCellStyle="Comma"/>
    <tableColumn id="21" xr3:uid="{9911D706-1469-491D-B748-8C4CAB88D8B1}" name="Gross Price" dataDxfId="232" totalsRowDxfId="233" dataCellStyle="Comma"/>
    <tableColumn id="22" xr3:uid="{88860828-C34B-4B42-8BC0-0F43C3C4FA3C}" name="Transport Discount" dataDxfId="230" totalsRowDxfId="231" dataCellStyle="Comma"/>
    <tableColumn id="23" xr3:uid="{ADE5E472-FBF3-456D-810D-977171B25515}" name="Final Price" dataDxfId="228" totalsRowDxfId="229" dataCellStyle="Comma"/>
    <tableColumn id="24" xr3:uid="{821AA4B2-DE5A-498E-A6D5-8A47F33A529F}" name="Vat(15%)" dataDxfId="226" totalsRowDxfId="227" dataCellStyle="Comma"/>
    <tableColumn id="25" xr3:uid="{A170CE57-FDED-49F3-9A11-CF8AD419199C}" name="Net Total(-15%)" dataDxfId="224" totalsRowDxfId="225" dataCellStyle="Comma"/>
    <tableColumn id="26" xr3:uid="{6B523FF3-B93D-4639-AA69-C1E6F62A5D40}" name="Payment Type" dataDxfId="223"/>
    <tableColumn id="36" xr3:uid="{A92790EE-9117-4FCE-B771-BD343FFBF776}" name="Mushok" dataDxfId="222"/>
    <tableColumn id="37" xr3:uid="{EA4D106C-674F-4509-A028-4F091B3FD393}" name="Order Type" dataDxfId="221"/>
    <tableColumn id="38" xr3:uid="{06988469-FFC9-404D-B7F4-B399AC600836}" name="Delivery Date" dataDxfId="220"/>
    <tableColumn id="27" xr3:uid="{83A9B85F-C977-43BB-96C3-6E185A840E63}" name="Remarks" dataDxfId="219"/>
    <tableColumn id="28" xr3:uid="{3A430D7F-22E3-4E79-A136-3E3F171B2068}" name="Area" dataDxfId="218">
      <calculatedColumnFormula>IFERROR(VLOOKUP(Primary_Order[[#This Row],[AM]],SP!$E$19:$F$23,2,0),Primary_Order[[#This Row],[AM]])</calculatedColumnFormula>
    </tableColumn>
    <tableColumn id="29" xr3:uid="{B6076E02-E548-420C-8B12-D9AD8DB4F0FE}" name="SKU Grade Tpye" dataDxfId="217">
      <calculatedColumnFormula>VLOOKUP(Primary_Order[[#This Row],[Product ID]],SKU[],10,0)</calculatedColumnFormula>
    </tableColumn>
    <tableColumn id="30" xr3:uid="{9233C529-E8DD-47F7-827D-A121A022AE14}" name="SKU Category" dataDxfId="216">
      <calculatedColumnFormula>VLOOKUP(Primary_Order[[#This Row],[Product ID]],SKU[],9,0)</calculatedColumnFormula>
    </tableColumn>
    <tableColumn id="31" xr3:uid="{6DEE88B9-ABD1-4FD2-A014-FA5CF898B9D5}" name="SKU Grade number" dataDxfId="215">
      <calculatedColumnFormula>VLOOKUP(Primary_Order[[#This Row],[Product ID]],SKU[],12,0)</calculatedColumnFormula>
    </tableColumn>
    <tableColumn id="39" xr3:uid="{27830B78-F921-4EFF-993B-83CE7E844A79}" name="SKU Model" dataDxfId="214">
      <calculatedColumnFormula>VLOOKUP(Primary_Order[[#This Row],[Product ID]],SKU[],13,0)</calculatedColumnFormula>
    </tableColumn>
    <tableColumn id="32" xr3:uid="{717F7418-EEA1-4950-819D-35B8B1952F6A}" name="Free Ltr" dataDxfId="212" totalsRowDxfId="213" dataCellStyle="Comma">
      <calculatedColumnFormula>VLOOKUP(Primary_Order[[#This Row],[Product ID]],SKU[[SKU ID]:[Bottle Size(Ltr)]],6,0)*Primary_Order[[#This Row],[Free Quantity]]</calculatedColumnFormula>
    </tableColumn>
    <tableColumn id="34" xr3:uid="{C3776CA5-95EC-4D8A-B55E-A480CB6E1DAC}" name="Pack Size" dataDxfId="211">
      <calculatedColumnFormula>VLOOKUP(Primary_Order[[#This Row],[Product ID]],SKU[[SKU ID]:[Bottle Size(Ltr)]],4,0)</calculatedColumnFormula>
    </tableColumn>
    <tableColumn id="42" xr3:uid="{E1E9AB77-E81D-4F79-936B-89EA9656491F}" name="Cost" dataDxfId="209" totalsRowDxfId="210" dataCellStyle="Comma">
      <calculatedColumnFormula>VLOOKUP(Primary_Order[[#This Row],[Product ID]],SKU[],14,0)*Primary_Order[[#This Row],[Total Qty]]</calculatedColumnFormula>
    </tableColumn>
    <tableColumn id="41" xr3:uid="{26959E24-4D99-49C1-A688-6B61F02E61AD}" name="Profit" dataDxfId="207" totalsRowDxfId="208" dataCellStyle="Comma">
      <calculatedColumnFormula>IF(Primary_Order[[#This Row],[Cost]]=0,0,Primary_Order[[#This Row],[Net Total(-15%)]]-Primary_Order[[#This Row],[Cost]])</calculatedColumnFormula>
    </tableColumn>
    <tableColumn id="33" xr3:uid="{4237CCE7-EF2B-4554-ACC2-BFE9FB013F36}" name="Order Search" dataDxfId="206">
      <calculatedColumnFormula>"O-"&amp;Primary_Order[[#This Row],[Date]]&amp;"-"&amp;Primary_Order[[#This Row],[MMD ID]]</calculatedColumnFormula>
    </tableColumn>
    <tableColumn id="35" xr3:uid="{07C8F566-3FDE-4D86-AD98-4042735E2A56}" name="Status" totalsRowFunction="count" dataDxfId="205">
      <calculatedColumnFormula array="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680D31-2C55-4D5B-A36A-F1262C0E7C47}" name="Stock_year" displayName="Stock_year" ref="A3:BN72" totalsRowShown="0" headerRowDxfId="491">
  <autoFilter ref="A3:BN72" xr:uid="{6D680D31-2C55-4D5B-A36A-F1262C0E7C47}"/>
  <tableColumns count="66">
    <tableColumn id="2" xr3:uid="{A23C2A70-090E-4C38-82D7-EEF2F288A4C6}" name="SKU ID"/>
    <tableColumn id="3" xr3:uid="{6B1CF15E-B6C4-49C1-B1A6-BA9BCDC1FD3D}" name="Product Details"/>
    <tableColumn id="5" xr3:uid="{510653C8-06B2-457A-825B-044EF6598C72}" name="Vobanipur Opening" dataDxfId="490" dataCellStyle="Comma"/>
    <tableColumn id="6" xr3:uid="{1512103F-A384-433A-826A-A98B2437292D}" name="Ulukhola Opening" dataDxfId="489" dataCellStyle="Comma"/>
    <tableColumn id="1" xr3:uid="{B5EF821C-7859-45B1-B960-FA005B4AE9E4}" name="Opening Stock (Piece)" dataDxfId="488" dataCellStyle="Comma">
      <calculatedColumnFormula>Stock_year[[#This Row],[Vobanipur Opening]]+Stock_year[[#This Row],[Ulukhola Opening]]</calculatedColumnFormula>
    </tableColumn>
    <tableColumn id="18" xr3:uid="{C4F2F574-B026-47EE-A9A2-81FFDC25B89A}" name="Opening Stock (Ltr)" dataDxfId="487" dataCellStyle="Comma">
      <calculatedColumnFormula>VLOOKUP(Stock_year[[#This Row],[SKU ID]],SKU[[SKU ID]:[Bottle Size(Ltr)]],6,0)*Stock_year[[#This Row],[Opening Stock (Piece)]]</calculatedColumnFormula>
    </tableColumn>
    <tableColumn id="4" xr3:uid="{10C3E7A1-76F6-482A-ACEF-D01284E7BDE4}" name="Ulukhola to Vobanipur Transfer" dataDxfId="486" dataCellStyle="Comma"/>
    <tableColumn id="7" xr3:uid="{EBEF4863-70CC-4B33-8F8F-D1BEBC46C6A6}" name="New Arrival (vobanipur)" dataDxfId="485" dataCellStyle="Comma"/>
    <tableColumn id="11" xr3:uid="{D9A0A2C5-B0B4-4FC7-988E-BEDCF2525F00}" name="New Arrival(ulukhola)" dataDxfId="484" dataCellStyle="Comma"/>
    <tableColumn id="8" xr3:uid="{12F943AE-BC1F-4878-8FB3-2B79DBCCEC9A}" name="Vobanipur Total" dataDxfId="483" dataCellStyle="Comma">
      <calculatedColumnFormula>Stock_year[[#This Row],[Vobanipur Opening]]+Stock_year[[#This Row],[New Arrival (vobanipur)]]+Stock_year[[#This Row],[Ulukhola to Vobanipur Transfer]]</calculatedColumnFormula>
    </tableColumn>
    <tableColumn id="9" xr3:uid="{9B7A51FE-A86C-4CA4-BE47-C964F31404D0}" name="Ulukhola Total" dataDxfId="482" dataCellStyle="Comma">
      <calculatedColumnFormula>Stock_year[[#This Row],[Ulukhola Opening]]+Stock_year[[#This Row],[New Arrival(ulukhola)]]-Stock_year[[#This Row],[Ulukhola to Vobanipur Transfer]]</calculatedColumnFormula>
    </tableColumn>
    <tableColumn id="12" xr3:uid="{ADAD2D41-4055-4CDB-B237-E72B37D45E9B}" name="Total Unit" dataDxfId="481" dataCellStyle="Comma">
      <calculatedColumnFormula>Stock_year[[#This Row],[Opening Stock (Piece)]]+Stock_year[[#This Row],[New Arrival(ulukhola)]]</calculatedColumnFormula>
    </tableColumn>
    <tableColumn id="13" xr3:uid="{9A875F0C-6FCD-4CFC-865E-575EBAA847E4}" name="Sold Qty(Piece)" dataDxfId="480" dataCellStyle="Comma">
      <calculatedColumnFormula>SUMIFS(Primary_Order[Total Qty],Primary_Order[Date],"&gt;="&amp;C$1,Primary_Order[Date],"&lt;="&amp;EOMONTH(C$1,0),Primary_Order[Product ID],Stock_year[[#This Row],[SKU ID]],Primary_Order[Status],'Stock Report'!$A$1)</calculatedColumnFormula>
    </tableColumn>
    <tableColumn id="14" xr3:uid="{3BA5AB13-FDB4-49E2-A80E-C01413150612}" name="Closing Stock Vobanipur" dataDxfId="479" dataCellStyle="Comma">
      <calculatedColumnFormula>Stock_year[[#This Row],[Vobanipur Total]]-Stock_year[[#This Row],[Sold Qty(Piece)]]</calculatedColumnFormula>
    </tableColumn>
    <tableColumn id="10" xr3:uid="{217B9EF5-2CF4-4AAA-9D8D-119FFB5D7E37}" name="Closing Stock Ulukhola" dataDxfId="478" dataCellStyle="Comma">
      <calculatedColumnFormula>Stock_year[[#This Row],[Ulukhola Opening]]-Stock_year[[#This Row],[Ulukhola to Vobanipur Transfer]]+Stock_year[[#This Row],[New Arrival(ulukhola)]]</calculatedColumnFormula>
    </tableColumn>
    <tableColumn id="19" xr3:uid="{E9B0A311-47D2-42A7-957A-19D32A529FD8}" name="Total Closing Stock Value" dataDxfId="477" dataCellStyle="Comma">
      <calculatedColumnFormula>Stock_year[[#This Row],[Ulukhola Total]]</calculatedColumnFormula>
    </tableColumn>
    <tableColumn id="15" xr3:uid="{A713CD33-9F82-42DF-B6CA-8D04D8729B62}" name="Opening Damage Unit" dataDxfId="476" dataCellStyle="Comma"/>
    <tableColumn id="16" xr3:uid="{DE4A98DA-6D5C-4342-91AA-1C851E04D441}" name="Closing Damage unit" dataDxfId="475" dataCellStyle="Comma">
      <calculatedColumnFormula>Stock_year[[#This Row],[Opening Damage Unit]]-SUMIFS(Primary_Order[Total Qty],Primary_Order[Date],"&gt;="&amp;C$1,Primary_Order[Date],"&lt;="&amp;EOMONTH(C$1,0),Primary_Order[Product ID],Stock_year[[#This Row],[SKU ID]],Primary_Order[Status],"DMG-Sold")</calculatedColumnFormula>
    </tableColumn>
    <tableColumn id="17" xr3:uid="{44456A6E-96A6-4295-8ABD-61F029F7CCB3}" name="Vobanipur Opening2" dataDxfId="474" dataCellStyle="Comma">
      <calculatedColumnFormula>Stock_year[[#This Row],[Closing Stock Vobanipur]]</calculatedColumnFormula>
    </tableColumn>
    <tableColumn id="20" xr3:uid="{8BF63CA6-0A46-418D-86BA-5DC7C2218F17}" name="Ulukhola Opening2" dataDxfId="473" dataCellStyle="Comma">
      <calculatedColumnFormula>Stock_year[[#This Row],[Closing Stock Ulukhola]]</calculatedColumnFormula>
    </tableColumn>
    <tableColumn id="21" xr3:uid="{C2166450-F00C-4BE8-9AB9-0E63D822E91C}" name="Opening Stock (Piece)2" dataDxfId="472" dataCellStyle="Comma">
      <calculatedColumnFormula>Stock_year[[#This Row],[Vobanipur Opening2]]+Stock_year[[#This Row],[Ulukhola Opening2]]</calculatedColumnFormula>
    </tableColumn>
    <tableColumn id="22" xr3:uid="{701DE72A-E3D6-4B4D-AAF4-14CB8EED9ABA}" name="Opening Stock (Ltr)2" dataDxfId="471" dataCellStyle="Comma">
      <calculatedColumnFormula>VLOOKUP(Stock_year[[#This Row],[SKU ID]],SKU[[SKU ID]:[Bottle Size(Ltr)]],6,0)*Stock_year[[#This Row],[Opening Stock (Piece)2]]</calculatedColumnFormula>
    </tableColumn>
    <tableColumn id="23" xr3:uid="{B88DAB7C-851E-49C8-9FBD-53A4B2CD11BF}" name="Ulukhola to Vobanipur Transfer2" dataDxfId="470" dataCellStyle="Comma"/>
    <tableColumn id="24" xr3:uid="{AC481C5F-6A0B-44BD-8A9C-0AAC2B968C40}" name="New Arrival (vobanipur)2" dataDxfId="469" dataCellStyle="Comma"/>
    <tableColumn id="25" xr3:uid="{C07CF55E-DFC4-43DF-A17E-FFA76CFCD4FB}" name="New Arrival(ulukhola)2" dataDxfId="468" dataCellStyle="Comma"/>
    <tableColumn id="26" xr3:uid="{EFB868FF-58FC-419A-9D80-A8C7DADB556A}" name="Vobanipur Total2" dataDxfId="467" dataCellStyle="Comma">
      <calculatedColumnFormula>Stock_year[[#This Row],[Vobanipur Opening2]]+Stock_year[[#This Row],[Ulukhola to Vobanipur Transfer2]]+Stock_year[[#This Row],[New Arrival (vobanipur)2]]</calculatedColumnFormula>
    </tableColumn>
    <tableColumn id="27" xr3:uid="{2D0DB2F8-CAB8-4DB1-9883-5ECE4EE71D65}" name="Ulukhola Total2" dataDxfId="466" dataCellStyle="Comma">
      <calculatedColumnFormula>Stock_year[[#This Row],[Ulukhola Opening2]]-Stock_year[[#This Row],[Ulukhola to Vobanipur Transfer2]]+Stock_year[[#This Row],[New Arrival(ulukhola)2]]</calculatedColumnFormula>
    </tableColumn>
    <tableColumn id="28" xr3:uid="{FA270019-0B56-4FAB-A1DB-7E8C7D1A44B1}" name="Total Unit2" dataDxfId="465" dataCellStyle="Comma">
      <calculatedColumnFormula>Stock_year[[#This Row],[Vobanipur Total2]]+Stock_year[[#This Row],[Ulukhola Total2]]</calculatedColumnFormula>
    </tableColumn>
    <tableColumn id="29" xr3:uid="{4263EBFB-B710-4C02-A0B6-3EA6EDC4B08E}" name="Sold Qty(Piece)2" dataDxfId="464" dataCellStyle="Comma">
      <calculatedColumnFormula>SUMIFS(Primary_Order[Total Qty],Primary_Order[Date],"&gt;="&amp;S$1,Primary_Order[Date],"&lt;="&amp;EOMONTH(S$1,0),Primary_Order[Product ID],Stock_year[[#This Row],[SKU ID]],Primary_Order[Status],'Stock Report'!$A$1)</calculatedColumnFormula>
    </tableColumn>
    <tableColumn id="30" xr3:uid="{A11E1CFD-E4D2-446F-8DAB-F38738270A58}" name="Closing Stock Vobanipur2" dataDxfId="463" dataCellStyle="Comma">
      <calculatedColumnFormula>Stock_year[[#This Row],[Vobanipur Total2]]-Stock_year[[#This Row],[Sold Qty(Piece)2]]</calculatedColumnFormula>
    </tableColumn>
    <tableColumn id="31" xr3:uid="{B4D081C8-3EB7-4A95-9FCE-D22580A99460}" name="Closing Stock Ulukhola2" dataDxfId="462" dataCellStyle="Comma">
      <calculatedColumnFormula>Stock_year[[#This Row],[Ulukhola Opening2]]-Stock_year[[#This Row],[Ulukhola to Vobanipur Transfer2]]+Stock_year[[#This Row],[New Arrival(ulukhola)2]]</calculatedColumnFormula>
    </tableColumn>
    <tableColumn id="32" xr3:uid="{5153D1EE-32F3-4E74-A33A-7F1211F18729}" name="Total Closing Stock Value2" dataDxfId="461" dataCellStyle="Comma">
      <calculatedColumnFormula>VLOOKUP(Stock_year[[#This Row],[SKU ID]],SKU[],14,0)*(Stock_year[[#This Row],[Closing Stock Vobanipur2]]+Stock_year[[#This Row],[Closing Stock Ulukhola2]])</calculatedColumnFormula>
    </tableColumn>
    <tableColumn id="33" xr3:uid="{914A31D9-BBB6-40F8-90BB-7717EB032401}" name="Opening Damage Unit2" dataDxfId="460" dataCellStyle="Comma">
      <calculatedColumnFormula>OFFSET(Stock_year[[#This Row],[Total Closing Stock Value2]],0,-14)</calculatedColumnFormula>
    </tableColumn>
    <tableColumn id="34" xr3:uid="{A892388C-04BA-4AB9-B933-E0C20333E028}" name="Closing Damage unit2" dataDxfId="459" dataCellStyle="Comma">
      <calculatedColumnFormula>Stock_year[[#This Row],[Opening Damage Unit2]]-SUMIFS(Primary_Order[Total Qty],Primary_Order[Date],"&gt;="&amp;S$1,Primary_Order[Date],"&lt;="&amp;EOMONTH(S$1,0),Primary_Order[Product ID],Stock_year[[#This Row],[SKU ID]],Primary_Order[Status],"DMG-Sold")</calculatedColumnFormula>
    </tableColumn>
    <tableColumn id="35" xr3:uid="{89568F3A-2349-43F5-AB50-9380A1B6AD9F}" name="Vobanipur Opening3" dataDxfId="458" dataCellStyle="Comma">
      <calculatedColumnFormula>Stock_year[[#This Row],[Closing Stock Vobanipur2]]</calculatedColumnFormula>
    </tableColumn>
    <tableColumn id="36" xr3:uid="{849F17B9-3B56-4A6B-93DF-078477067B1B}" name="Ulukhola Opening3" dataDxfId="457" dataCellStyle="Comma">
      <calculatedColumnFormula>Stock_year[[#This Row],[Closing Stock Ulukhola2]]</calculatedColumnFormula>
    </tableColumn>
    <tableColumn id="37" xr3:uid="{3CDC84E0-EBF6-465A-B856-A0CAE489FC6D}" name="Opening Stock (Piece)3" dataDxfId="456" dataCellStyle="Comma">
      <calculatedColumnFormula>Stock_year[[#This Row],[Vobanipur Opening3]]+Stock_year[[#This Row],[Ulukhola Opening3]]</calculatedColumnFormula>
    </tableColumn>
    <tableColumn id="38" xr3:uid="{F6DA8B7F-5DAD-4AD3-85A4-4CF693458C63}" name="Opening Stock (Ltr)3" dataDxfId="455" dataCellStyle="Comma">
      <calculatedColumnFormula>VLOOKUP(Stock_year[[#This Row],[SKU ID]],SKU[[SKU ID]:[Bottle Size(Ltr)]],6,0)*Stock_year[[#This Row],[Opening Stock (Piece)3]]</calculatedColumnFormula>
    </tableColumn>
    <tableColumn id="39" xr3:uid="{B8EFAB8A-0E28-42F7-993B-E736736C955A}" name="Ulukhola to Vobanipur Transfer3" dataDxfId="454" dataCellStyle="Comma"/>
    <tableColumn id="40" xr3:uid="{9C9F4075-4CA2-407C-89A6-0DF185D55318}" name="New Arrival (vobanipur)3" dataDxfId="453" dataCellStyle="Comma"/>
    <tableColumn id="41" xr3:uid="{4EA1D5FD-6350-4AFE-B9A9-99482ED5911A}" name="New Arrival(ulukhola)3" dataDxfId="452" dataCellStyle="Comma"/>
    <tableColumn id="42" xr3:uid="{0736E735-C814-4E3C-B694-22CA243B8984}" name="Vobanipur Total3" dataDxfId="451" dataCellStyle="Comma">
      <calculatedColumnFormula>Stock_year[[#This Row],[Vobanipur Opening3]]+Stock_year[[#This Row],[New Arrival (vobanipur)3]]+Stock_year[[#This Row],[Ulukhola to Vobanipur Transfer3]]</calculatedColumnFormula>
    </tableColumn>
    <tableColumn id="43" xr3:uid="{E5102048-8095-4682-BF53-FF16DCE01596}" name="Ulukhola Total3" dataDxfId="450" dataCellStyle="Comma">
      <calculatedColumnFormula>Stock_year[[#This Row],[Ulukhola Opening3]]-Stock_year[[#This Row],[Ulukhola to Vobanipur Transfer3]]+Stock_year[[#This Row],[New Arrival(ulukhola)3]]</calculatedColumnFormula>
    </tableColumn>
    <tableColumn id="44" xr3:uid="{1500577B-5E6A-4573-A2E1-A27419021F3C}" name="Total Unit3" dataDxfId="449" dataCellStyle="Comma">
      <calculatedColumnFormula>Stock_year[[#This Row],[Vobanipur Total3]]+Stock_year[[#This Row],[Ulukhola Total3]]</calculatedColumnFormula>
    </tableColumn>
    <tableColumn id="45" xr3:uid="{051CAAEE-0C7F-43B8-8E60-4F03F37D5899}" name="Sold Qty(Piece)3" dataDxfId="448" dataCellStyle="Comma">
      <calculatedColumnFormula>SUMIFS(Primary_Order[Total Qty],Primary_Order[Date],"&gt;="&amp;AI$1,Primary_Order[Date],"&lt;="&amp;EOMONTH(AI$1,0),Primary_Order[Product ID],Stock_year[[#This Row],[SKU ID]],Primary_Order[Status],'Stock Report'!$A$1)</calculatedColumnFormula>
    </tableColumn>
    <tableColumn id="46" xr3:uid="{2F1997B7-F656-4C68-9334-876891088029}" name="Closing Stock Vobanipur3" dataDxfId="447" dataCellStyle="Comma">
      <calculatedColumnFormula>Stock_year[[#This Row],[Vobanipur Total3]]-Stock_year[[#This Row],[Sold Qty(Piece)3]]</calculatedColumnFormula>
    </tableColumn>
    <tableColumn id="47" xr3:uid="{2B924ADA-ECB9-4F51-9189-66762428629F}" name="Closing Stock Ulukhola3" dataDxfId="446" dataCellStyle="Comma">
      <calculatedColumnFormula>Stock_year[[#This Row],[Ulukhola Total3]]</calculatedColumnFormula>
    </tableColumn>
    <tableColumn id="48" xr3:uid="{B2413240-E552-4F0D-BF4B-D89A56D98376}" name="Total Closing Stock Value3" dataDxfId="445" dataCellStyle="Comma">
      <calculatedColumnFormula>VLOOKUP(Stock_year[[#This Row],[SKU ID]],SKU[],14,0)*(Stock_year[[#This Row],[Closing Stock Vobanipur3]]+Stock_year[[#This Row],[Closing Stock Ulukhola3]])</calculatedColumnFormula>
    </tableColumn>
    <tableColumn id="49" xr3:uid="{309D4178-1212-4306-B22F-8D7ADC6F5DE4}" name="Opening Damage Unit3" dataDxfId="444" dataCellStyle="Comma">
      <calculatedColumnFormula>Stock_year[[#This Row],[Closing Damage unit2]]</calculatedColumnFormula>
    </tableColumn>
    <tableColumn id="50" xr3:uid="{862CF79A-9D1F-4B16-800B-96F141C27EBA}" name="Closing Damage unit3" dataDxfId="443" dataCellStyle="Comma">
      <calculatedColumnFormula>Stock_year[[#This Row],[Opening Damage Unit3]]-SUMIFS(Primary_Order[Total Qty],Primary_Order[Date],"&gt;="&amp;AI$1,Primary_Order[Date],"&lt;="&amp;EOMONTH(AI$1,0),Primary_Order[Product ID],Stock_year[[#This Row],[SKU ID]],Primary_Order[Status],"DMG-Sold")</calculatedColumnFormula>
    </tableColumn>
    <tableColumn id="51" xr3:uid="{A6DF4302-2C7B-4440-8E19-DFD2E470C340}" name="Vobanipur Opening4" dataDxfId="442" dataCellStyle="Comma">
      <calculatedColumnFormula>Stock_year[[#This Row],[Closing Stock Vobanipur3]]</calculatedColumnFormula>
    </tableColumn>
    <tableColumn id="52" xr3:uid="{41E591C4-1BB3-4EBF-BF12-BADF129B07E0}" name="Ulukhola Opening4" dataDxfId="441" dataCellStyle="Comma">
      <calculatedColumnFormula>Stock_year[[#This Row],[Closing Stock Ulukhola3]]</calculatedColumnFormula>
    </tableColumn>
    <tableColumn id="53" xr3:uid="{C0AC37D6-3CB9-4DDB-9061-FEDB0CBD9F02}" name="Opening Stock (Piece)4" dataDxfId="440" dataCellStyle="Comma">
      <calculatedColumnFormula>Stock_year[[#This Row],[Vobanipur Opening4]]+Stock_year[[#This Row],[Ulukhola Opening4]]</calculatedColumnFormula>
    </tableColumn>
    <tableColumn id="54" xr3:uid="{5FCEB73C-51EB-4099-8400-C37D95795AA9}" name="Opening Stock (Ltr)4" dataDxfId="439" dataCellStyle="Comma">
      <calculatedColumnFormula>VLOOKUP(Stock_year[[#This Row],[SKU ID]],SKU[[SKU ID]:[Bottle Size(Ltr)]],6,0)*Stock_year[[#This Row],[Opening Stock (Piece)4]]</calculatedColumnFormula>
    </tableColumn>
    <tableColumn id="55" xr3:uid="{CF04007D-B1BA-4B42-BAA0-9ECAA5CFA546}" name="Ulukhola to Vobanipur Transfer4" dataDxfId="438" dataCellStyle="Comma"/>
    <tableColumn id="56" xr3:uid="{5B17E8FB-1116-4673-B652-2156C8A41E4E}" name="New Arrival (vobanipur)4" dataDxfId="437" dataCellStyle="Comma"/>
    <tableColumn id="57" xr3:uid="{55E97513-B5B8-4BAC-A4C6-4BDA50299303}" name="New Arrival(ulukhola)4" dataDxfId="436" dataCellStyle="Comma"/>
    <tableColumn id="58" xr3:uid="{1A21EFCD-D381-431C-A960-2A744AFBE0EF}" name="Vobanipur Total4" dataDxfId="435" dataCellStyle="Comma">
      <calculatedColumnFormula>Stock_year[[#This Row],[Vobanipur Opening4]]+Stock_year[[#This Row],[New Arrival (vobanipur)4]]+Stock_year[[#This Row],[Ulukhola to Vobanipur Transfer4]]</calculatedColumnFormula>
    </tableColumn>
    <tableColumn id="59" xr3:uid="{CFB221DB-36E9-4167-932B-39436025246B}" name="Ulukhola Total4" dataDxfId="434" dataCellStyle="Comma">
      <calculatedColumnFormula>Stock_year[[#This Row],[Ulukhola Opening4]]-Stock_year[[#This Row],[Ulukhola to Vobanipur Transfer4]]+Stock_year[[#This Row],[New Arrival(ulukhola)4]]</calculatedColumnFormula>
    </tableColumn>
    <tableColumn id="60" xr3:uid="{FEDBAC9C-7E8B-41EE-A8D9-9AE7E9E24DB1}" name="Total Unit4" dataDxfId="433" dataCellStyle="Comma">
      <calculatedColumnFormula>Stock_year[[#This Row],[Vobanipur Total4]]+Stock_year[[#This Row],[Ulukhola Total4]]</calculatedColumnFormula>
    </tableColumn>
    <tableColumn id="61" xr3:uid="{2A5A5A90-904B-4521-9BA4-A24D63390043}" name="Sold Qty(Piece)4" dataDxfId="432" dataCellStyle="Comma">
      <calculatedColumnFormula>SUMIFS(Primary_Order[Total Qty],Primary_Order[Date],"&gt;="&amp;AY$1,Primary_Order[Date],"&lt;="&amp;EOMONTH(AY$1,0),Primary_Order[Product ID],Stock_year[[#This Row],[SKU ID]],Primary_Order[Status],'Stock Report'!$A$1)</calculatedColumnFormula>
    </tableColumn>
    <tableColumn id="62" xr3:uid="{6B269BBD-8947-4B13-A284-664EC5AD0D82}" name="Closing Stock Vobanipur4" dataDxfId="431" dataCellStyle="Comma">
      <calculatedColumnFormula>Stock_year[[#This Row],[Vobanipur Total4]]-Stock_year[[#This Row],[Sold Qty(Piece)4]]</calculatedColumnFormula>
    </tableColumn>
    <tableColumn id="63" xr3:uid="{7ACF9643-EF1C-4DF7-ACD9-6357C884BC50}" name="Closing Stock Ulukhola4" dataDxfId="430" dataCellStyle="Comma">
      <calculatedColumnFormula>Stock_year[[#This Row],[Ulukhola Total4]]</calculatedColumnFormula>
    </tableColumn>
    <tableColumn id="64" xr3:uid="{14C9FD5D-D159-4B94-B3DF-E1C4C46EEB0F}" name="Total Closing Stock Value4" dataDxfId="429" dataCellStyle="Comma">
      <calculatedColumnFormula>VLOOKUP(Stock_year[[#This Row],[SKU ID]],SKU[],14,0)*(Stock_year[[#This Row],[Closing Stock Vobanipur4]]+Stock_year[[#This Row],[Closing Stock Ulukhola4]])</calculatedColumnFormula>
    </tableColumn>
    <tableColumn id="65" xr3:uid="{BA34C101-896B-42F1-A7BD-814B2462A1A2}" name="Opening Damage Unit4" dataDxfId="428" dataCellStyle="Comma">
      <calculatedColumnFormula>Stock_year[[#This Row],[Closing Damage unit3]]</calculatedColumnFormula>
    </tableColumn>
    <tableColumn id="66" xr3:uid="{23FCAF2B-BDC3-4AA8-BA36-2F3E7062DCCA}" name="Closing Damage unit4" dataDxfId="427" dataCellStyle="Comma">
      <calculatedColumnFormula>Stock_year[[#This Row],[Opening Damage Unit4]]-SUMIFS(Primary_Order[Total Qty],Primary_Order[Date],"&gt;="&amp;AY$1,Primary_Order[Date],"&lt;="&amp;EOMONTH(AY$1,0),Primary_Order[Product ID],Stock_year[[#This Row],[SKU ID]],Primary_Order[Status],"DMG-Sold")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F4EBB9-AC14-44D2-972E-83EFDD892899}" name="SKU_wise" displayName="SKU_wise" ref="A93:K156" headerRowDxfId="426" dataDxfId="424" totalsRowDxfId="422" headerRowBorderDxfId="425" tableBorderDxfId="423" totalsRowBorderDxfId="421">
  <autoFilter ref="A93:K156" xr:uid="{73F4EBB9-AC14-44D2-972E-83EFDD892899}">
    <filterColumn colId="5">
      <filters>
        <filter val="1,108"/>
        <filter val="1,440"/>
        <filter val="1,776"/>
        <filter val="100"/>
        <filter val="2"/>
        <filter val="230"/>
        <filter val="24"/>
        <filter val="240"/>
        <filter val="25,500"/>
        <filter val="265"/>
        <filter val="301"/>
        <filter val="380"/>
        <filter val="440"/>
        <filter val="5,020"/>
        <filter val="5,630"/>
        <filter val="540"/>
        <filter val="565"/>
        <filter val="6,652"/>
        <filter val="600"/>
        <filter val="601"/>
        <filter val="619"/>
        <filter val="696"/>
        <filter val="760"/>
        <filter val="8"/>
        <filter val="944"/>
      </filters>
    </filterColumn>
  </autoFilter>
  <tableColumns count="11">
    <tableColumn id="1" xr3:uid="{9E5588D5-1018-4E85-AC91-62F9CE665AEE}" name="SKU ID" totalsRowLabel="Total" dataDxfId="420" totalsRowDxfId="419"/>
    <tableColumn id="2" xr3:uid="{E2C78343-586F-4D69-8EE8-BD5C3EBC8662}" name="Product with Pack Size" dataDxfId="418" totalsRowDxfId="417"/>
    <tableColumn id="3" xr3:uid="{6C01448E-01A5-43DE-A851-1E9836297850}" name="Volume(Ltr)" dataDxfId="416" totalsRowDxfId="415" dataCellStyle="Comma">
      <calculatedColumnFormula>SUMIFS(Primary_Order[Total Volume],Primary_Order[Date],$C$5,Primary_Order[Product ID],SKU_wise[[#This Row],[SKU ID]],Primary_Order[Status],'Stock Report'!$A$1)</calculatedColumnFormula>
    </tableColumn>
    <tableColumn id="4" xr3:uid="{85E43AD0-0769-457B-9334-25C7789B5DB9}" name="Revenue" dataDxfId="414" totalsRowDxfId="413" dataCellStyle="Comma">
      <calculatedColumnFormula>SUMIFS(Primary_Order[Net Total(-15%)],Primary_Order[Date],$C$5,Primary_Order[Product ID],SKU_wise[[#This Row],[SKU ID]],Primary_Order[Status],'Stock Report'!$A$1)</calculatedColumnFormula>
    </tableColumn>
    <tableColumn id="5" xr3:uid="{061C7E11-CE3A-4BCD-B58E-56DAFD2D0CAD}" name="Rev/Ltr" totalsRowFunction="average" dataDxfId="412" dataCellStyle="Comma">
      <calculatedColumnFormula>IFERROR(D94/C94,0)</calculatedColumnFormula>
    </tableColumn>
    <tableColumn id="6" xr3:uid="{56E04D85-0BE0-434A-8566-3B9CD69DF50F}" name="Volume(Ltr)." dataDxfId="411" totalsRowDxfId="410" dataCellStyle="Comma">
      <calculatedColumnFormula>SUMIFS(Primary_Order[Total Volume],Primary_Order[Date],"&gt;="&amp;DATE(YEAR($C$5),MONTH($C$5),1),Primary_Order[Date],"&lt;="&amp;$C$5,Primary_Order[Product ID],SKU_wise[[#This Row],[SKU ID]],Primary_Order[Status],'Stock Report'!$A$1)</calculatedColumnFormula>
    </tableColumn>
    <tableColumn id="7" xr3:uid="{B5B13E0D-51AE-4506-9F8B-C7D0AF7F7B63}" name="Revenue." dataDxfId="409" totalsRowDxfId="408" dataCellStyle="Comma">
      <calculatedColumnFormula>SUMIFS(Primary_Order[Net Total(-15%)],Primary_Order[Date],"&gt;="&amp;DATE(YEAR($C$5),MONTH($C$5),1),Primary_Order[Date],"&lt;="&amp;$C$5,Primary_Order[Product ID],SKU_wise[[#This Row],[SKU ID]],Primary_Order[Status],'Stock Report'!$A$1)</calculatedColumnFormula>
    </tableColumn>
    <tableColumn id="8" xr3:uid="{C5C9BF4A-EE71-4F55-B7EC-1DFEA65C80B6}" name="Rev/Ltr." totalsRowFunction="average" dataDxfId="407" totalsRowDxfId="406" dataCellStyle="Comma">
      <calculatedColumnFormula>IFERROR(SKU_wise[[#This Row],[Revenue.]]/SKU_wise[[#This Row],[Volume(Ltr).]],0)</calculatedColumnFormula>
    </tableColumn>
    <tableColumn id="9" xr3:uid="{3D7965D4-DEB1-4032-A2D3-42BA7C405075}" name="Volume(Ltr)`" totalsRowFunction="sum" dataDxfId="405" totalsRowDxfId="404" dataCellStyle="Comma">
      <calculatedColumnFormula>SUMIFS(Primary_Order[Total Volume],Primary_Order[Date],"&gt;="&amp;DATE(YEAR($C$5),1,1),Primary_Order[Date],"&lt;="&amp;$C$5,Primary_Order[Product ID],SKU_wise[[#This Row],[SKU ID]],Primary_Order[Status],'Stock Report'!$A$1)</calculatedColumnFormula>
    </tableColumn>
    <tableColumn id="10" xr3:uid="{E0F82AAE-A3FF-4041-AE1E-52966D9CA6FB}" name="Revenue`" totalsRowFunction="sum" dataDxfId="403" totalsRowDxfId="402" dataCellStyle="Comma">
      <calculatedColumnFormula>SUMIFS(Primary_Order[Net Total(-15%)],Primary_Order[Date],"&gt;="&amp;DATE(YEAR($C$5),1,1),Primary_Order[Date],"&lt;="&amp;$C$5,Primary_Order[Product ID],SKU_wise[[#This Row],[SKU ID]],Primary_Order[Payment Type],"&lt;&gt;Free",Primary_Order[Status],'Stock Report'!$A$1)</calculatedColumnFormula>
    </tableColumn>
    <tableColumn id="11" xr3:uid="{6C8CB3AC-4793-420C-8753-963C47BABDD3}" name="Rev/Ltr`" totalsRowFunction="average" dataDxfId="401" totalsRowDxfId="400" dataCellStyle="Comma">
      <calculatedColumnFormula>IFERROR(SKU_wise[[#This Row],[Revenue`]]/SKU_wise[[#This Row],[Volume(Ltr)`]],0)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4427D7E-37F8-45BF-875A-DB8150D4BC34}" name="Dealer_wise" displayName="Dealer_wise" ref="A23:K88" totalsRowShown="0" headerRowDxfId="399" dataDxfId="398" tableBorderDxfId="397">
  <autoFilter ref="A23:K88" xr:uid="{C4427D7E-37F8-45BF-875A-DB8150D4BC34}">
    <filterColumn colId="5">
      <filters>
        <filter val="1,444"/>
        <filter val="14,040"/>
        <filter val="2,472"/>
        <filter val="2,492"/>
        <filter val="2,636"/>
        <filter val="2,660"/>
        <filter val="200"/>
        <filter val="25,719"/>
        <filter val="300"/>
        <filter val="380"/>
        <filter val="603"/>
        <filter val="700"/>
        <filter val="736"/>
      </filters>
    </filterColumn>
  </autoFilter>
  <tableColumns count="11">
    <tableColumn id="1" xr3:uid="{622DA541-DC53-4CED-BA68-9D8986F53B0E}" name="ID" dataDxfId="396"/>
    <tableColumn id="2" xr3:uid="{4FF5F5DA-6DBC-403D-8CB8-54B3F5D2AD0B}" name="Dealers" dataDxfId="395"/>
    <tableColumn id="3" xr3:uid="{655EBCEC-554B-429A-A8E4-E029E550F9E6}" name="Volume(Ltr)" dataDxfId="394" dataCellStyle="Comma">
      <calculatedColumnFormula>SUMIFS(Primary_Order[Total Volume],Primary_Order[Date],$C$5,Primary_Order[MMD],B24)</calculatedColumnFormula>
    </tableColumn>
    <tableColumn id="4" xr3:uid="{DCD7EDAA-E375-4243-8E70-20AD231C768F}" name="Revenue" dataDxfId="393" dataCellStyle="Comma">
      <calculatedColumnFormula>SUMIFS(Primary_Order[Net Total(-15%)],Primary_Order[Date],$C$5,Primary_Order[MMD],B24)</calculatedColumnFormula>
    </tableColumn>
    <tableColumn id="5" xr3:uid="{AF94DEC6-4CE4-4555-93DD-786B17E361DE}" name="Rev/Ltr" dataDxfId="392" dataCellStyle="Comma">
      <calculatedColumnFormula>IFERROR(Dealer_wise[[#This Row],[Revenue]]/Dealer_wise[[#This Row],[Volume(Ltr)]],0)</calculatedColumnFormula>
    </tableColumn>
    <tableColumn id="6" xr3:uid="{EFA24E78-2FE2-4CB9-8974-8789DB87A5A4}" name="Volume(Ltr)." dataDxfId="391" dataCellStyle="Comma">
      <calculatedColumnFormula>SUMIFS(Primary_Order[Total Volume],Primary_Order[Date],"&gt;="&amp;DATE(YEAR($C$5),MONTH($C$5),1),Primary_Order[Date],"&lt;="&amp;$C$5,Primary_Order[MMD],B24)</calculatedColumnFormula>
    </tableColumn>
    <tableColumn id="7" xr3:uid="{464DFCBC-D077-44F1-8A68-BCB9F7E339A3}" name="Revenue." dataDxfId="390" dataCellStyle="Comma">
      <calculatedColumnFormula>SUMIFS(Primary_Order[Net Total(-15%)],Primary_Order[Date],"&gt;="&amp;DATE(YEAR($C$5),MONTH($C$5),1),Primary_Order[Date],"&lt;="&amp;$C$5,Primary_Order[MMD],B24)</calculatedColumnFormula>
    </tableColumn>
    <tableColumn id="8" xr3:uid="{A198601A-5522-4097-8D47-8526D28CAAE3}" name="Rev/Ltr." dataDxfId="389" dataCellStyle="Comma">
      <calculatedColumnFormula>IFERROR(Dealer_wise[[#This Row],[Revenue.]]/Dealer_wise[[#This Row],[Volume(Ltr).]],0)</calculatedColumnFormula>
    </tableColumn>
    <tableColumn id="9" xr3:uid="{8339E97D-4FFE-4A81-9339-D7E1D42C3F9A}" name="Volume(Ltr)`" dataDxfId="388" dataCellStyle="Comma">
      <calculatedColumnFormula>SUMIFS(Primary_Order[Total Volume],Primary_Order[Date],"&gt;="&amp;DATE(YEAR($C$5),1,1),Primary_Order[Date],"&lt;="&amp;$C$5,Primary_Order[MMD],B24)</calculatedColumnFormula>
    </tableColumn>
    <tableColumn id="10" xr3:uid="{410233FD-BB06-4B87-81B4-F723395E5B27}" name="Revenue`" dataDxfId="387" dataCellStyle="Comma">
      <calculatedColumnFormula>SUMIFS(Primary_Order[Net Total(-15%)],Primary_Order[Date],"&gt;="&amp;DATE(YEAR($C$5),1,1),Primary_Order[Date],"&lt;="&amp;$C$5,Primary_Order[MMD],B24,Primary_Order[Payment Type],"&lt;&gt;Free")</calculatedColumnFormula>
    </tableColumn>
    <tableColumn id="11" xr3:uid="{2A817D22-69FF-4A21-B2DA-A677E61CE775}" name="Rev/Ltr`" dataDxfId="386" dataCellStyle="Comma">
      <calculatedColumnFormula>IFERROR(Dealer_wise[[#This Row],[Revenue`]]/Dealer_wise[[#This Row],[Volume(Ltr)`]],0)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9B3C9-CFDD-4ADE-99E7-D2EDFFB28710}" name="Area_wise" displayName="Area_wise" ref="B13:K18" totalsRowShown="0" headerRowDxfId="385" dataDxfId="384" tableBorderDxfId="383">
  <autoFilter ref="B13:K18" xr:uid="{E139B3C9-CFDD-4ADE-99E7-D2EDFFB28710}">
    <filterColumn colId="4">
      <filters>
        <filter val="2,472"/>
        <filter val="3,528"/>
        <filter val="3,843"/>
        <filter val="44,840"/>
      </filters>
    </filterColumn>
  </autoFilter>
  <tableColumns count="10">
    <tableColumn id="1" xr3:uid="{3A0FADB1-4B34-49C0-9119-E14AE7F2792E}" name="AM/Others" dataDxfId="382"/>
    <tableColumn id="2" xr3:uid="{77C550D4-082A-4BF2-8DF7-C68283138131}" name="Volume(Ltr)" dataDxfId="381" dataCellStyle="Comma">
      <calculatedColumnFormula>SUMIFS(Primary_Order[Total Volume],Primary_Order[Date],$C$5,Primary_Order[AM],Area_wise[[#This Row],[AM/Others]],Primary_Order[Status],'Stock Report'!$A$1)</calculatedColumnFormula>
    </tableColumn>
    <tableColumn id="3" xr3:uid="{03E55D00-A128-4765-A8CA-910A62E678A1}" name="Revenue" dataDxfId="380" dataCellStyle="Comma">
      <calculatedColumnFormula>SUMIFS(Primary_Order[Net Total(-15%)],Primary_Order[Date],$C$5,Primary_Order[AM],Area_wise[[#This Row],[AM/Others]],Primary_Order[Status],'Stock Report'!$A$1)</calculatedColumnFormula>
    </tableColumn>
    <tableColumn id="4" xr3:uid="{AFFD55DD-4385-4DA4-AA4E-0D38A2232EF2}" name="Rev/Ltr" dataDxfId="379" dataCellStyle="Comma">
      <calculatedColumnFormula>IFERROR(Area_wise[[#This Row],[Revenue]]/Area_wise[[#This Row],[Volume(Ltr)]],0)</calculatedColumnFormula>
    </tableColumn>
    <tableColumn id="5" xr3:uid="{E3B6D5F3-26B1-4945-9406-4C51141BC6B4}" name="Volume(Ltr)." dataDxfId="378" dataCellStyle="Comma">
      <calculatedColumnFormula>SUMIFS(Primary_Order[Total Volume],Primary_Order[Date],"&gt;="&amp;DATE(YEAR($C$5),MONTH($C$5),1),Primary_Order[Date],"&lt;="&amp;$C$5,Primary_Order[AM],Area_wise[[#This Row],[AM/Others]],Primary_Order[Status],'Stock Report'!$A$1)</calculatedColumnFormula>
    </tableColumn>
    <tableColumn id="6" xr3:uid="{5A35C053-3A50-4C28-801D-5161A21E1A77}" name="Revenue." dataDxfId="377" dataCellStyle="Comma">
      <calculatedColumnFormula>SUMIFS(Primary_Order[Net Total(-15%)],Primary_Order[Date],"&gt;="&amp;DATE(YEAR($C$5),MONTH($C$5),1),Primary_Order[Date],"&lt;="&amp;$C$5,Primary_Order[AM],Area_wise[[#This Row],[AM/Others]],Primary_Order[Status],'Stock Report'!$A$1)</calculatedColumnFormula>
    </tableColumn>
    <tableColumn id="7" xr3:uid="{81ADAFFE-FFAE-4893-B17A-CC3B70322973}" name="Rev/Ltr." dataDxfId="376" dataCellStyle="Comma">
      <calculatedColumnFormula>IFERROR(Area_wise[[#This Row],[Revenue.]]/Area_wise[[#This Row],[Volume(Ltr).]],0)</calculatedColumnFormula>
    </tableColumn>
    <tableColumn id="8" xr3:uid="{95CF85AF-4403-41A5-9CA1-76C9C606CA2C}" name="Volume(Ltr)`" dataDxfId="375" dataCellStyle="Comma">
      <calculatedColumnFormula>SUMIFS(Primary_Order[Total Volume],Primary_Order[Date],"&gt;="&amp;DATE(YEAR($C$5),1,1),Primary_Order[Date],"&lt;="&amp;$C$5,Primary_Order[AM],Area_wise[[#This Row],[AM/Others]],Primary_Order[Status],'Stock Report'!$A$1)</calculatedColumnFormula>
    </tableColumn>
    <tableColumn id="9" xr3:uid="{FA86E648-9C73-4580-ACC7-7F894D4DF364}" name="Revenue`" dataDxfId="374" dataCellStyle="Comma">
      <calculatedColumnFormula>SUMIFS(Primary_Order[Net Total(-15%)],Primary_Order[Date],"&gt;="&amp;DATE(YEAR($C$5),1,1),Primary_Order[Date],"&lt;="&amp;$C$5,Primary_Order[AM],Area_wise[[#This Row],[AM/Others]])</calculatedColumnFormula>
    </tableColumn>
    <tableColumn id="10" xr3:uid="{E052474D-836E-466E-8189-BDE67ABF5B04}" name="Rev/Ltr`" dataDxfId="373" dataCellStyle="Comma">
      <calculatedColumnFormula>IFERROR(Area_wise[[#This Row],[Revenue`]]/Area_wise[[#This Row],[Volume(Ltr)`]],0)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87F81D-596B-4F56-BBE8-428664FCFC82}" name="Total_Sales" displayName="Total_Sales" ref="B6:K8" totalsRowShown="0" headerRowDxfId="372" dataDxfId="371" tableBorderDxfId="370">
  <autoFilter ref="B6:K8" xr:uid="{E587F81D-596B-4F56-BBE8-428664FCFC82}"/>
  <tableColumns count="10">
    <tableColumn id="1" xr3:uid="{84CEEB4B-DDBA-482A-ACD4-DD09ADE2A912}" name="Type" dataDxfId="369"/>
    <tableColumn id="2" xr3:uid="{47CA490B-9DB8-47D6-B7BA-47CBF0B2BB8B}" name="Volume(Ltr)" dataDxfId="368" dataCellStyle="Comma">
      <calculatedColumnFormula>SUMIFS(Primary_Order[Total Volume],Primary_Order[Date],'Sales Report'!$C$5,Primary_Order[TSM/TSE],"Captive Sales")</calculatedColumnFormula>
    </tableColumn>
    <tableColumn id="3" xr3:uid="{E9C9BEF1-982F-4E93-9C6B-8691FC6CFC3C}" name="Revenue" dataDxfId="367" dataCellStyle="Comma">
      <calculatedColumnFormula>SUMIFS(Primary_Order[Net Total(-15%)],Primary_Order[Date],'Sales Report'!$C$5,Primary_Order[TSM/TSE],"Captive Sales")</calculatedColumnFormula>
    </tableColumn>
    <tableColumn id="4" xr3:uid="{FA2E9F7E-ECCA-4025-89CB-12231C76BE5B}" name="Rev/Ltr" dataDxfId="366" dataCellStyle="Comma">
      <calculatedColumnFormula>IFERROR(Total_Sales[[#This Row],[Revenue]]/Total_Sales[[#This Row],[Volume(Ltr)]],0)</calculatedColumnFormula>
    </tableColumn>
    <tableColumn id="5" xr3:uid="{14F913C5-08A3-4179-AF65-2E75B071B763}" name="Volume(Ltr)." dataDxfId="365" dataCellStyle="Comma">
      <calculatedColumnFormula>SUMIFS(Primary_Order[Total Volume],Primary_Order[Date],"&gt;="&amp;DATE(YEAR($C$5),MONTH($C$5),1),Primary_Order[Date],"&lt;="&amp;$C$5,Primary_Order[TSM/TSE],"Captive Sales")</calculatedColumnFormula>
    </tableColumn>
    <tableColumn id="6" xr3:uid="{F40488BD-5F25-42C3-BEBB-B0D81BEF2589}" name="Revenue." dataDxfId="364" dataCellStyle="Comma">
      <calculatedColumnFormula>SUMIFS(Primary_Order[Net Total(-15%)],Primary_Order[Date],"&gt;="&amp;DATE(YEAR($C$5),MONTH($C$5),1),Primary_Order[Date],"&lt;="&amp;$C$5,Primary_Order[TSM/TSE],"Captive Sales")</calculatedColumnFormula>
    </tableColumn>
    <tableColumn id="7" xr3:uid="{C27B42EA-15A2-4CE2-9413-AFC7770BAB39}" name="Rev/Ltr." dataDxfId="363" dataCellStyle="Comma">
      <calculatedColumnFormula>IFERROR(Total_Sales[[#This Row],[Revenue.]]/Total_Sales[[#This Row],[Volume(Ltr).]],0)</calculatedColumnFormula>
    </tableColumn>
    <tableColumn id="8" xr3:uid="{996455E5-BF7E-4FC7-92C8-390895E21D7A}" name="Volume(Ltr)`" dataDxfId="362" dataCellStyle="Comma">
      <calculatedColumnFormula>SUMIFS(Primary_Order[Total Volume],Primary_Order[Date],"&gt;="&amp;DATE(YEAR($C$5),1,1),Primary_Order[Date],"&lt;="&amp;$C$5,Primary_Order[TSM/TSE],"Captive Sales")</calculatedColumnFormula>
    </tableColumn>
    <tableColumn id="9" xr3:uid="{49155E31-0834-4AF8-8682-48790E7C5261}" name="Revenue`" dataDxfId="361" dataCellStyle="Comma">
      <calculatedColumnFormula>SUMIFS(Primary_Order[Net Total(-15%)],Primary_Order[Date],"&gt;="&amp;DATE(YEAR($C$5),1,1),Primary_Order[Date],"&lt;="&amp;$C$5,Primary_Order[TSM/TSE],"Captive Sales",Primary_Order[Payment Type],"&lt;&gt;Free")</calculatedColumnFormula>
    </tableColumn>
    <tableColumn id="10" xr3:uid="{C755D7A0-546E-4451-906E-F14C09FA9ADB}" name="Rev/Ltr`" dataDxfId="360" dataCellStyle="Comma">
      <calculatedColumnFormula>IFERROR(Total_Sales[[#This Row],[Revenue`]]/Total_Sales[[#This Row],[Volume(Ltr)`]],0)</calculatedColumnFormula>
    </tableColumn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03E9B4-C912-47B0-AA28-772A31FF00C6}" name="SKU" displayName="SKU" ref="A1:P70" totalsRowShown="0" headerRowDxfId="359" dataDxfId="358" tableBorderDxfId="357">
  <autoFilter ref="A1:P70" xr:uid="{F103E9B4-C912-47B0-AA28-772A31FF00C6}"/>
  <tableColumns count="16">
    <tableColumn id="1" xr3:uid="{298DD880-D1C6-41C6-9AA4-F16C3B2E56CB}" name="SKU ID" dataDxfId="356"/>
    <tableColumn id="2" xr3:uid="{51A0F29D-8B79-4891-BA36-95D7094170DA}" name="Product with Pack Size" dataDxfId="355"/>
    <tableColumn id="3" xr3:uid="{BBB0C9D1-BAD6-44B8-B77B-CF27FA905F6B}" name="SKU"/>
    <tableColumn id="4" xr3:uid="{22AFF7FD-349C-4CF1-A7A9-84D72EBC19E3}" name="PackSize" dataDxfId="354"/>
    <tableColumn id="5" xr3:uid="{F9DB8672-B6CF-4FB4-B4E7-17BA15075B58}" name="Cartoon Size" dataDxfId="353"/>
    <tableColumn id="6" xr3:uid="{8A0C6903-565E-4B8E-A2FA-0B7D3BE11B92}" name="Bottle Size(Ltr)" dataDxfId="352" dataCellStyle="Comma"/>
    <tableColumn id="7" xr3:uid="{2AB8C744-B198-4EC0-922B-C6129024B11F}" name="Price/Pack" dataDxfId="351"/>
    <tableColumn id="8" xr3:uid="{ED852363-AF6C-413E-B8BA-8E5D363D5215}" name="Price/L" dataDxfId="350"/>
    <tableColumn id="9" xr3:uid="{CC43775D-DC4C-4738-9570-277684584F12}" name="Category" dataDxfId="349"/>
    <tableColumn id="10" xr3:uid="{7A255CE2-A9F3-4EDF-AD79-090FEB971B6C}" name="Grade Type" dataDxfId="348"/>
    <tableColumn id="11" xr3:uid="{C61504B1-F165-41B5-B384-BC48FDCBEE50}" name="RMBL Price" dataDxfId="347"/>
    <tableColumn id="12" xr3:uid="{E490BF7A-B270-4AEE-B561-A5A4CB7AF7EF}" name="Grade number" dataDxfId="346"/>
    <tableColumn id="14" xr3:uid="{CDB45584-9A1F-4735-B90E-BB4D656C6389}" name="Model" dataDxfId="345"/>
    <tableColumn id="13" xr3:uid="{EF19C292-B9AF-4BA2-BD69-0D5DA030A8A1}" name="Cost" dataDxfId="344" dataCellStyle="Comma"/>
    <tableColumn id="15" xr3:uid="{06617E8C-F0D0-40A6-BD26-4ADA6136519E}" name="DP" dataDxfId="343" dataCellStyle="Comma"/>
    <tableColumn id="16" xr3:uid="{0144129A-F8C6-4706-AB43-C734FB2CC75C}" name="AIT" dataDxfId="342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4E6CA7-1D4A-4E65-8DB6-8DBF815F9027}" name="SP" displayName="SP" ref="A1:H14" totalsRowShown="0" headerRowDxfId="341" headerRowBorderDxfId="340" tableBorderDxfId="339" totalsRowBorderDxfId="338">
  <autoFilter ref="A1:H14" xr:uid="{224E6CA7-1D4A-4E65-8DB6-8DBF815F9027}"/>
  <tableColumns count="8">
    <tableColumn id="1" xr3:uid="{DB303297-46AD-436B-9793-6E9861649523}" name="ID" dataDxfId="337"/>
    <tableColumn id="2" xr3:uid="{92EC27F9-528B-4CCF-8978-1E5FEABB3C34}" name="Name" dataDxfId="336"/>
    <tableColumn id="3" xr3:uid="{6E9455E0-C61E-421B-9CA6-38F4DA54909D}" name="Designation" dataDxfId="335"/>
    <tableColumn id="4" xr3:uid="{1E14CC43-6F09-4AA9-9964-97FB525A9FD0}" name="Location" dataDxfId="334"/>
    <tableColumn id="5" xr3:uid="{FA8FDC83-FF80-40F0-8986-402C4C26A98E}" name="Cell number" dataDxfId="333"/>
    <tableColumn id="6" xr3:uid="{0FA9B04E-B314-441D-B845-AEE44906FD37}" name="Line Manager" dataDxfId="332"/>
    <tableColumn id="7" xr3:uid="{3925519F-2F03-4644-A4DB-98ACE81422B4}" name="Email" dataDxfId="331" dataCellStyle="Hyperlink"/>
    <tableColumn id="8" xr3:uid="{40650257-1B0C-47B2-B101-312ABE8ED28B}" name="Current Status" dataDxfId="33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C1133-8ACC-4BCB-A811-6B46CCD59F30}" name="MMD" displayName="MMD" ref="A1:O65" totalsRowShown="0" headerRowDxfId="329" headerRowBorderDxfId="328" tableBorderDxfId="327">
  <autoFilter ref="A1:O65" xr:uid="{437C1133-8ACC-4BCB-A811-6B46CCD59F30}"/>
  <tableColumns count="15">
    <tableColumn id="1" xr3:uid="{9C19927F-5B76-4697-B122-BA19EE5AE3CF}" name="MMD ID"/>
    <tableColumn id="2" xr3:uid="{53F68385-566F-4E53-BAEB-488F2D5DA080}" name="MMD Name" dataDxfId="326"/>
    <tableColumn id="3" xr3:uid="{A436FF05-3135-43C4-B2B4-EA4F988256B2}" name="Owner"/>
    <tableColumn id="4" xr3:uid="{56933760-15B2-4532-88D7-29BA9FF8DE07}" name="Cell Number"/>
    <tableColumn id="5" xr3:uid="{788D660B-3590-4B13-8722-94F7FDBDDD59}" name="Location"/>
    <tableColumn id="6" xr3:uid="{B5E2A807-71CD-48B3-B7C6-C6438BAC5059}" name="District"/>
    <tableColumn id="7" xr3:uid="{6F357E2B-FC38-4782-B5EA-E98F5211AD0F}" name="TSM/TSE"/>
    <tableColumn id="8" xr3:uid="{7923AAC7-06CB-4FCF-9171-BF039D575742}" name="AM"/>
    <tableColumn id="9" xr3:uid="{8A4DBE1A-0B60-4444-A9A1-BD400B2704E0}" name="Area"/>
    <tableColumn id="10" xr3:uid="{A53C15F3-7D1B-49A8-982D-60B982BF43B5}" name="Dealer Type"/>
    <tableColumn id="11" xr3:uid="{DFF9A94A-1E50-40BE-82BF-4D47790B56D1}" name="Bangla Name"/>
    <tableColumn id="12" xr3:uid="{58CEB150-893A-4442-9636-DCF5FB030D04}" name="Owner Name bangla"/>
    <tableColumn id="13" xr3:uid="{CEC5D69B-7B8B-4C56-B2B0-5D3178962148}" name="Full Location in Bangla" dataDxfId="325"/>
    <tableColumn id="14" xr3:uid="{A3BB7B83-E303-45BB-866D-09FB2B125373}" name="Bangla Location"/>
    <tableColumn id="15" xr3:uid="{BBF48E7A-F9A0-4674-B361-6C38DD9337A9}" name="District Bangla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D9FC8F-7DBC-477C-B725-7527121367BF}" name="Current_Stock" displayName="Current_Stock" ref="A2:AG71" totalsRowShown="0" headerRowDxfId="312" dataDxfId="311">
  <autoFilter ref="A2:AG71" xr:uid="{6BD9FC8F-7DBC-477C-B725-7527121367BF}"/>
  <tableColumns count="33">
    <tableColumn id="2" xr3:uid="{EB11F58D-79E1-4C73-9F46-BEBC70D244C0}" name="SKU ID" dataDxfId="310"/>
    <tableColumn id="3" xr3:uid="{78C68461-FDD6-4133-91AA-E74AD3CDD270}" name="Product Details" dataDxfId="309"/>
    <tableColumn id="28" xr3:uid="{7C77928F-FA9E-41FD-88A5-35EAEE08944F}" name="Category" dataDxfId="308" dataCellStyle="Comma">
      <calculatedColumnFormula>VLOOKUP(Current_Stock[[#This Row],[SKU ID]],SKU[],9,0)</calculatedColumnFormula>
    </tableColumn>
    <tableColumn id="24" xr3:uid="{CDD166B4-66DC-4802-8DAE-9265DF1BC4A4}" name="Cost" dataDxfId="307" dataCellStyle="Comma">
      <calculatedColumnFormula>VLOOKUP(Current_Stock[[#This Row],[SKU ID]],SKU[],14,0)</calculatedColumnFormula>
    </tableColumn>
    <tableColumn id="26" xr3:uid="{7A9703F6-DE43-400B-9848-6561C9C8BDD0}" name="DP Price" dataDxfId="306" dataCellStyle="Comma">
      <calculatedColumnFormula>VLOOKUP(Current_Stock[[#This Row],[SKU ID]],SKU[],15,0)</calculatedColumnFormula>
    </tableColumn>
    <tableColumn id="16" xr3:uid="{2138D76B-323B-4C82-B0B0-C597A95D9560}" name="Vobanipur opening units" dataDxfId="305" dataCellStyle="Comma">
      <calculatedColumnFormula>VLOOKUP(Current_Stock[[#This Row],[SKU ID]],Stock_year[],((MONTH($B$1)-1)*$C$75)+2+1,0)</calculatedColumnFormula>
    </tableColumn>
    <tableColumn id="18" xr3:uid="{3B7915DF-8CC1-40D5-9DB6-50C9368B7627}" name="Ulukhola opening units" dataDxfId="304" dataCellStyle="Comma">
      <calculatedColumnFormula>VLOOKUP(Current_Stock[[#This Row],[SKU ID]],Stock_year[],((MONTH($B$1)-1)*$C$75)+2+2,0)</calculatedColumnFormula>
    </tableColumn>
    <tableColumn id="4" xr3:uid="{BAA6D51D-F9A8-442B-9AA2-09D2F371FEA7}" name="Total Opening Unit" dataDxfId="303" dataCellStyle="Comma">
      <calculatedColumnFormula>Current_Stock[[#This Row],[Vobanipur opening units]]+Current_Stock[[#This Row],[Ulukhola opening units]]</calculatedColumnFormula>
    </tableColumn>
    <tableColumn id="1" xr3:uid="{9F3992CB-353C-4DDB-8219-C2A2DCD1B51F}" name="Total Opening (ltr)" dataDxfId="302" dataCellStyle="Comma">
      <calculatedColumnFormula>VLOOKUP(Current_Stock[[#This Row],[SKU ID]],SKU[[SKU ID]:[Bottle Size(Ltr)]],6,0)*Current_Stock[[#This Row],[Total Opening Unit]]</calculatedColumnFormula>
    </tableColumn>
    <tableColumn id="17" xr3:uid="{80112508-4E98-408A-A615-B9923AAD8E8C}" name="Ulukhola to vobanipur transfer" dataDxfId="301" dataCellStyle="Comma">
      <calculatedColumnFormula>VLOOKUP(Current_Stock[[#This Row],[SKU ID]],Stock_year[],((MONTH($B$1)-1)*$C$75)+2+5,0)</calculatedColumnFormula>
    </tableColumn>
    <tableColumn id="21" xr3:uid="{858A77A2-471F-456B-9617-A415EE32E8A4}" name="New Arrival Vobanipur" dataDxfId="300" dataCellStyle="Comma">
      <calculatedColumnFormula>VLOOKUP(Current_Stock[[#This Row],[SKU ID]],Stock_year[],((MONTH($B$1)-1)*$C$75)+2+6,0)</calculatedColumnFormula>
    </tableColumn>
    <tableColumn id="7" xr3:uid="{EBD17B9C-680D-44BE-95AF-F596CA7DED61}" name="New Arrival Ulukhola" dataDxfId="299" dataCellStyle="Comma">
      <calculatedColumnFormula>VLOOKUP(Current_Stock[[#This Row],[SKU ID]],Stock_year[],((MONTH($B$1)-1)*$C$75)+2+7,0)</calculatedColumnFormula>
    </tableColumn>
    <tableColumn id="23" xr3:uid="{AFDEF4B4-8DC9-48B6-A334-82D64E06DEEB}" name="Vobaipur total" dataDxfId="298" dataCellStyle="Comma">
      <calculatedColumnFormula>Current_Stock[[#This Row],[Vobanipur opening units]]+Current_Stock[[#This Row],[New Arrival Ulukhola]]+Current_Stock[[#This Row],[Ulukhola to vobanipur transfer]]</calculatedColumnFormula>
    </tableColumn>
    <tableColumn id="22" xr3:uid="{E099B280-3516-4835-9DED-AB99C75E27BA}" name="Ulukhola Current" dataDxfId="297" dataCellStyle="Comma">
      <calculatedColumnFormula>Current_Stock[[#This Row],[Ulukhola opening units]]+Current_Stock[[#This Row],[New Arrival Vobanipur]]-Current_Stock[[#This Row],[Ulukhola to vobanipur transfer]]</calculatedColumnFormula>
    </tableColumn>
    <tableColumn id="8" xr3:uid="{01C1EA5F-6A48-47FB-95A3-9D8EA291A7F2}" name="Total Unit" dataDxfId="296" dataCellStyle="Comma">
      <calculatedColumnFormula>Current_Stock[[#This Row],[Vobaipur total]]+Current_Stock[[#This Row],[Ulukhola Current]]</calculatedColumnFormula>
    </tableColumn>
    <tableColumn id="5" xr3:uid="{B956DC55-F580-4427-8826-05BF076B7770}" name="Sold Qty(Unit)" dataDxfId="295" dataCellStyle="Comma">
      <calculatedColumnFormula>SUMIFS(Primary_Order[Total Qty],Primary_Order[Date],"&gt;="&amp;DATE(YEAR($B$1),MONTH($B$1),1),Primary_Order[Date],"&lt;="&amp;$B$1,Primary_Order[Status],$A$1,Primary_Order[Product ID],A3,Primary_Order[Status],"&lt;&gt;DMG-Sold")</calculatedColumnFormula>
    </tableColumn>
    <tableColumn id="29" xr3:uid="{10723C21-C087-4771-815D-1126A75B06F3}" name="Sales Value" dataDxfId="294" dataCellStyle="Comma">
      <calculatedColumnFormula>Current_Stock[[#This Row],[Sold Qty(Unit)]]*Current_Stock[[#This Row],[Cost]]</calculatedColumnFormula>
    </tableColumn>
    <tableColumn id="19" xr3:uid="{DD3E33EF-C2FB-4157-BCCA-55E7CD8275C3}" name="Vobanipur Current units" dataDxfId="293" dataCellStyle="Comma">
      <calculatedColumnFormula>Current_Stock[[#This Row],[Vobaipur total]]-Current_Stock[[#This Row],[Sold Qty(Unit)]]</calculatedColumnFormula>
    </tableColumn>
    <tableColumn id="6" xr3:uid="{3BE628EA-9E25-4411-89CB-051247FB5ADF}" name="Total Current (Unit)" dataDxfId="292">
      <calculatedColumnFormula>Current_Stock[[#This Row],[Vobanipur Current units]]+Current_Stock[[#This Row],[Ulukhola Current]]</calculatedColumnFormula>
    </tableColumn>
    <tableColumn id="12" xr3:uid="{EBE8A13C-5075-415A-86DC-F95663E13FE6}" name="Total Current (Ltr)" dataDxfId="291">
      <calculatedColumnFormula>VLOOKUP(Current_Stock[[#This Row],[SKU ID]],SKU[[SKU ID]:[Bottle Size(Ltr)]],6,0)*Current_Stock[[#This Row],[Total Current (Unit)]]</calculatedColumnFormula>
    </tableColumn>
    <tableColumn id="13" xr3:uid="{9B3E6D9D-D184-4C82-9D81-216CD1611EE2}" name="Total Current Value" dataDxfId="290">
      <calculatedColumnFormula>Current_Stock[[#This Row],[Total Current (Unit)]]*Current_Stock[[#This Row],[Cost]]</calculatedColumnFormula>
    </tableColumn>
    <tableColumn id="14" xr3:uid="{3510B308-37D5-450D-9535-D220A0E30129}" name="Current Stock(Cartoon)" dataDxfId="289">
      <calculatedColumnFormula>FLOOR(Current_Stock[[#This Row],[Total Current (Unit)]]/VLOOKUP(Current_Stock[[#This Row],[SKU ID]],SKU[],5,0),1)</calculatedColumnFormula>
    </tableColumn>
    <tableColumn id="15" xr3:uid="{FDA9AE39-2CA1-4404-9DA5-37022796B9B2}" name="RO units" dataDxfId="288">
      <calculatedColumnFormula>MOD(Current_Stock[[#This Row],[Total Current (Unit)]],VLOOKUP(Current_Stock[[#This Row],[SKU ID]],SKU[],5,0))</calculatedColumnFormula>
    </tableColumn>
    <tableColumn id="9" xr3:uid="{D44CDA59-F2F9-4AA7-9EC5-EE56EB8F062A}" name="Opening Damage Unit" dataDxfId="287" dataCellStyle="Comma">
      <calculatedColumnFormula>VLOOKUP(Current_Stock[[#This Row],[SKU ID]],Stock_year[],((MONTH($B$1)-1)*$C$75)+17,0)</calculatedColumnFormula>
    </tableColumn>
    <tableColumn id="10" xr3:uid="{CF34011C-76C6-477F-814F-7CC13C9925BF}" name="Damage Sold unit" dataDxfId="286" dataCellStyle="Comma">
      <calculatedColumnFormula>SUMIFS(Primary_Order[Total Qty],Primary_Order[Date],"&gt;="&amp;DATE(YEAR($B$1),MONTH($B$1),1),Primary_Order[Date],"&lt;="&amp;$B$1,Primary_Order[Status],"DMG-Sold",Primary_Order[Product ID],A3)</calculatedColumnFormula>
    </tableColumn>
    <tableColumn id="11" xr3:uid="{F164D58A-0878-4253-B0A2-F1613C33C7AB}" name="Remaining Damage Unit" dataDxfId="285" dataCellStyle="Comma">
      <calculatedColumnFormula>Current_Stock[[#This Row],[Opening Damage Unit]]-Current_Stock[[#This Row],[Damage Sold unit]]</calculatedColumnFormula>
    </tableColumn>
    <tableColumn id="27" xr3:uid="{4D9B9F96-7A77-467C-9D66-AFE5FBCEF7AD}" name="Total Price( Based on DP)" dataDxfId="284" dataCellStyle="Comma">
      <calculatedColumnFormula>Current_Stock[[#This Row],[DP Price]]*Current_Stock[[#This Row],[Total Current (Unit)]]</calculatedColumnFormula>
    </tableColumn>
    <tableColumn id="25" xr3:uid="{E65C79CD-16DB-4E45-886D-09308009D187}" name="Total Unit with Damage" dataDxfId="283" dataCellStyle="Comma">
      <calculatedColumnFormula>Current_Stock[[#This Row],[Total Current (Unit)]]+Current_Stock[[#This Row],[Remaining Damage Unit]]</calculatedColumnFormula>
    </tableColumn>
    <tableColumn id="20" xr3:uid="{5A131AD8-9902-43EC-885D-53B9B2079FAC}" name="Total Value with Damage" dataDxfId="282" dataCellStyle="Comma">
      <calculatedColumnFormula>Current_Stock[[#This Row],[Total Unit with Damage]]*Current_Stock[[#This Row],[Cost]]</calculatedColumnFormula>
    </tableColumn>
    <tableColumn id="30" xr3:uid="{51BD0C2C-2F64-478F-BAA6-1AAB4D7FBB05}" name="Blocked Stock(unit)" dataDxfId="281" dataCellStyle="Comma">
      <calculatedColumnFormula>SUMIFS(Primary_Order[Total Qty],Primary_Order[Date],"&gt;="&amp;DATE(2027,12,1),Primary_Order[Status],$A$1,Primary_Order[Product ID],A3)</calculatedColumnFormula>
    </tableColumn>
    <tableColumn id="31" xr3:uid="{CABDF7E0-C395-4873-9613-437CC9AE9765}" name="Final Qty" dataDxfId="280" dataCellStyle="Comma">
      <calculatedColumnFormula>Current_Stock[[#This Row],[Total Current (Unit)]]-Current_Stock[[#This Row],[Blocked Stock(unit)]]</calculatedColumnFormula>
    </tableColumn>
    <tableColumn id="33" xr3:uid="{B3906131-9071-47F4-B72D-AFA466C22157}" name="Ageing(M)" dataDxfId="279" dataCellStyle="Comma">
      <calculatedColumnFormula>(Current_Stock[[#This Row],[Ageing till Sep''24 (D)]]+($B$1-45566))/30</calculatedColumnFormula>
    </tableColumn>
    <tableColumn id="32" xr3:uid="{82EDA000-6A50-4A40-A25B-BEF400A9C58A}" name="Ageing till Sep'24 (D)" dataDxfId="278" dataCellStyle="Comma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64198C-2C8A-4543-B315-DEBEF4F9F635}" name="Table8" displayName="Table8" ref="AJ2:AL71" totalsRowShown="0" headerRowDxfId="277" tableBorderDxfId="276">
  <autoFilter ref="AJ2:AL71" xr:uid="{0B64198C-2C8A-4543-B315-DEBEF4F9F635}"/>
  <tableColumns count="3">
    <tableColumn id="1" xr3:uid="{44B69A13-4608-49BD-8D1C-A7E7B05B9224}" name="Vob(Ltr)" dataDxfId="275">
      <calculatedColumnFormula>VLOOKUP(Current_Stock[[#This Row],[SKU ID]],SKU[[SKU ID]:[Bottle Size(Ltr)]],6,0)*Current_Stock[[#This Row],[Vobanipur Current units]]</calculatedColumnFormula>
    </tableColumn>
    <tableColumn id="2" xr3:uid="{C5C841FA-AAF1-4B47-B560-F20B9C4E71B4}" name="DMG(Ltr)" dataDxfId="274">
      <calculatedColumnFormula>VLOOKUP(Current_Stock[[#This Row],[SKU ID]],SKU[[SKU ID]:[Bottle Size(Ltr)]],6,0)*Current_Stock[[#This Row],[Remaining Damage Unit]]</calculatedColumnFormula>
    </tableColumn>
    <tableColumn id="3" xr3:uid="{3A8B829C-E8D6-4721-8EDE-3024DA74C935}" name="Ulu(Ltr)" dataDxfId="273">
      <calculatedColumnFormula>VLOOKUP(Current_Stock[[#This Row],[SKU ID]],SKU[[SKU ID]:[Bottle Size(Ltr)]],6,0)*Current_Stock[[#This Row],[Ulukhola Current]]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0E62D4-24DE-467B-831D-B667C73888E0}" name="AIT" displayName="AIT" ref="A1:E70" totalsRowShown="0" headerRowDxfId="272" headerRowBorderDxfId="271" tableBorderDxfId="270">
  <autoFilter ref="A1:E70" xr:uid="{730E62D4-24DE-467B-831D-B667C73888E0}">
    <filterColumn colId="3">
      <filters>
        <filter val="1,101"/>
        <filter val="1,740"/>
        <filter val="12,154"/>
        <filter val="120"/>
        <filter val="180"/>
        <filter val="2,144"/>
        <filter val="200"/>
        <filter val="240"/>
        <filter val="26,580"/>
        <filter val="264"/>
        <filter val="280"/>
        <filter val="312"/>
        <filter val="396"/>
        <filter val="4,691"/>
        <filter val="58"/>
        <filter val="60"/>
        <filter val="7,020"/>
        <filter val="8,080"/>
        <filter val="80"/>
        <filter val="960"/>
      </filters>
    </filterColumn>
  </autoFilter>
  <tableColumns count="5">
    <tableColumn id="1" xr3:uid="{D18C43CC-05C6-4373-9A58-9E9715F6B8A6}" name="Part no." dataDxfId="269"/>
    <tableColumn id="2" xr3:uid="{9281A7CB-7315-4ABC-84BF-5D4E08E400C1}" name="Product with Pack Size" dataDxfId="268"/>
    <tableColumn id="3" xr3:uid="{2D62FF48-1AD1-44F8-A932-83CE381D0511}" name="AIT/Unit" dataDxfId="267" dataCellStyle="Comma"/>
    <tableColumn id="4" xr3:uid="{16E47CF1-6B62-4508-9236-2EFA9A035EAD}" name="Sold Qty" dataDxfId="266" dataCellStyle="Comma">
      <calculatedColumnFormula>VLOOKUP(AIT[[#This Row],[Part no.]],Current_Stock[],16,0)</calculatedColumnFormula>
    </tableColumn>
    <tableColumn id="5" xr3:uid="{55E3C6BF-56D5-43E3-9686-B0C9B55A7753}" name="Total Tax" dataDxfId="265" dataCellStyle="Comma">
      <calculatedColumnFormula>AIT[[#This Row],[Sold Qty]]*AIT[[#This Row],[AIT/Unit]]</calculatedColumnFormula>
    </tableColumn>
  </tableColumns>
  <tableStyleInfo name="TableStyleMedium15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Gill Sans MT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11" Type="http://schemas.openxmlformats.org/officeDocument/2006/relationships/table" Target="../tables/table6.xml"/><Relationship Id="rId5" Type="http://schemas.openxmlformats.org/officeDocument/2006/relationships/image" Target="../media/image10.emf"/><Relationship Id="rId10" Type="http://schemas.openxmlformats.org/officeDocument/2006/relationships/table" Target="../tables/table5.xml"/><Relationship Id="rId4" Type="http://schemas.openxmlformats.org/officeDocument/2006/relationships/control" Target="../activeX/activeX7.xml"/><Relationship Id="rId9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robin@motoindustries.com.bd" TargetMode="External"/><Relationship Id="rId13" Type="http://schemas.openxmlformats.org/officeDocument/2006/relationships/table" Target="../tables/table8.xml"/><Relationship Id="rId3" Type="http://schemas.openxmlformats.org/officeDocument/2006/relationships/hyperlink" Target="mailto:hasemi@motoindustries.com.bd" TargetMode="External"/><Relationship Id="rId7" Type="http://schemas.openxmlformats.org/officeDocument/2006/relationships/hyperlink" Target="mailto:shahriar@motoindustries.com.bd" TargetMode="External"/><Relationship Id="rId12" Type="http://schemas.openxmlformats.org/officeDocument/2006/relationships/hyperlink" Target="mailto:raihan.siddiqui@motoindustries.com.bd" TargetMode="External"/><Relationship Id="rId2" Type="http://schemas.openxmlformats.org/officeDocument/2006/relationships/hyperlink" Target="mailto:al.amin@motoindustries.com.bd" TargetMode="External"/><Relationship Id="rId1" Type="http://schemas.openxmlformats.org/officeDocument/2006/relationships/hyperlink" Target="mailto:abdul.matin@motoindustries.com.bd" TargetMode="External"/><Relationship Id="rId6" Type="http://schemas.openxmlformats.org/officeDocument/2006/relationships/hyperlink" Target="mailto:mafsidul@motoindustries.com.bd" TargetMode="External"/><Relationship Id="rId11" Type="http://schemas.openxmlformats.org/officeDocument/2006/relationships/hyperlink" Target="mailto:razur.rahaman@motoindustries.com.bd" TargetMode="External"/><Relationship Id="rId5" Type="http://schemas.openxmlformats.org/officeDocument/2006/relationships/hyperlink" Target="mailto:mahmudul.hasan@motoindustries.com.bd" TargetMode="External"/><Relationship Id="rId10" Type="http://schemas.openxmlformats.org/officeDocument/2006/relationships/hyperlink" Target="mailto:monirul.islam@motoindustries.com.bd" TargetMode="External"/><Relationship Id="rId4" Type="http://schemas.openxmlformats.org/officeDocument/2006/relationships/hyperlink" Target="mailto:sadrul.foysal@motoindustries.com.bd" TargetMode="External"/><Relationship Id="rId9" Type="http://schemas.openxmlformats.org/officeDocument/2006/relationships/hyperlink" Target="mailto:sultan@motoindustries.com.bd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.xml"/><Relationship Id="rId5" Type="http://schemas.openxmlformats.org/officeDocument/2006/relationships/image" Target="../media/image14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F10B6-1CB7-40D7-AF54-B1F2C6F52C42}">
  <sheetPr codeName="Sheet17"/>
  <dimension ref="A1:F8"/>
  <sheetViews>
    <sheetView workbookViewId="0">
      <selection activeCell="I10" sqref="I10"/>
    </sheetView>
  </sheetViews>
  <sheetFormatPr defaultRowHeight="16.5" x14ac:dyDescent="0.5"/>
  <cols>
    <col min="1" max="1" width="17.36328125" bestFit="1" customWidth="1"/>
    <col min="2" max="2" width="17.26953125" bestFit="1" customWidth="1"/>
    <col min="3" max="3" width="4.26953125" bestFit="1" customWidth="1"/>
    <col min="4" max="5" width="5.54296875" bestFit="1" customWidth="1"/>
    <col min="6" max="6" width="12.453125" bestFit="1" customWidth="1"/>
  </cols>
  <sheetData>
    <row r="1" spans="1:6" x14ac:dyDescent="0.5">
      <c r="A1" s="384" t="s">
        <v>18</v>
      </c>
      <c r="B1" t="s">
        <v>156</v>
      </c>
    </row>
    <row r="3" spans="1:6" x14ac:dyDescent="0.5">
      <c r="A3" s="384" t="s">
        <v>1495</v>
      </c>
      <c r="B3" s="384" t="s">
        <v>1494</v>
      </c>
    </row>
    <row r="4" spans="1:6" x14ac:dyDescent="0.5">
      <c r="A4" s="384" t="s">
        <v>1489</v>
      </c>
      <c r="B4" t="s">
        <v>1490</v>
      </c>
      <c r="C4" t="s">
        <v>1491</v>
      </c>
      <c r="D4" t="s">
        <v>1492</v>
      </c>
      <c r="E4" t="s">
        <v>1493</v>
      </c>
      <c r="F4" t="s">
        <v>708</v>
      </c>
    </row>
    <row r="5" spans="1:6" x14ac:dyDescent="0.5">
      <c r="A5" s="385" t="s">
        <v>46</v>
      </c>
      <c r="B5" s="195">
        <v>5</v>
      </c>
      <c r="C5" s="195"/>
      <c r="D5" s="195"/>
      <c r="E5" s="195"/>
      <c r="F5" s="195">
        <v>5</v>
      </c>
    </row>
    <row r="6" spans="1:6" x14ac:dyDescent="0.5">
      <c r="A6" s="385" t="s">
        <v>274</v>
      </c>
      <c r="B6" s="195"/>
      <c r="C6" s="195"/>
      <c r="D6" s="195">
        <v>200</v>
      </c>
      <c r="E6" s="195">
        <v>444</v>
      </c>
      <c r="F6" s="195">
        <v>644</v>
      </c>
    </row>
    <row r="7" spans="1:6" x14ac:dyDescent="0.5">
      <c r="A7" s="385" t="s">
        <v>1280</v>
      </c>
      <c r="B7" s="195"/>
      <c r="C7" s="195">
        <v>2</v>
      </c>
      <c r="D7" s="195"/>
      <c r="E7" s="195"/>
      <c r="F7" s="195">
        <v>2</v>
      </c>
    </row>
    <row r="8" spans="1:6" x14ac:dyDescent="0.5">
      <c r="A8" s="385" t="s">
        <v>708</v>
      </c>
      <c r="B8" s="195">
        <v>5</v>
      </c>
      <c r="C8" s="195">
        <v>2</v>
      </c>
      <c r="D8" s="195">
        <v>200</v>
      </c>
      <c r="E8" s="195">
        <v>444</v>
      </c>
      <c r="F8" s="195">
        <v>651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3354D-CE5F-4458-9B55-4828C96ECDB1}">
  <sheetPr codeName="Sheet1">
    <tabColor rgb="FFFFFF00"/>
  </sheetPr>
  <dimension ref="A1:AO589"/>
  <sheetViews>
    <sheetView tabSelected="1" zoomScale="70" zoomScaleNormal="70" workbookViewId="0">
      <pane xSplit="3" ySplit="1" topLeftCell="I575" activePane="bottomRight" state="frozen"/>
      <selection pane="topRight" activeCell="D1" sqref="D1"/>
      <selection pane="bottomLeft" activeCell="A2" sqref="A2"/>
      <selection pane="bottomRight" activeCell="L589" sqref="L589"/>
    </sheetView>
  </sheetViews>
  <sheetFormatPr defaultRowHeight="16.5" x14ac:dyDescent="0.5"/>
  <cols>
    <col min="1" max="1" width="15" customWidth="1"/>
    <col min="2" max="2" width="11.6328125" style="1" customWidth="1"/>
    <col min="3" max="3" width="11.81640625" bestFit="1" customWidth="1"/>
    <col min="4" max="4" width="27.90625" customWidth="1"/>
    <col min="5" max="5" width="55.81640625" customWidth="1"/>
    <col min="6" max="6" width="25.54296875" bestFit="1" customWidth="1"/>
    <col min="7" max="7" width="23.54296875" customWidth="1"/>
    <col min="8" max="8" width="19" customWidth="1"/>
    <col min="9" max="9" width="27.90625" customWidth="1"/>
    <col min="10" max="10" width="23.81640625" customWidth="1"/>
    <col min="11" max="11" width="14.36328125" bestFit="1" customWidth="1"/>
    <col min="12" max="12" width="39.453125" customWidth="1"/>
    <col min="13" max="13" width="18.1796875" customWidth="1"/>
    <col min="14" max="14" width="13.36328125" customWidth="1"/>
    <col min="15" max="15" width="19" customWidth="1"/>
    <col min="16" max="16" width="21.36328125" customWidth="1"/>
    <col min="17" max="17" width="15.36328125" customWidth="1"/>
    <col min="18" max="18" width="26.54296875" customWidth="1"/>
    <col min="19" max="19" width="11.453125" customWidth="1"/>
    <col min="20" max="20" width="14.81640625" customWidth="1"/>
    <col min="21" max="21" width="13.1796875" customWidth="1"/>
    <col min="22" max="22" width="19.90625" hidden="1" customWidth="1"/>
    <col min="23" max="23" width="12.36328125" customWidth="1"/>
    <col min="24" max="24" width="11.453125" hidden="1" customWidth="1"/>
    <col min="25" max="25" width="17.1796875" customWidth="1"/>
    <col min="26" max="26" width="15.6328125" customWidth="1"/>
    <col min="27" max="27" width="10.453125" customWidth="1"/>
    <col min="28" max="28" width="13.1796875" hidden="1" customWidth="1"/>
    <col min="29" max="29" width="16.81640625" bestFit="1" customWidth="1"/>
    <col min="30" max="30" width="149.81640625" customWidth="1"/>
    <col min="31" max="31" width="11.6328125" customWidth="1"/>
    <col min="32" max="32" width="17.08984375" customWidth="1"/>
    <col min="33" max="33" width="15" customWidth="1"/>
    <col min="34" max="34" width="19.6328125" customWidth="1"/>
    <col min="35" max="35" width="12.90625" customWidth="1"/>
    <col min="36" max="36" width="10.26953125" customWidth="1"/>
    <col min="37" max="37" width="12.81640625" bestFit="1" customWidth="1"/>
    <col min="38" max="38" width="11" customWidth="1"/>
    <col min="39" max="39" width="10.90625" bestFit="1" customWidth="1"/>
    <col min="40" max="40" width="15.26953125" customWidth="1"/>
    <col min="41" max="41" width="9.81640625" bestFit="1" customWidth="1"/>
  </cols>
  <sheetData>
    <row r="1" spans="1:41" x14ac:dyDescent="0.5">
      <c r="A1" t="s">
        <v>6</v>
      </c>
      <c r="B1" s="1" t="s">
        <v>0</v>
      </c>
      <c r="C1" t="s">
        <v>5</v>
      </c>
      <c r="D1" t="s">
        <v>17</v>
      </c>
      <c r="E1" t="s">
        <v>9</v>
      </c>
      <c r="F1" t="s">
        <v>10</v>
      </c>
      <c r="G1" t="s">
        <v>7</v>
      </c>
      <c r="H1" t="s">
        <v>2</v>
      </c>
      <c r="I1" t="s">
        <v>1</v>
      </c>
      <c r="J1" t="s">
        <v>8</v>
      </c>
      <c r="K1" t="s">
        <v>18</v>
      </c>
      <c r="L1" t="s">
        <v>4</v>
      </c>
      <c r="M1" t="s">
        <v>12</v>
      </c>
      <c r="N1" t="s">
        <v>19</v>
      </c>
      <c r="O1" t="s">
        <v>94</v>
      </c>
      <c r="P1" t="s">
        <v>20</v>
      </c>
      <c r="Q1" t="s">
        <v>21</v>
      </c>
      <c r="R1" t="s">
        <v>13</v>
      </c>
      <c r="S1" t="s">
        <v>11</v>
      </c>
      <c r="T1" t="s">
        <v>22</v>
      </c>
      <c r="U1" t="s">
        <v>23</v>
      </c>
      <c r="V1" t="s">
        <v>61</v>
      </c>
      <c r="W1" t="s">
        <v>62</v>
      </c>
      <c r="X1" t="s">
        <v>24</v>
      </c>
      <c r="Y1" t="s">
        <v>25</v>
      </c>
      <c r="Z1" t="s">
        <v>3</v>
      </c>
      <c r="AA1" t="s">
        <v>746</v>
      </c>
      <c r="AB1" t="s">
        <v>747</v>
      </c>
      <c r="AC1" s="367" t="s">
        <v>748</v>
      </c>
      <c r="AD1" t="s">
        <v>63</v>
      </c>
      <c r="AE1" t="s">
        <v>374</v>
      </c>
      <c r="AF1" t="s">
        <v>382</v>
      </c>
      <c r="AG1" t="s">
        <v>375</v>
      </c>
      <c r="AH1" t="s">
        <v>383</v>
      </c>
      <c r="AI1" t="s">
        <v>862</v>
      </c>
      <c r="AJ1" t="s">
        <v>714</v>
      </c>
      <c r="AK1" t="s">
        <v>717</v>
      </c>
      <c r="AL1" t="s">
        <v>750</v>
      </c>
      <c r="AM1" t="s">
        <v>751</v>
      </c>
      <c r="AN1" t="s">
        <v>744</v>
      </c>
      <c r="AO1" t="s">
        <v>745</v>
      </c>
    </row>
    <row r="2" spans="1:41" x14ac:dyDescent="0.5">
      <c r="A2" s="206" t="s">
        <v>881</v>
      </c>
      <c r="B2" s="230">
        <v>45662</v>
      </c>
      <c r="C2" s="206" t="s">
        <v>122</v>
      </c>
      <c r="D2" s="206" t="s">
        <v>431</v>
      </c>
      <c r="E2" s="206" t="s">
        <v>880</v>
      </c>
      <c r="F2" s="206" t="s">
        <v>432</v>
      </c>
      <c r="G2" s="206" t="s">
        <v>39</v>
      </c>
      <c r="H2" s="206" t="s">
        <v>40</v>
      </c>
      <c r="I2" s="206" t="s">
        <v>431</v>
      </c>
      <c r="J2" s="206" t="s">
        <v>276</v>
      </c>
      <c r="K2" s="206" t="s">
        <v>31</v>
      </c>
      <c r="L2" s="206" t="str">
        <f>VLOOKUP(Primary_Order[[#This Row],[Product ID]],SKU[],3,0)</f>
        <v>3000 4T PLUS 10W30</v>
      </c>
      <c r="M2" s="231">
        <v>400</v>
      </c>
      <c r="N2" s="231">
        <v>525</v>
      </c>
      <c r="O2" s="231">
        <v>400</v>
      </c>
      <c r="P2" s="232">
        <v>0</v>
      </c>
      <c r="Q2" s="231">
        <v>0</v>
      </c>
      <c r="R2" s="231">
        <v>525</v>
      </c>
      <c r="S2" s="231">
        <v>400</v>
      </c>
      <c r="T2" s="231">
        <v>400</v>
      </c>
      <c r="U2" s="231">
        <v>210000</v>
      </c>
      <c r="V2" s="231">
        <v>0</v>
      </c>
      <c r="W2" s="231">
        <v>210000</v>
      </c>
      <c r="X2" s="231">
        <v>27391.304347826088</v>
      </c>
      <c r="Y2" s="231">
        <v>182608.69565217392</v>
      </c>
      <c r="Z2" s="206" t="s">
        <v>882</v>
      </c>
      <c r="AA2" s="206">
        <v>572</v>
      </c>
      <c r="AB2" s="206" t="s">
        <v>641</v>
      </c>
      <c r="AC2" s="230">
        <v>45662</v>
      </c>
      <c r="AD2" s="206" t="s">
        <v>50</v>
      </c>
      <c r="AE2" s="206" t="str">
        <f>IFERROR(VLOOKUP(Primary_Order[[#This Row],[AM]],SP!$E$19:$F$23,2,0),Primary_Order[[#This Row],[AM]])</f>
        <v>Central</v>
      </c>
      <c r="AF2" s="206" t="str">
        <f>VLOOKUP(Primary_Order[[#This Row],[Product ID]],SKU[],10,0)</f>
        <v>Mineral</v>
      </c>
      <c r="AG2" s="206" t="str">
        <f>VLOOKUP(Primary_Order[[#This Row],[Product ID]],SKU[],9,0)</f>
        <v>MCO</v>
      </c>
      <c r="AH2" s="206" t="str">
        <f>VLOOKUP(Primary_Order[[#This Row],[Product ID]],SKU[],12,0)</f>
        <v>10W30</v>
      </c>
      <c r="AI2" s="206" t="str">
        <f>VLOOKUP(Primary_Order[[#This Row],[Product ID]],SKU[],13,0)</f>
        <v>3000</v>
      </c>
      <c r="AJ2" s="233">
        <f>VLOOKUP(Primary_Order[[#This Row],[Product ID]],SKU[[SKU ID]:[Bottle Size(Ltr)]],6,0)*Primary_Order[[#This Row],[Free Quantity]]</f>
        <v>0</v>
      </c>
      <c r="AK2" s="206" t="str">
        <f>VLOOKUP(Primary_Order[[#This Row],[Product ID]],SKU[[SKU ID]:[Bottle Size(Ltr)]],4,0)</f>
        <v>20x1L</v>
      </c>
      <c r="AL2" s="231">
        <f>VLOOKUP(Primary_Order[[#This Row],[Product ID]],SKU[],14,0)*Primary_Order[[#This Row],[Total Qty]]</f>
        <v>151732</v>
      </c>
      <c r="AM2" s="231">
        <f>IF(Primary_Order[[#This Row],[Cost]]=0,0,Primary_Order[[#This Row],[Net Total(-15%)]]-Primary_Order[[#This Row],[Cost]])</f>
        <v>30876.695652173919</v>
      </c>
      <c r="AN2" s="206" t="str">
        <f>"O-"&amp;Primary_Order[[#This Row],[Date]]&amp;"-"&amp;Primary_Order[[#This Row],[MMD ID]]</f>
        <v>O-45662-D-0004</v>
      </c>
      <c r="AO2" s="206" t="str" cm="1">
        <f t="array" ref="AO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" spans="1:41" x14ac:dyDescent="0.5">
      <c r="A3" s="206" t="s">
        <v>881</v>
      </c>
      <c r="B3" s="230">
        <v>45662</v>
      </c>
      <c r="C3" s="206" t="s">
        <v>122</v>
      </c>
      <c r="D3" s="206" t="s">
        <v>431</v>
      </c>
      <c r="E3" s="206" t="s">
        <v>880</v>
      </c>
      <c r="F3" s="206" t="s">
        <v>432</v>
      </c>
      <c r="G3" s="206" t="s">
        <v>39</v>
      </c>
      <c r="H3" s="206" t="s">
        <v>40</v>
      </c>
      <c r="I3" s="206" t="s">
        <v>431</v>
      </c>
      <c r="J3" s="206" t="s">
        <v>276</v>
      </c>
      <c r="K3" s="206" t="s">
        <v>53</v>
      </c>
      <c r="L3" s="206" t="str">
        <f>VLOOKUP(Primary_Order[[#This Row],[Product ID]],SKU[],3,0)</f>
        <v>3000 4T PLUS 20W40</v>
      </c>
      <c r="M3" s="231">
        <v>300</v>
      </c>
      <c r="N3" s="231">
        <v>525</v>
      </c>
      <c r="O3" s="231">
        <v>300</v>
      </c>
      <c r="P3" s="232">
        <v>0</v>
      </c>
      <c r="Q3" s="231">
        <v>0</v>
      </c>
      <c r="R3" s="231">
        <v>525</v>
      </c>
      <c r="S3" s="231">
        <v>300</v>
      </c>
      <c r="T3" s="231">
        <v>300</v>
      </c>
      <c r="U3" s="231">
        <v>157500</v>
      </c>
      <c r="V3" s="231">
        <v>0</v>
      </c>
      <c r="W3" s="231">
        <v>157500</v>
      </c>
      <c r="X3" s="231">
        <v>20543.478260869564</v>
      </c>
      <c r="Y3" s="231">
        <v>136956.52173913043</v>
      </c>
      <c r="Z3" s="206" t="s">
        <v>882</v>
      </c>
      <c r="AA3" s="206">
        <v>572</v>
      </c>
      <c r="AB3" s="206" t="s">
        <v>641</v>
      </c>
      <c r="AC3" s="230">
        <v>45662</v>
      </c>
      <c r="AD3" s="206" t="s">
        <v>50</v>
      </c>
      <c r="AE3" s="206" t="str">
        <f>IFERROR(VLOOKUP(Primary_Order[[#This Row],[AM]],SP!$E$19:$F$23,2,0),Primary_Order[[#This Row],[AM]])</f>
        <v>Central</v>
      </c>
      <c r="AF3" s="206" t="str">
        <f>VLOOKUP(Primary_Order[[#This Row],[Product ID]],SKU[],10,0)</f>
        <v>Mineral</v>
      </c>
      <c r="AG3" s="206" t="str">
        <f>VLOOKUP(Primary_Order[[#This Row],[Product ID]],SKU[],9,0)</f>
        <v>MCO</v>
      </c>
      <c r="AH3" s="206" t="str">
        <f>VLOOKUP(Primary_Order[[#This Row],[Product ID]],SKU[],12,0)</f>
        <v>20W40</v>
      </c>
      <c r="AI3" s="206" t="str">
        <f>VLOOKUP(Primary_Order[[#This Row],[Product ID]],SKU[],13,0)</f>
        <v>3000</v>
      </c>
      <c r="AJ3" s="233">
        <f>VLOOKUP(Primary_Order[[#This Row],[Product ID]],SKU[[SKU ID]:[Bottle Size(Ltr)]],6,0)*Primary_Order[[#This Row],[Free Quantity]]</f>
        <v>0</v>
      </c>
      <c r="AK3" s="206" t="str">
        <f>VLOOKUP(Primary_Order[[#This Row],[Product ID]],SKU[[SKU ID]:[Bottle Size(Ltr)]],4,0)</f>
        <v>20x1L</v>
      </c>
      <c r="AL3" s="231">
        <f>VLOOKUP(Primary_Order[[#This Row],[Product ID]],SKU[],14,0)*Primary_Order[[#This Row],[Total Qty]]</f>
        <v>123828</v>
      </c>
      <c r="AM3" s="231">
        <f>IF(Primary_Order[[#This Row],[Cost]]=0,0,Primary_Order[[#This Row],[Net Total(-15%)]]-Primary_Order[[#This Row],[Cost]])</f>
        <v>13128.521739130432</v>
      </c>
      <c r="AN3" s="206" t="str">
        <f>"O-"&amp;Primary_Order[[#This Row],[Date]]&amp;"-"&amp;Primary_Order[[#This Row],[MMD ID]]</f>
        <v>O-45662-D-0004</v>
      </c>
      <c r="AO3" s="206" t="str" cm="1">
        <f t="array" ref="AO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" spans="1:41" x14ac:dyDescent="0.5">
      <c r="A4" s="206" t="s">
        <v>881</v>
      </c>
      <c r="B4" s="230">
        <v>45662</v>
      </c>
      <c r="C4" s="206" t="s">
        <v>122</v>
      </c>
      <c r="D4" s="206" t="s">
        <v>431</v>
      </c>
      <c r="E4" s="206" t="s">
        <v>880</v>
      </c>
      <c r="F4" s="206" t="s">
        <v>432</v>
      </c>
      <c r="G4" s="206" t="s">
        <v>39</v>
      </c>
      <c r="H4" s="206" t="s">
        <v>40</v>
      </c>
      <c r="I4" s="206" t="s">
        <v>431</v>
      </c>
      <c r="J4" s="206" t="s">
        <v>276</v>
      </c>
      <c r="K4" s="206" t="s">
        <v>54</v>
      </c>
      <c r="L4" s="206" t="str">
        <f>VLOOKUP(Primary_Order[[#This Row],[Product ID]],SKU[],3,0)</f>
        <v>3000 4T PLUS 10W40</v>
      </c>
      <c r="M4" s="231">
        <v>1600</v>
      </c>
      <c r="N4" s="231">
        <v>525</v>
      </c>
      <c r="O4" s="231">
        <v>1600</v>
      </c>
      <c r="P4" s="232">
        <v>0</v>
      </c>
      <c r="Q4" s="231">
        <v>0</v>
      </c>
      <c r="R4" s="231">
        <v>525</v>
      </c>
      <c r="S4" s="231">
        <v>1600</v>
      </c>
      <c r="T4" s="231">
        <v>1600</v>
      </c>
      <c r="U4" s="231">
        <v>840000</v>
      </c>
      <c r="V4" s="231">
        <v>0</v>
      </c>
      <c r="W4" s="231">
        <v>840000</v>
      </c>
      <c r="X4" s="231">
        <v>109565.21739130435</v>
      </c>
      <c r="Y4" s="231">
        <v>730434.78260869568</v>
      </c>
      <c r="Z4" s="206" t="s">
        <v>882</v>
      </c>
      <c r="AA4" s="206">
        <v>572</v>
      </c>
      <c r="AB4" s="206" t="s">
        <v>641</v>
      </c>
      <c r="AC4" s="230">
        <v>45662</v>
      </c>
      <c r="AD4" s="206" t="s">
        <v>50</v>
      </c>
      <c r="AE4" s="206" t="str">
        <f>IFERROR(VLOOKUP(Primary_Order[[#This Row],[AM]],SP!$E$19:$F$23,2,0),Primary_Order[[#This Row],[AM]])</f>
        <v>Central</v>
      </c>
      <c r="AF4" s="206" t="str">
        <f>VLOOKUP(Primary_Order[[#This Row],[Product ID]],SKU[],10,0)</f>
        <v>Mineral</v>
      </c>
      <c r="AG4" s="206" t="str">
        <f>VLOOKUP(Primary_Order[[#This Row],[Product ID]],SKU[],9,0)</f>
        <v>MCO</v>
      </c>
      <c r="AH4" s="206" t="str">
        <f>VLOOKUP(Primary_Order[[#This Row],[Product ID]],SKU[],12,0)</f>
        <v>10W40</v>
      </c>
      <c r="AI4" s="206" t="str">
        <f>VLOOKUP(Primary_Order[[#This Row],[Product ID]],SKU[],13,0)</f>
        <v>3000</v>
      </c>
      <c r="AJ4" s="233">
        <f>VLOOKUP(Primary_Order[[#This Row],[Product ID]],SKU[[SKU ID]:[Bottle Size(Ltr)]],6,0)*Primary_Order[[#This Row],[Free Quantity]]</f>
        <v>0</v>
      </c>
      <c r="AK4" s="206" t="str">
        <f>VLOOKUP(Primary_Order[[#This Row],[Product ID]],SKU[[SKU ID]:[Bottle Size(Ltr)]],4,0)</f>
        <v>20x1L</v>
      </c>
      <c r="AL4" s="231">
        <f>VLOOKUP(Primary_Order[[#This Row],[Product ID]],SKU[],14,0)*Primary_Order[[#This Row],[Total Qty]]</f>
        <v>615760</v>
      </c>
      <c r="AM4" s="231">
        <f>IF(Primary_Order[[#This Row],[Cost]]=0,0,Primary_Order[[#This Row],[Net Total(-15%)]]-Primary_Order[[#This Row],[Cost]])</f>
        <v>114674.78260869568</v>
      </c>
      <c r="AN4" s="206" t="str">
        <f>"O-"&amp;Primary_Order[[#This Row],[Date]]&amp;"-"&amp;Primary_Order[[#This Row],[MMD ID]]</f>
        <v>O-45662-D-0004</v>
      </c>
      <c r="AO4" s="206" t="str" cm="1">
        <f t="array" ref="AO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" spans="1:41" x14ac:dyDescent="0.5">
      <c r="A5" s="206" t="s">
        <v>881</v>
      </c>
      <c r="B5" s="230">
        <v>45662</v>
      </c>
      <c r="C5" s="206" t="s">
        <v>122</v>
      </c>
      <c r="D5" s="206" t="s">
        <v>431</v>
      </c>
      <c r="E5" s="206" t="s">
        <v>880</v>
      </c>
      <c r="F5" s="206" t="s">
        <v>432</v>
      </c>
      <c r="G5" s="206" t="s">
        <v>39</v>
      </c>
      <c r="H5" s="206" t="s">
        <v>40</v>
      </c>
      <c r="I5" s="206" t="s">
        <v>431</v>
      </c>
      <c r="J5" s="206" t="s">
        <v>276</v>
      </c>
      <c r="K5" s="206" t="s">
        <v>32</v>
      </c>
      <c r="L5" s="206" t="str">
        <f>VLOOKUP(Primary_Order[[#This Row],[Product ID]],SKU[],3,0)</f>
        <v>3000 4T PLUS 10W30</v>
      </c>
      <c r="M5" s="231">
        <v>300</v>
      </c>
      <c r="N5" s="231">
        <v>640</v>
      </c>
      <c r="O5" s="231">
        <v>360</v>
      </c>
      <c r="P5" s="232">
        <v>0</v>
      </c>
      <c r="Q5" s="231">
        <v>0</v>
      </c>
      <c r="R5" s="231">
        <v>640</v>
      </c>
      <c r="S5" s="231">
        <v>300</v>
      </c>
      <c r="T5" s="231">
        <v>360</v>
      </c>
      <c r="U5" s="231">
        <v>192000</v>
      </c>
      <c r="V5" s="231">
        <v>0</v>
      </c>
      <c r="W5" s="231">
        <v>192000</v>
      </c>
      <c r="X5" s="231">
        <v>25043.478260869564</v>
      </c>
      <c r="Y5" s="231">
        <v>166956.52173913043</v>
      </c>
      <c r="Z5" s="206" t="s">
        <v>882</v>
      </c>
      <c r="AA5" s="206">
        <v>572</v>
      </c>
      <c r="AB5" s="206" t="s">
        <v>641</v>
      </c>
      <c r="AC5" s="230">
        <v>45662</v>
      </c>
      <c r="AD5" s="206" t="s">
        <v>50</v>
      </c>
      <c r="AE5" s="206" t="str">
        <f>IFERROR(VLOOKUP(Primary_Order[[#This Row],[AM]],SP!$E$19:$F$23,2,0),Primary_Order[[#This Row],[AM]])</f>
        <v>Central</v>
      </c>
      <c r="AF5" s="206" t="str">
        <f>VLOOKUP(Primary_Order[[#This Row],[Product ID]],SKU[],10,0)</f>
        <v>Mineral</v>
      </c>
      <c r="AG5" s="206" t="str">
        <f>VLOOKUP(Primary_Order[[#This Row],[Product ID]],SKU[],9,0)</f>
        <v>MCO</v>
      </c>
      <c r="AH5" s="206" t="str">
        <f>VLOOKUP(Primary_Order[[#This Row],[Product ID]],SKU[],12,0)</f>
        <v>10W30</v>
      </c>
      <c r="AI5" s="206" t="str">
        <f>VLOOKUP(Primary_Order[[#This Row],[Product ID]],SKU[],13,0)</f>
        <v>3000</v>
      </c>
      <c r="AJ5" s="233">
        <f>VLOOKUP(Primary_Order[[#This Row],[Product ID]],SKU[[SKU ID]:[Bottle Size(Ltr)]],6,0)*Primary_Order[[#This Row],[Free Quantity]]</f>
        <v>0</v>
      </c>
      <c r="AK5" s="206" t="str">
        <f>VLOOKUP(Primary_Order[[#This Row],[Product ID]],SKU[[SKU ID]:[Bottle Size(Ltr)]],4,0)</f>
        <v>20x1.2L</v>
      </c>
      <c r="AL5" s="231">
        <f>VLOOKUP(Primary_Order[[#This Row],[Product ID]],SKU[],14,0)*Primary_Order[[#This Row],[Total Qty]]</f>
        <v>131670</v>
      </c>
      <c r="AM5" s="231">
        <f>IF(Primary_Order[[#This Row],[Cost]]=0,0,Primary_Order[[#This Row],[Net Total(-15%)]]-Primary_Order[[#This Row],[Cost]])</f>
        <v>35286.521739130432</v>
      </c>
      <c r="AN5" s="206" t="str">
        <f>"O-"&amp;Primary_Order[[#This Row],[Date]]&amp;"-"&amp;Primary_Order[[#This Row],[MMD ID]]</f>
        <v>O-45662-D-0004</v>
      </c>
      <c r="AO5" s="206" t="str" cm="1">
        <f t="array" ref="AO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" spans="1:41" x14ac:dyDescent="0.5">
      <c r="A6" s="206" t="s">
        <v>881</v>
      </c>
      <c r="B6" s="230">
        <v>45662</v>
      </c>
      <c r="C6" s="206" t="s">
        <v>122</v>
      </c>
      <c r="D6" s="206" t="s">
        <v>431</v>
      </c>
      <c r="E6" s="206" t="s">
        <v>880</v>
      </c>
      <c r="F6" s="206" t="s">
        <v>432</v>
      </c>
      <c r="G6" s="206" t="s">
        <v>39</v>
      </c>
      <c r="H6" s="206" t="s">
        <v>40</v>
      </c>
      <c r="I6" s="206" t="s">
        <v>431</v>
      </c>
      <c r="J6" s="206" t="s">
        <v>276</v>
      </c>
      <c r="K6" s="206" t="s">
        <v>33</v>
      </c>
      <c r="L6" s="206" t="str">
        <f>VLOOKUP(Primary_Order[[#This Row],[Product ID]],SKU[],3,0)</f>
        <v>3000 4T PLUS 20W40</v>
      </c>
      <c r="M6" s="231">
        <v>240</v>
      </c>
      <c r="N6" s="231">
        <v>640</v>
      </c>
      <c r="O6" s="231">
        <v>288</v>
      </c>
      <c r="P6" s="232">
        <v>0</v>
      </c>
      <c r="Q6" s="231">
        <v>0</v>
      </c>
      <c r="R6" s="231">
        <v>640</v>
      </c>
      <c r="S6" s="231">
        <v>240</v>
      </c>
      <c r="T6" s="231">
        <v>288</v>
      </c>
      <c r="U6" s="231">
        <v>153600</v>
      </c>
      <c r="V6" s="231">
        <v>0</v>
      </c>
      <c r="W6" s="231">
        <v>153600</v>
      </c>
      <c r="X6" s="231">
        <v>20034.782608695652</v>
      </c>
      <c r="Y6" s="231">
        <v>133565.21739130435</v>
      </c>
      <c r="Z6" s="206" t="s">
        <v>882</v>
      </c>
      <c r="AA6" s="206">
        <v>572</v>
      </c>
      <c r="AB6" s="206" t="s">
        <v>641</v>
      </c>
      <c r="AC6" s="230">
        <v>45662</v>
      </c>
      <c r="AD6" s="206" t="s">
        <v>50</v>
      </c>
      <c r="AE6" s="206" t="str">
        <f>IFERROR(VLOOKUP(Primary_Order[[#This Row],[AM]],SP!$E$19:$F$23,2,0),Primary_Order[[#This Row],[AM]])</f>
        <v>Central</v>
      </c>
      <c r="AF6" s="206" t="str">
        <f>VLOOKUP(Primary_Order[[#This Row],[Product ID]],SKU[],10,0)</f>
        <v>Mineral</v>
      </c>
      <c r="AG6" s="206" t="str">
        <f>VLOOKUP(Primary_Order[[#This Row],[Product ID]],SKU[],9,0)</f>
        <v>MCO</v>
      </c>
      <c r="AH6" s="206" t="str">
        <f>VLOOKUP(Primary_Order[[#This Row],[Product ID]],SKU[],12,0)</f>
        <v>20W40</v>
      </c>
      <c r="AI6" s="206" t="str">
        <f>VLOOKUP(Primary_Order[[#This Row],[Product ID]],SKU[],13,0)</f>
        <v>3000</v>
      </c>
      <c r="AJ6" s="233">
        <f>VLOOKUP(Primary_Order[[#This Row],[Product ID]],SKU[[SKU ID]:[Bottle Size(Ltr)]],6,0)*Primary_Order[[#This Row],[Free Quantity]]</f>
        <v>0</v>
      </c>
      <c r="AK6" s="206" t="str">
        <f>VLOOKUP(Primary_Order[[#This Row],[Product ID]],SKU[[SKU ID]:[Bottle Size(Ltr)]],4,0)</f>
        <v>20x1.2L</v>
      </c>
      <c r="AL6" s="231">
        <f>VLOOKUP(Primary_Order[[#This Row],[Product ID]],SKU[],14,0)*Primary_Order[[#This Row],[Total Qty]]</f>
        <v>112775.47088414633</v>
      </c>
      <c r="AM6" s="231">
        <f>IF(Primary_Order[[#This Row],[Cost]]=0,0,Primary_Order[[#This Row],[Net Total(-15%)]]-Primary_Order[[#This Row],[Cost]])</f>
        <v>20789.746507158023</v>
      </c>
      <c r="AN6" s="206" t="str">
        <f>"O-"&amp;Primary_Order[[#This Row],[Date]]&amp;"-"&amp;Primary_Order[[#This Row],[MMD ID]]</f>
        <v>O-45662-D-0004</v>
      </c>
      <c r="AO6" s="206" t="str" cm="1">
        <f t="array" ref="AO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" spans="1:41" x14ac:dyDescent="0.5">
      <c r="A7" s="206" t="s">
        <v>881</v>
      </c>
      <c r="B7" s="230">
        <v>45662</v>
      </c>
      <c r="C7" s="206" t="s">
        <v>122</v>
      </c>
      <c r="D7" s="206" t="s">
        <v>431</v>
      </c>
      <c r="E7" s="206" t="s">
        <v>880</v>
      </c>
      <c r="F7" s="206" t="s">
        <v>432</v>
      </c>
      <c r="G7" s="206" t="s">
        <v>39</v>
      </c>
      <c r="H7" s="206" t="s">
        <v>40</v>
      </c>
      <c r="I7" s="206" t="s">
        <v>431</v>
      </c>
      <c r="J7" s="206" t="s">
        <v>276</v>
      </c>
      <c r="K7" s="206" t="s">
        <v>75</v>
      </c>
      <c r="L7" s="206" t="str">
        <f>VLOOKUP(Primary_Order[[#This Row],[Product ID]],SKU[],3,0)</f>
        <v>31004T GOLD 20W50</v>
      </c>
      <c r="M7" s="231">
        <v>80</v>
      </c>
      <c r="N7" s="231">
        <v>595</v>
      </c>
      <c r="O7" s="231">
        <v>80</v>
      </c>
      <c r="P7" s="232">
        <v>0</v>
      </c>
      <c r="Q7" s="231">
        <v>0</v>
      </c>
      <c r="R7" s="231">
        <v>595</v>
      </c>
      <c r="S7" s="231">
        <v>80</v>
      </c>
      <c r="T7" s="231">
        <v>80</v>
      </c>
      <c r="U7" s="231">
        <v>47600</v>
      </c>
      <c r="V7" s="231">
        <v>0</v>
      </c>
      <c r="W7" s="231">
        <v>47600</v>
      </c>
      <c r="X7" s="231">
        <v>6208.695652173913</v>
      </c>
      <c r="Y7" s="231">
        <v>41391.304347826088</v>
      </c>
      <c r="Z7" s="206" t="s">
        <v>882</v>
      </c>
      <c r="AA7" s="206">
        <v>572</v>
      </c>
      <c r="AB7" s="206" t="s">
        <v>641</v>
      </c>
      <c r="AC7" s="230">
        <v>45662</v>
      </c>
      <c r="AD7" s="206" t="s">
        <v>50</v>
      </c>
      <c r="AE7" s="206" t="str">
        <f>IFERROR(VLOOKUP(Primary_Order[[#This Row],[AM]],SP!$E$19:$F$23,2,0),Primary_Order[[#This Row],[AM]])</f>
        <v>Central</v>
      </c>
      <c r="AF7" s="206" t="str">
        <f>VLOOKUP(Primary_Order[[#This Row],[Product ID]],SKU[],10,0)</f>
        <v>Technosynthese</v>
      </c>
      <c r="AG7" s="206" t="str">
        <f>VLOOKUP(Primary_Order[[#This Row],[Product ID]],SKU[],9,0)</f>
        <v>MCO</v>
      </c>
      <c r="AH7" s="206" t="str">
        <f>VLOOKUP(Primary_Order[[#This Row],[Product ID]],SKU[],12,0)</f>
        <v>20W50</v>
      </c>
      <c r="AI7" s="206" t="str">
        <f>VLOOKUP(Primary_Order[[#This Row],[Product ID]],SKU[],13,0)</f>
        <v>3100</v>
      </c>
      <c r="AJ7" s="233">
        <f>VLOOKUP(Primary_Order[[#This Row],[Product ID]],SKU[[SKU ID]:[Bottle Size(Ltr)]],6,0)*Primary_Order[[#This Row],[Free Quantity]]</f>
        <v>0</v>
      </c>
      <c r="AK7" s="206" t="str">
        <f>VLOOKUP(Primary_Order[[#This Row],[Product ID]],SKU[[SKU ID]:[Bottle Size(Ltr)]],4,0)</f>
        <v>20x1L</v>
      </c>
      <c r="AL7" s="231">
        <f>VLOOKUP(Primary_Order[[#This Row],[Product ID]],SKU[],14,0)*Primary_Order[[#This Row],[Total Qty]]</f>
        <v>37551.199999999997</v>
      </c>
      <c r="AM7" s="231">
        <f>IF(Primary_Order[[#This Row],[Cost]]=0,0,Primary_Order[[#This Row],[Net Total(-15%)]]-Primary_Order[[#This Row],[Cost]])</f>
        <v>3840.1043478260908</v>
      </c>
      <c r="AN7" s="206" t="str">
        <f>"O-"&amp;Primary_Order[[#This Row],[Date]]&amp;"-"&amp;Primary_Order[[#This Row],[MMD ID]]</f>
        <v>O-45662-D-0004</v>
      </c>
      <c r="AO7" s="206" t="str" cm="1">
        <f t="array" ref="AO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" spans="1:41" x14ac:dyDescent="0.5">
      <c r="A8" s="206" t="s">
        <v>881</v>
      </c>
      <c r="B8" s="230">
        <v>45662</v>
      </c>
      <c r="C8" s="206" t="s">
        <v>122</v>
      </c>
      <c r="D8" s="206" t="s">
        <v>431</v>
      </c>
      <c r="E8" s="206" t="s">
        <v>880</v>
      </c>
      <c r="F8" s="206" t="s">
        <v>432</v>
      </c>
      <c r="G8" s="206" t="s">
        <v>39</v>
      </c>
      <c r="H8" s="206" t="s">
        <v>40</v>
      </c>
      <c r="I8" s="206" t="s">
        <v>431</v>
      </c>
      <c r="J8" s="206" t="s">
        <v>276</v>
      </c>
      <c r="K8" s="206" t="s">
        <v>36</v>
      </c>
      <c r="L8" s="206" t="str">
        <f>VLOOKUP(Primary_Order[[#This Row],[Product ID]],SKU[],3,0)</f>
        <v>51004T 10W40 ESTER</v>
      </c>
      <c r="M8" s="231">
        <v>84</v>
      </c>
      <c r="N8" s="231">
        <v>850</v>
      </c>
      <c r="O8" s="231">
        <v>84</v>
      </c>
      <c r="P8" s="232">
        <v>0</v>
      </c>
      <c r="Q8" s="231">
        <v>0</v>
      </c>
      <c r="R8" s="231">
        <v>850</v>
      </c>
      <c r="S8" s="231">
        <v>84</v>
      </c>
      <c r="T8" s="231">
        <v>84</v>
      </c>
      <c r="U8" s="231">
        <v>71400</v>
      </c>
      <c r="V8" s="231">
        <v>0</v>
      </c>
      <c r="W8" s="231">
        <v>71400</v>
      </c>
      <c r="X8" s="231">
        <v>9313.04347826087</v>
      </c>
      <c r="Y8" s="231">
        <v>62086.956521739128</v>
      </c>
      <c r="Z8" s="206" t="s">
        <v>882</v>
      </c>
      <c r="AA8" s="206">
        <v>572</v>
      </c>
      <c r="AB8" s="206" t="s">
        <v>641</v>
      </c>
      <c r="AC8" s="230">
        <v>45662</v>
      </c>
      <c r="AD8" s="206" t="s">
        <v>50</v>
      </c>
      <c r="AE8" s="206" t="str">
        <f>IFERROR(VLOOKUP(Primary_Order[[#This Row],[AM]],SP!$E$19:$F$23,2,0),Primary_Order[[#This Row],[AM]])</f>
        <v>Central</v>
      </c>
      <c r="AF8" s="206" t="str">
        <f>VLOOKUP(Primary_Order[[#This Row],[Product ID]],SKU[],10,0)</f>
        <v>Technosynthese</v>
      </c>
      <c r="AG8" s="206" t="str">
        <f>VLOOKUP(Primary_Order[[#This Row],[Product ID]],SKU[],9,0)</f>
        <v>MCO</v>
      </c>
      <c r="AH8" s="206" t="str">
        <f>VLOOKUP(Primary_Order[[#This Row],[Product ID]],SKU[],12,0)</f>
        <v>10W40</v>
      </c>
      <c r="AI8" s="206" t="str">
        <f>VLOOKUP(Primary_Order[[#This Row],[Product ID]],SKU[],13,0)</f>
        <v>5100</v>
      </c>
      <c r="AJ8" s="233">
        <f>VLOOKUP(Primary_Order[[#This Row],[Product ID]],SKU[[SKU ID]:[Bottle Size(Ltr)]],6,0)*Primary_Order[[#This Row],[Free Quantity]]</f>
        <v>0</v>
      </c>
      <c r="AK8" s="206" t="str">
        <f>VLOOKUP(Primary_Order[[#This Row],[Product ID]],SKU[[SKU ID]:[Bottle Size(Ltr)]],4,0)</f>
        <v>12x1L</v>
      </c>
      <c r="AL8" s="231">
        <f>VLOOKUP(Primary_Order[[#This Row],[Product ID]],SKU[],14,0)*Primary_Order[[#This Row],[Total Qty]]</f>
        <v>51099.72</v>
      </c>
      <c r="AM8" s="231">
        <f>IF(Primary_Order[[#This Row],[Cost]]=0,0,Primary_Order[[#This Row],[Net Total(-15%)]]-Primary_Order[[#This Row],[Cost]])</f>
        <v>10987.236521739127</v>
      </c>
      <c r="AN8" s="206" t="str">
        <f>"O-"&amp;Primary_Order[[#This Row],[Date]]&amp;"-"&amp;Primary_Order[[#This Row],[MMD ID]]</f>
        <v>O-45662-D-0004</v>
      </c>
      <c r="AO8" s="206" t="str" cm="1">
        <f t="array" ref="AO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" spans="1:41" x14ac:dyDescent="0.5">
      <c r="A9" s="206" t="s">
        <v>881</v>
      </c>
      <c r="B9" s="230">
        <v>45662</v>
      </c>
      <c r="C9" s="206" t="s">
        <v>122</v>
      </c>
      <c r="D9" s="206" t="s">
        <v>431</v>
      </c>
      <c r="E9" s="206" t="s">
        <v>880</v>
      </c>
      <c r="F9" s="206" t="s">
        <v>432</v>
      </c>
      <c r="G9" s="206" t="s">
        <v>39</v>
      </c>
      <c r="H9" s="206" t="s">
        <v>40</v>
      </c>
      <c r="I9" s="206" t="s">
        <v>431</v>
      </c>
      <c r="J9" s="206" t="s">
        <v>276</v>
      </c>
      <c r="K9" s="206" t="s">
        <v>56</v>
      </c>
      <c r="L9" s="206" t="str">
        <f>VLOOKUP(Primary_Order[[#This Row],[Product ID]],SKU[],3,0)</f>
        <v>7100 4T 10W30 ESTER CORE®</v>
      </c>
      <c r="M9" s="231">
        <v>120</v>
      </c>
      <c r="N9" s="231">
        <v>1050</v>
      </c>
      <c r="O9" s="231">
        <v>120</v>
      </c>
      <c r="P9" s="232">
        <v>0</v>
      </c>
      <c r="Q9" s="231">
        <v>0</v>
      </c>
      <c r="R9" s="231">
        <v>1050</v>
      </c>
      <c r="S9" s="231">
        <v>120</v>
      </c>
      <c r="T9" s="231">
        <v>120</v>
      </c>
      <c r="U9" s="231">
        <v>126000</v>
      </c>
      <c r="V9" s="231">
        <v>0</v>
      </c>
      <c r="W9" s="231">
        <v>126000</v>
      </c>
      <c r="X9" s="231">
        <v>16434.782608695652</v>
      </c>
      <c r="Y9" s="231">
        <v>109565.21739130435</v>
      </c>
      <c r="Z9" s="206" t="s">
        <v>882</v>
      </c>
      <c r="AA9" s="206">
        <v>572</v>
      </c>
      <c r="AB9" s="206" t="s">
        <v>641</v>
      </c>
      <c r="AC9" s="230">
        <v>45662</v>
      </c>
      <c r="AD9" s="206" t="s">
        <v>50</v>
      </c>
      <c r="AE9" s="206" t="str">
        <f>IFERROR(VLOOKUP(Primary_Order[[#This Row],[AM]],SP!$E$19:$F$23,2,0),Primary_Order[[#This Row],[AM]])</f>
        <v>Central</v>
      </c>
      <c r="AF9" s="206" t="str">
        <f>VLOOKUP(Primary_Order[[#This Row],[Product ID]],SKU[],10,0)</f>
        <v>Synthetic</v>
      </c>
      <c r="AG9" s="206" t="str">
        <f>VLOOKUP(Primary_Order[[#This Row],[Product ID]],SKU[],9,0)</f>
        <v>MCO</v>
      </c>
      <c r="AH9" s="206" t="str">
        <f>VLOOKUP(Primary_Order[[#This Row],[Product ID]],SKU[],12,0)</f>
        <v>10W30</v>
      </c>
      <c r="AI9" s="206" t="str">
        <f>VLOOKUP(Primary_Order[[#This Row],[Product ID]],SKU[],13,0)</f>
        <v>7100</v>
      </c>
      <c r="AJ9" s="233">
        <f>VLOOKUP(Primary_Order[[#This Row],[Product ID]],SKU[[SKU ID]:[Bottle Size(Ltr)]],6,0)*Primary_Order[[#This Row],[Free Quantity]]</f>
        <v>0</v>
      </c>
      <c r="AK9" s="206" t="str">
        <f>VLOOKUP(Primary_Order[[#This Row],[Product ID]],SKU[[SKU ID]:[Bottle Size(Ltr)]],4,0)</f>
        <v>12x1L</v>
      </c>
      <c r="AL9" s="231">
        <f>VLOOKUP(Primary_Order[[#This Row],[Product ID]],SKU[],14,0)*Primary_Order[[#This Row],[Total Qty]]</f>
        <v>82783.199999999997</v>
      </c>
      <c r="AM9" s="231">
        <f>IF(Primary_Order[[#This Row],[Cost]]=0,0,Primary_Order[[#This Row],[Net Total(-15%)]]-Primary_Order[[#This Row],[Cost]])</f>
        <v>26782.017391304355</v>
      </c>
      <c r="AN9" s="206" t="str">
        <f>"O-"&amp;Primary_Order[[#This Row],[Date]]&amp;"-"&amp;Primary_Order[[#This Row],[MMD ID]]</f>
        <v>O-45662-D-0004</v>
      </c>
      <c r="AO9" s="206" t="str" cm="1">
        <f t="array" ref="AO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" spans="1:41" x14ac:dyDescent="0.5">
      <c r="A10" s="206" t="s">
        <v>881</v>
      </c>
      <c r="B10" s="230">
        <v>45662</v>
      </c>
      <c r="C10" s="206" t="s">
        <v>122</v>
      </c>
      <c r="D10" s="206" t="s">
        <v>431</v>
      </c>
      <c r="E10" s="206" t="s">
        <v>880</v>
      </c>
      <c r="F10" s="206" t="s">
        <v>432</v>
      </c>
      <c r="G10" s="206" t="s">
        <v>39</v>
      </c>
      <c r="H10" s="206" t="s">
        <v>40</v>
      </c>
      <c r="I10" s="206" t="s">
        <v>431</v>
      </c>
      <c r="J10" s="206" t="s">
        <v>276</v>
      </c>
      <c r="K10" s="206" t="s">
        <v>57</v>
      </c>
      <c r="L10" s="206" t="str">
        <f>VLOOKUP(Primary_Order[[#This Row],[Product ID]],SKU[],3,0)</f>
        <v>7100 4T 10W40 ESTER CORE®</v>
      </c>
      <c r="M10" s="231">
        <v>600</v>
      </c>
      <c r="N10" s="231">
        <v>1050</v>
      </c>
      <c r="O10" s="231">
        <v>600</v>
      </c>
      <c r="P10" s="232">
        <v>0</v>
      </c>
      <c r="Q10" s="231">
        <v>0</v>
      </c>
      <c r="R10" s="231">
        <v>1050</v>
      </c>
      <c r="S10" s="231">
        <v>600</v>
      </c>
      <c r="T10" s="231">
        <v>600</v>
      </c>
      <c r="U10" s="231">
        <v>630000</v>
      </c>
      <c r="V10" s="231">
        <v>0</v>
      </c>
      <c r="W10" s="231">
        <v>630000</v>
      </c>
      <c r="X10" s="231">
        <v>82173.913043478256</v>
      </c>
      <c r="Y10" s="231">
        <v>547826.08695652173</v>
      </c>
      <c r="Z10" s="206" t="s">
        <v>882</v>
      </c>
      <c r="AA10" s="206">
        <v>572</v>
      </c>
      <c r="AB10" s="206" t="s">
        <v>641</v>
      </c>
      <c r="AC10" s="230">
        <v>45662</v>
      </c>
      <c r="AD10" s="206" t="s">
        <v>50</v>
      </c>
      <c r="AE10" s="206" t="str">
        <f>IFERROR(VLOOKUP(Primary_Order[[#This Row],[AM]],SP!$E$19:$F$23,2,0),Primary_Order[[#This Row],[AM]])</f>
        <v>Central</v>
      </c>
      <c r="AF10" s="206" t="str">
        <f>VLOOKUP(Primary_Order[[#This Row],[Product ID]],SKU[],10,0)</f>
        <v>Synthetic</v>
      </c>
      <c r="AG10" s="206" t="str">
        <f>VLOOKUP(Primary_Order[[#This Row],[Product ID]],SKU[],9,0)</f>
        <v>MCO</v>
      </c>
      <c r="AH10" s="206" t="str">
        <f>VLOOKUP(Primary_Order[[#This Row],[Product ID]],SKU[],12,0)</f>
        <v>10W40</v>
      </c>
      <c r="AI10" s="206" t="str">
        <f>VLOOKUP(Primary_Order[[#This Row],[Product ID]],SKU[],13,0)</f>
        <v>7100</v>
      </c>
      <c r="AJ10" s="233">
        <f>VLOOKUP(Primary_Order[[#This Row],[Product ID]],SKU[[SKU ID]:[Bottle Size(Ltr)]],6,0)*Primary_Order[[#This Row],[Free Quantity]]</f>
        <v>0</v>
      </c>
      <c r="AK10" s="206" t="str">
        <f>VLOOKUP(Primary_Order[[#This Row],[Product ID]],SKU[[SKU ID]:[Bottle Size(Ltr)]],4,0)</f>
        <v>12x1L</v>
      </c>
      <c r="AL10" s="231">
        <f>VLOOKUP(Primary_Order[[#This Row],[Product ID]],SKU[],14,0)*Primary_Order[[#This Row],[Total Qty]]</f>
        <v>416394</v>
      </c>
      <c r="AM10" s="231">
        <f>IF(Primary_Order[[#This Row],[Cost]]=0,0,Primary_Order[[#This Row],[Net Total(-15%)]]-Primary_Order[[#This Row],[Cost]])</f>
        <v>131432.08695652173</v>
      </c>
      <c r="AN10" s="206" t="str">
        <f>"O-"&amp;Primary_Order[[#This Row],[Date]]&amp;"-"&amp;Primary_Order[[#This Row],[MMD ID]]</f>
        <v>O-45662-D-0004</v>
      </c>
      <c r="AO10" s="206" t="str" cm="1">
        <f t="array" ref="AO1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" spans="1:41" x14ac:dyDescent="0.5">
      <c r="A11" s="206" t="s">
        <v>881</v>
      </c>
      <c r="B11" s="230">
        <v>45662</v>
      </c>
      <c r="C11" s="206" t="s">
        <v>122</v>
      </c>
      <c r="D11" s="206" t="s">
        <v>431</v>
      </c>
      <c r="E11" s="206" t="s">
        <v>880</v>
      </c>
      <c r="F11" s="206" t="s">
        <v>432</v>
      </c>
      <c r="G11" s="206" t="s">
        <v>39</v>
      </c>
      <c r="H11" s="206" t="s">
        <v>40</v>
      </c>
      <c r="I11" s="206" t="s">
        <v>431</v>
      </c>
      <c r="J11" s="206" t="s">
        <v>276</v>
      </c>
      <c r="K11" s="206" t="s">
        <v>58</v>
      </c>
      <c r="L11" s="206" t="str">
        <f>VLOOKUP(Primary_Order[[#This Row],[Product ID]],SKU[],3,0)</f>
        <v>7100 4T 20W50 ESTER CORE®</v>
      </c>
      <c r="M11" s="231">
        <v>96</v>
      </c>
      <c r="N11" s="231">
        <v>1050</v>
      </c>
      <c r="O11" s="231">
        <v>96</v>
      </c>
      <c r="P11" s="232">
        <v>0</v>
      </c>
      <c r="Q11" s="231">
        <v>0</v>
      </c>
      <c r="R11" s="231">
        <v>1050</v>
      </c>
      <c r="S11" s="231">
        <v>96</v>
      </c>
      <c r="T11" s="231">
        <v>96</v>
      </c>
      <c r="U11" s="231">
        <v>100800</v>
      </c>
      <c r="V11" s="231">
        <v>0</v>
      </c>
      <c r="W11" s="231">
        <v>100800</v>
      </c>
      <c r="X11" s="231">
        <v>13147.826086956522</v>
      </c>
      <c r="Y11" s="231">
        <v>87652.173913043473</v>
      </c>
      <c r="Z11" s="206" t="s">
        <v>882</v>
      </c>
      <c r="AA11" s="206">
        <v>572</v>
      </c>
      <c r="AB11" s="206" t="s">
        <v>641</v>
      </c>
      <c r="AC11" s="230">
        <v>45662</v>
      </c>
      <c r="AD11" s="206" t="s">
        <v>50</v>
      </c>
      <c r="AE11" s="206" t="str">
        <f>IFERROR(VLOOKUP(Primary_Order[[#This Row],[AM]],SP!$E$19:$F$23,2,0),Primary_Order[[#This Row],[AM]])</f>
        <v>Central</v>
      </c>
      <c r="AF11" s="206" t="str">
        <f>VLOOKUP(Primary_Order[[#This Row],[Product ID]],SKU[],10,0)</f>
        <v>Synthetic</v>
      </c>
      <c r="AG11" s="206" t="str">
        <f>VLOOKUP(Primary_Order[[#This Row],[Product ID]],SKU[],9,0)</f>
        <v>MCO</v>
      </c>
      <c r="AH11" s="206" t="str">
        <f>VLOOKUP(Primary_Order[[#This Row],[Product ID]],SKU[],12,0)</f>
        <v>20W50</v>
      </c>
      <c r="AI11" s="206" t="str">
        <f>VLOOKUP(Primary_Order[[#This Row],[Product ID]],SKU[],13,0)</f>
        <v>7100</v>
      </c>
      <c r="AJ11" s="233">
        <f>VLOOKUP(Primary_Order[[#This Row],[Product ID]],SKU[[SKU ID]:[Bottle Size(Ltr)]],6,0)*Primary_Order[[#This Row],[Free Quantity]]</f>
        <v>0</v>
      </c>
      <c r="AK11" s="206" t="str">
        <f>VLOOKUP(Primary_Order[[#This Row],[Product ID]],SKU[[SKU ID]:[Bottle Size(Ltr)]],4,0)</f>
        <v>12x1L</v>
      </c>
      <c r="AL11" s="231">
        <f>VLOOKUP(Primary_Order[[#This Row],[Product ID]],SKU[],14,0)*Primary_Order[[#This Row],[Total Qty]]</f>
        <v>73315.046399999992</v>
      </c>
      <c r="AM11" s="231">
        <f>IF(Primary_Order[[#This Row],[Cost]]=0,0,Primary_Order[[#This Row],[Net Total(-15%)]]-Primary_Order[[#This Row],[Cost]])</f>
        <v>14337.127513043481</v>
      </c>
      <c r="AN11" s="206" t="str">
        <f>"O-"&amp;Primary_Order[[#This Row],[Date]]&amp;"-"&amp;Primary_Order[[#This Row],[MMD ID]]</f>
        <v>O-45662-D-0004</v>
      </c>
      <c r="AO11" s="206" t="str" cm="1">
        <f t="array" ref="AO1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" spans="1:41" x14ac:dyDescent="0.5">
      <c r="A12" s="206" t="s">
        <v>881</v>
      </c>
      <c r="B12" s="230">
        <v>45662</v>
      </c>
      <c r="C12" s="206" t="s">
        <v>122</v>
      </c>
      <c r="D12" s="206" t="s">
        <v>431</v>
      </c>
      <c r="E12" s="206" t="s">
        <v>880</v>
      </c>
      <c r="F12" s="206" t="s">
        <v>432</v>
      </c>
      <c r="G12" s="206" t="s">
        <v>39</v>
      </c>
      <c r="H12" s="206" t="s">
        <v>40</v>
      </c>
      <c r="I12" s="206" t="s">
        <v>431</v>
      </c>
      <c r="J12" s="206" t="s">
        <v>276</v>
      </c>
      <c r="K12" s="206" t="s">
        <v>59</v>
      </c>
      <c r="L12" s="206" t="str">
        <f>VLOOKUP(Primary_Order[[#This Row],[Product ID]],SKU[],3,0)</f>
        <v>Scooter LE 4T 10W30 HC-TECH®</v>
      </c>
      <c r="M12" s="231">
        <v>20</v>
      </c>
      <c r="N12" s="231">
        <v>483</v>
      </c>
      <c r="O12" s="231">
        <v>16</v>
      </c>
      <c r="P12" s="232">
        <v>0</v>
      </c>
      <c r="Q12" s="231">
        <v>0</v>
      </c>
      <c r="R12" s="231">
        <v>483</v>
      </c>
      <c r="S12" s="231">
        <v>20</v>
      </c>
      <c r="T12" s="231">
        <v>16</v>
      </c>
      <c r="U12" s="231">
        <v>9660</v>
      </c>
      <c r="V12" s="231">
        <v>0</v>
      </c>
      <c r="W12" s="231">
        <v>9660</v>
      </c>
      <c r="X12" s="231">
        <v>1260</v>
      </c>
      <c r="Y12" s="231">
        <v>8400</v>
      </c>
      <c r="Z12" s="206" t="s">
        <v>882</v>
      </c>
      <c r="AA12" s="206">
        <v>572</v>
      </c>
      <c r="AB12" s="206" t="s">
        <v>641</v>
      </c>
      <c r="AC12" s="230">
        <v>45662</v>
      </c>
      <c r="AD12" s="206" t="s">
        <v>50</v>
      </c>
      <c r="AE12" s="206" t="str">
        <f>IFERROR(VLOOKUP(Primary_Order[[#This Row],[AM]],SP!$E$19:$F$23,2,0),Primary_Order[[#This Row],[AM]])</f>
        <v>Central</v>
      </c>
      <c r="AF12" s="206" t="str">
        <f>VLOOKUP(Primary_Order[[#This Row],[Product ID]],SKU[],10,0)</f>
        <v>Mineral</v>
      </c>
      <c r="AG12" s="206" t="str">
        <f>VLOOKUP(Primary_Order[[#This Row],[Product ID]],SKU[],9,0)</f>
        <v>MCO</v>
      </c>
      <c r="AH12" s="206" t="str">
        <f>VLOOKUP(Primary_Order[[#This Row],[Product ID]],SKU[],12,0)</f>
        <v>10W30</v>
      </c>
      <c r="AI12" s="206" t="str">
        <f>VLOOKUP(Primary_Order[[#This Row],[Product ID]],SKU[],13,0)</f>
        <v>Scooter</v>
      </c>
      <c r="AJ12" s="233">
        <f>VLOOKUP(Primary_Order[[#This Row],[Product ID]],SKU[[SKU ID]:[Bottle Size(Ltr)]],6,0)*Primary_Order[[#This Row],[Free Quantity]]</f>
        <v>0</v>
      </c>
      <c r="AK12" s="206" t="str">
        <f>VLOOKUP(Primary_Order[[#This Row],[Product ID]],SKU[[SKU ID]:[Bottle Size(Ltr)]],4,0)</f>
        <v>20x0.8L</v>
      </c>
      <c r="AL12" s="231">
        <f>VLOOKUP(Primary_Order[[#This Row],[Product ID]],SKU[],14,0)*Primary_Order[[#This Row],[Total Qty]]</f>
        <v>6666.5999999999995</v>
      </c>
      <c r="AM12" s="231">
        <f>IF(Primary_Order[[#This Row],[Cost]]=0,0,Primary_Order[[#This Row],[Net Total(-15%)]]-Primary_Order[[#This Row],[Cost]])</f>
        <v>1733.4000000000005</v>
      </c>
      <c r="AN12" s="206" t="str">
        <f>"O-"&amp;Primary_Order[[#This Row],[Date]]&amp;"-"&amp;Primary_Order[[#This Row],[MMD ID]]</f>
        <v>O-45662-D-0004</v>
      </c>
      <c r="AO12" s="206" t="str" cm="1">
        <f t="array" ref="AO1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" spans="1:41" x14ac:dyDescent="0.5">
      <c r="A13" s="206" t="s">
        <v>881</v>
      </c>
      <c r="B13" s="230">
        <v>45662</v>
      </c>
      <c r="C13" s="206" t="s">
        <v>122</v>
      </c>
      <c r="D13" s="206" t="s">
        <v>431</v>
      </c>
      <c r="E13" s="206" t="s">
        <v>880</v>
      </c>
      <c r="F13" s="206" t="s">
        <v>432</v>
      </c>
      <c r="G13" s="206" t="s">
        <v>39</v>
      </c>
      <c r="H13" s="206" t="s">
        <v>40</v>
      </c>
      <c r="I13" s="206" t="s">
        <v>431</v>
      </c>
      <c r="J13" s="206" t="s">
        <v>276</v>
      </c>
      <c r="K13" s="206" t="s">
        <v>43</v>
      </c>
      <c r="L13" s="206" t="str">
        <f>VLOOKUP(Primary_Order[[#This Row],[Product ID]],SKU[],3,0)</f>
        <v>7100 4T 10W30 ESTER CORE®</v>
      </c>
      <c r="M13" s="231">
        <v>40</v>
      </c>
      <c r="N13" s="231">
        <v>1260</v>
      </c>
      <c r="O13" s="231">
        <v>48</v>
      </c>
      <c r="P13" s="232">
        <v>0</v>
      </c>
      <c r="Q13" s="231">
        <v>0</v>
      </c>
      <c r="R13" s="231">
        <v>1260</v>
      </c>
      <c r="S13" s="231">
        <v>40</v>
      </c>
      <c r="T13" s="231">
        <v>48</v>
      </c>
      <c r="U13" s="231">
        <v>50400</v>
      </c>
      <c r="V13" s="231">
        <v>0</v>
      </c>
      <c r="W13" s="231">
        <v>50400</v>
      </c>
      <c r="X13" s="231">
        <v>6573.913043478261</v>
      </c>
      <c r="Y13" s="231">
        <v>43826.086956521736</v>
      </c>
      <c r="Z13" s="206" t="s">
        <v>882</v>
      </c>
      <c r="AA13" s="206">
        <v>572</v>
      </c>
      <c r="AB13" s="206" t="s">
        <v>641</v>
      </c>
      <c r="AC13" s="230">
        <v>45662</v>
      </c>
      <c r="AD13" s="206" t="s">
        <v>50</v>
      </c>
      <c r="AE13" s="206" t="str">
        <f>IFERROR(VLOOKUP(Primary_Order[[#This Row],[AM]],SP!$E$19:$F$23,2,0),Primary_Order[[#This Row],[AM]])</f>
        <v>Central</v>
      </c>
      <c r="AF13" s="206" t="str">
        <f>VLOOKUP(Primary_Order[[#This Row],[Product ID]],SKU[],10,0)</f>
        <v>Synthetic</v>
      </c>
      <c r="AG13" s="206" t="str">
        <f>VLOOKUP(Primary_Order[[#This Row],[Product ID]],SKU[],9,0)</f>
        <v>MCO</v>
      </c>
      <c r="AH13" s="206" t="str">
        <f>VLOOKUP(Primary_Order[[#This Row],[Product ID]],SKU[],12,0)</f>
        <v>10W30</v>
      </c>
      <c r="AI13" s="206" t="str">
        <f>VLOOKUP(Primary_Order[[#This Row],[Product ID]],SKU[],13,0)</f>
        <v>7100</v>
      </c>
      <c r="AJ13" s="233">
        <f>VLOOKUP(Primary_Order[[#This Row],[Product ID]],SKU[[SKU ID]:[Bottle Size(Ltr)]],6,0)*Primary_Order[[#This Row],[Free Quantity]]</f>
        <v>0</v>
      </c>
      <c r="AK13" s="206" t="str">
        <f>VLOOKUP(Primary_Order[[#This Row],[Product ID]],SKU[[SKU ID]:[Bottle Size(Ltr)]],4,0)</f>
        <v>20x1.2L</v>
      </c>
      <c r="AL13" s="231">
        <f>VLOOKUP(Primary_Order[[#This Row],[Product ID]],SKU[],14,0)*Primary_Order[[#This Row],[Total Qty]]</f>
        <v>31092</v>
      </c>
      <c r="AM13" s="231">
        <f>IF(Primary_Order[[#This Row],[Cost]]=0,0,Primary_Order[[#This Row],[Net Total(-15%)]]-Primary_Order[[#This Row],[Cost]])</f>
        <v>12734.086956521736</v>
      </c>
      <c r="AN13" s="206" t="str">
        <f>"O-"&amp;Primary_Order[[#This Row],[Date]]&amp;"-"&amp;Primary_Order[[#This Row],[MMD ID]]</f>
        <v>O-45662-D-0004</v>
      </c>
      <c r="AO13" s="206" t="str" cm="1">
        <f t="array" ref="AO1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" spans="1:41" x14ac:dyDescent="0.5">
      <c r="A14" s="206" t="s">
        <v>881</v>
      </c>
      <c r="B14" s="230">
        <v>45662</v>
      </c>
      <c r="C14" s="206" t="s">
        <v>122</v>
      </c>
      <c r="D14" s="206" t="s">
        <v>431</v>
      </c>
      <c r="E14" s="206" t="s">
        <v>880</v>
      </c>
      <c r="F14" s="206" t="s">
        <v>432</v>
      </c>
      <c r="G14" s="206" t="s">
        <v>39</v>
      </c>
      <c r="H14" s="206" t="s">
        <v>40</v>
      </c>
      <c r="I14" s="206" t="s">
        <v>431</v>
      </c>
      <c r="J14" s="206" t="s">
        <v>276</v>
      </c>
      <c r="K14" s="206" t="s">
        <v>81</v>
      </c>
      <c r="L14" s="206" t="str">
        <f>VLOOKUP(Primary_Order[[#This Row],[Product ID]],SKU[],3,0)</f>
        <v>3000 4T 20W50</v>
      </c>
      <c r="M14" s="231">
        <v>100</v>
      </c>
      <c r="N14" s="231">
        <v>480</v>
      </c>
      <c r="O14" s="231">
        <v>100</v>
      </c>
      <c r="P14" s="232">
        <v>0</v>
      </c>
      <c r="Q14" s="231">
        <v>0</v>
      </c>
      <c r="R14" s="231">
        <v>480</v>
      </c>
      <c r="S14" s="231">
        <v>100</v>
      </c>
      <c r="T14" s="231">
        <v>100</v>
      </c>
      <c r="U14" s="231">
        <v>48000</v>
      </c>
      <c r="V14" s="231">
        <v>0</v>
      </c>
      <c r="W14" s="231">
        <v>48000</v>
      </c>
      <c r="X14" s="231">
        <v>6260.869565217391</v>
      </c>
      <c r="Y14" s="231">
        <v>41739.130434782608</v>
      </c>
      <c r="Z14" s="206" t="s">
        <v>882</v>
      </c>
      <c r="AA14" s="206">
        <v>572</v>
      </c>
      <c r="AB14" s="206" t="s">
        <v>641</v>
      </c>
      <c r="AC14" s="230">
        <v>45662</v>
      </c>
      <c r="AD14" s="206" t="s">
        <v>50</v>
      </c>
      <c r="AE14" s="206" t="str">
        <f>IFERROR(VLOOKUP(Primary_Order[[#This Row],[AM]],SP!$E$19:$F$23,2,0),Primary_Order[[#This Row],[AM]])</f>
        <v>Central</v>
      </c>
      <c r="AF14" s="206" t="str">
        <f>VLOOKUP(Primary_Order[[#This Row],[Product ID]],SKU[],10,0)</f>
        <v>Mineral</v>
      </c>
      <c r="AG14" s="206" t="str">
        <f>VLOOKUP(Primary_Order[[#This Row],[Product ID]],SKU[],9,0)</f>
        <v>MCO</v>
      </c>
      <c r="AH14" s="206" t="str">
        <f>VLOOKUP(Primary_Order[[#This Row],[Product ID]],SKU[],12,0)</f>
        <v>20W50</v>
      </c>
      <c r="AI14" s="206" t="str">
        <f>VLOOKUP(Primary_Order[[#This Row],[Product ID]],SKU[],13,0)</f>
        <v>3000</v>
      </c>
      <c r="AJ14" s="233">
        <f>VLOOKUP(Primary_Order[[#This Row],[Product ID]],SKU[[SKU ID]:[Bottle Size(Ltr)]],6,0)*Primary_Order[[#This Row],[Free Quantity]]</f>
        <v>0</v>
      </c>
      <c r="AK14" s="206" t="str">
        <f>VLOOKUP(Primary_Order[[#This Row],[Product ID]],SKU[[SKU ID]:[Bottle Size(Ltr)]],4,0)</f>
        <v>20x1L</v>
      </c>
      <c r="AL14" s="231">
        <f>VLOOKUP(Primary_Order[[#This Row],[Product ID]],SKU[],14,0)*Primary_Order[[#This Row],[Total Qty]]</f>
        <v>36492</v>
      </c>
      <c r="AM14" s="231">
        <f>IF(Primary_Order[[#This Row],[Cost]]=0,0,Primary_Order[[#This Row],[Net Total(-15%)]]-Primary_Order[[#This Row],[Cost]])</f>
        <v>5247.1304347826081</v>
      </c>
      <c r="AN14" s="206" t="str">
        <f>"O-"&amp;Primary_Order[[#This Row],[Date]]&amp;"-"&amp;Primary_Order[[#This Row],[MMD ID]]</f>
        <v>O-45662-D-0004</v>
      </c>
      <c r="AO14" s="206" t="str" cm="1">
        <f t="array" ref="AO1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" spans="1:41" x14ac:dyDescent="0.5">
      <c r="A15" s="206" t="s">
        <v>912</v>
      </c>
      <c r="B15" s="230">
        <v>45658</v>
      </c>
      <c r="C15" s="206" t="s">
        <v>26</v>
      </c>
      <c r="D15" s="206" t="s">
        <v>877</v>
      </c>
      <c r="E15" s="206" t="s">
        <v>878</v>
      </c>
      <c r="F15" s="206" t="s">
        <v>879</v>
      </c>
      <c r="G15" s="206" t="s">
        <v>27</v>
      </c>
      <c r="H15" s="206" t="s">
        <v>28</v>
      </c>
      <c r="I15" s="206" t="s">
        <v>29</v>
      </c>
      <c r="J15" s="206" t="s">
        <v>30</v>
      </c>
      <c r="K15" s="206" t="s">
        <v>107</v>
      </c>
      <c r="L15" s="206" t="str">
        <f>VLOOKUP(Primary_Order[[#This Row],[Product ID]],SKU[],3,0)</f>
        <v>Brake Fluid DOT 4</v>
      </c>
      <c r="M15" s="231">
        <v>80</v>
      </c>
      <c r="N15" s="231">
        <v>150</v>
      </c>
      <c r="O15" s="231">
        <v>8</v>
      </c>
      <c r="P15" s="232">
        <v>0.18</v>
      </c>
      <c r="Q15" s="231">
        <v>0</v>
      </c>
      <c r="R15" s="231">
        <v>123</v>
      </c>
      <c r="S15" s="231">
        <v>80</v>
      </c>
      <c r="T15" s="231">
        <v>8</v>
      </c>
      <c r="U15" s="231">
        <v>9840</v>
      </c>
      <c r="V15" s="231">
        <v>0</v>
      </c>
      <c r="W15" s="231">
        <v>9840</v>
      </c>
      <c r="X15" s="231">
        <v>1283.4782608695652</v>
      </c>
      <c r="Y15" s="231">
        <v>8556.5217391304341</v>
      </c>
      <c r="Z15" s="206" t="s">
        <v>882</v>
      </c>
      <c r="AA15" s="206">
        <v>573</v>
      </c>
      <c r="AB15" s="206" t="s">
        <v>749</v>
      </c>
      <c r="AC15" s="230">
        <v>45664</v>
      </c>
      <c r="AD15" s="206" t="s">
        <v>50</v>
      </c>
      <c r="AE15" s="206" t="str">
        <f>IFERROR(VLOOKUP(Primary_Order[[#This Row],[AM]],SP!$E$19:$F$23,2,0),Primary_Order[[#This Row],[AM]])</f>
        <v>Eastern</v>
      </c>
      <c r="AF15" s="206" t="str">
        <f>VLOOKUP(Primary_Order[[#This Row],[Product ID]],SKU[],10,0)</f>
        <v>Care Products</v>
      </c>
      <c r="AG15" s="206" t="str">
        <f>VLOOKUP(Primary_Order[[#This Row],[Product ID]],SKU[],9,0)</f>
        <v>Care Products</v>
      </c>
      <c r="AH15" s="206" t="str">
        <f>VLOOKUP(Primary_Order[[#This Row],[Product ID]],SKU[],12,0)</f>
        <v>Care Products</v>
      </c>
      <c r="AI15" s="206" t="str">
        <f>VLOOKUP(Primary_Order[[#This Row],[Product ID]],SKU[],13,0)</f>
        <v>Brake</v>
      </c>
      <c r="AJ15" s="233">
        <f>VLOOKUP(Primary_Order[[#This Row],[Product ID]],SKU[[SKU ID]:[Bottle Size(Ltr)]],6,0)*Primary_Order[[#This Row],[Free Quantity]]</f>
        <v>0</v>
      </c>
      <c r="AK15" s="206" t="str">
        <f>VLOOKUP(Primary_Order[[#This Row],[Product ID]],SKU[[SKU ID]:[Bottle Size(Ltr)]],4,0)</f>
        <v>40x0.1L</v>
      </c>
      <c r="AL15" s="231">
        <f>VLOOKUP(Primary_Order[[#This Row],[Product ID]],SKU[],14,0)*Primary_Order[[#This Row],[Total Qty]]</f>
        <v>5788</v>
      </c>
      <c r="AM15" s="231">
        <f>IF(Primary_Order[[#This Row],[Cost]]=0,0,Primary_Order[[#This Row],[Net Total(-15%)]]-Primary_Order[[#This Row],[Cost]])</f>
        <v>2768.5217391304341</v>
      </c>
      <c r="AN15" s="206" t="str">
        <f>"O-"&amp;Primary_Order[[#This Row],[Date]]&amp;"-"&amp;Primary_Order[[#This Row],[MMD ID]]</f>
        <v>O-45658-D-0018</v>
      </c>
      <c r="AO15" s="206" t="str" cm="1">
        <f t="array" ref="AO1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" spans="1:41" x14ac:dyDescent="0.5">
      <c r="A16" s="206" t="s">
        <v>913</v>
      </c>
      <c r="B16" s="230">
        <v>45662</v>
      </c>
      <c r="C16" s="206" t="s">
        <v>26</v>
      </c>
      <c r="D16" s="206" t="s">
        <v>883</v>
      </c>
      <c r="E16" s="206" t="s">
        <v>884</v>
      </c>
      <c r="F16" s="206" t="s">
        <v>885</v>
      </c>
      <c r="G16" s="206" t="s">
        <v>27</v>
      </c>
      <c r="H16" s="206" t="s">
        <v>28</v>
      </c>
      <c r="I16" s="206" t="s">
        <v>29</v>
      </c>
      <c r="J16" s="206" t="s">
        <v>30</v>
      </c>
      <c r="K16" s="206" t="s">
        <v>57</v>
      </c>
      <c r="L16" s="206" t="str">
        <f>VLOOKUP(Primary_Order[[#This Row],[Product ID]],SKU[],3,0)</f>
        <v>7100 4T 10W40 ESTER CORE®</v>
      </c>
      <c r="M16" s="231">
        <v>60</v>
      </c>
      <c r="N16" s="231">
        <v>1055</v>
      </c>
      <c r="O16" s="231">
        <v>60</v>
      </c>
      <c r="P16" s="232">
        <v>0</v>
      </c>
      <c r="Q16" s="231">
        <v>0</v>
      </c>
      <c r="R16" s="231">
        <v>1055</v>
      </c>
      <c r="S16" s="231">
        <v>60</v>
      </c>
      <c r="T16" s="231">
        <v>60</v>
      </c>
      <c r="U16" s="231">
        <v>63300</v>
      </c>
      <c r="V16" s="231">
        <v>0</v>
      </c>
      <c r="W16" s="231">
        <v>63300</v>
      </c>
      <c r="X16" s="231">
        <v>8256.5217391304341</v>
      </c>
      <c r="Y16" s="231">
        <v>55043.478260869568</v>
      </c>
      <c r="Z16" s="206" t="s">
        <v>882</v>
      </c>
      <c r="AA16" s="206">
        <v>574</v>
      </c>
      <c r="AB16" s="206" t="s">
        <v>641</v>
      </c>
      <c r="AC16" s="230">
        <v>45664</v>
      </c>
      <c r="AD16" s="206" t="s">
        <v>50</v>
      </c>
      <c r="AE16" s="206" t="str">
        <f>IFERROR(VLOOKUP(Primary_Order[[#This Row],[AM]],SP!$E$19:$F$23,2,0),Primary_Order[[#This Row],[AM]])</f>
        <v>Eastern</v>
      </c>
      <c r="AF16" s="206" t="str">
        <f>VLOOKUP(Primary_Order[[#This Row],[Product ID]],SKU[],10,0)</f>
        <v>Synthetic</v>
      </c>
      <c r="AG16" s="206" t="str">
        <f>VLOOKUP(Primary_Order[[#This Row],[Product ID]],SKU[],9,0)</f>
        <v>MCO</v>
      </c>
      <c r="AH16" s="206" t="str">
        <f>VLOOKUP(Primary_Order[[#This Row],[Product ID]],SKU[],12,0)</f>
        <v>10W40</v>
      </c>
      <c r="AI16" s="206" t="str">
        <f>VLOOKUP(Primary_Order[[#This Row],[Product ID]],SKU[],13,0)</f>
        <v>7100</v>
      </c>
      <c r="AJ16" s="233">
        <f>VLOOKUP(Primary_Order[[#This Row],[Product ID]],SKU[[SKU ID]:[Bottle Size(Ltr)]],6,0)*Primary_Order[[#This Row],[Free Quantity]]</f>
        <v>0</v>
      </c>
      <c r="AK16" s="206" t="str">
        <f>VLOOKUP(Primary_Order[[#This Row],[Product ID]],SKU[[SKU ID]:[Bottle Size(Ltr)]],4,0)</f>
        <v>12x1L</v>
      </c>
      <c r="AL16" s="231">
        <f>VLOOKUP(Primary_Order[[#This Row],[Product ID]],SKU[],14,0)*Primary_Order[[#This Row],[Total Qty]]</f>
        <v>41639.4</v>
      </c>
      <c r="AM16" s="231">
        <f>IF(Primary_Order[[#This Row],[Cost]]=0,0,Primary_Order[[#This Row],[Net Total(-15%)]]-Primary_Order[[#This Row],[Cost]])</f>
        <v>13404.078260869566</v>
      </c>
      <c r="AN16" s="206" t="str">
        <f>"O-"&amp;Primary_Order[[#This Row],[Date]]&amp;"-"&amp;Primary_Order[[#This Row],[MMD ID]]</f>
        <v>O-45662-D-0018</v>
      </c>
      <c r="AO16" s="206" t="str" cm="1">
        <f t="array" ref="AO1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" spans="1:41" x14ac:dyDescent="0.5">
      <c r="A17" s="206" t="s">
        <v>914</v>
      </c>
      <c r="B17" s="230">
        <v>45663</v>
      </c>
      <c r="C17" s="206" t="s">
        <v>26</v>
      </c>
      <c r="D17" s="206" t="s">
        <v>889</v>
      </c>
      <c r="E17" s="206" t="s">
        <v>602</v>
      </c>
      <c r="F17" s="206" t="s">
        <v>890</v>
      </c>
      <c r="G17" s="206" t="s">
        <v>27</v>
      </c>
      <c r="H17" s="206" t="s">
        <v>28</v>
      </c>
      <c r="I17" s="206" t="s">
        <v>29</v>
      </c>
      <c r="J17" s="206" t="s">
        <v>30</v>
      </c>
      <c r="K17" s="206" t="s">
        <v>31</v>
      </c>
      <c r="L17" s="206" t="str">
        <f>VLOOKUP(Primary_Order[[#This Row],[Product ID]],SKU[],3,0)</f>
        <v>3000 4T PLUS 10W30</v>
      </c>
      <c r="M17" s="231">
        <v>20</v>
      </c>
      <c r="N17" s="231">
        <v>530</v>
      </c>
      <c r="O17" s="231">
        <v>20</v>
      </c>
      <c r="P17" s="232">
        <v>0</v>
      </c>
      <c r="Q17" s="231">
        <v>0</v>
      </c>
      <c r="R17" s="231">
        <v>530</v>
      </c>
      <c r="S17" s="231">
        <v>20</v>
      </c>
      <c r="T17" s="231">
        <v>20</v>
      </c>
      <c r="U17" s="231">
        <v>10600</v>
      </c>
      <c r="V17" s="231">
        <v>0</v>
      </c>
      <c r="W17" s="231">
        <v>10600</v>
      </c>
      <c r="X17" s="231">
        <v>1382.608695652174</v>
      </c>
      <c r="Y17" s="231">
        <v>9217.391304347826</v>
      </c>
      <c r="Z17" s="206" t="s">
        <v>882</v>
      </c>
      <c r="AA17" s="206">
        <v>575</v>
      </c>
      <c r="AB17" s="206" t="s">
        <v>641</v>
      </c>
      <c r="AC17" s="230">
        <v>45664</v>
      </c>
      <c r="AD17" s="206" t="s">
        <v>50</v>
      </c>
      <c r="AE17" s="206" t="str">
        <f>IFERROR(VLOOKUP(Primary_Order[[#This Row],[AM]],SP!$E$19:$F$23,2,0),Primary_Order[[#This Row],[AM]])</f>
        <v>Eastern</v>
      </c>
      <c r="AF17" s="206" t="str">
        <f>VLOOKUP(Primary_Order[[#This Row],[Product ID]],SKU[],10,0)</f>
        <v>Mineral</v>
      </c>
      <c r="AG17" s="206" t="str">
        <f>VLOOKUP(Primary_Order[[#This Row],[Product ID]],SKU[],9,0)</f>
        <v>MCO</v>
      </c>
      <c r="AH17" s="206" t="str">
        <f>VLOOKUP(Primary_Order[[#This Row],[Product ID]],SKU[],12,0)</f>
        <v>10W30</v>
      </c>
      <c r="AI17" s="206" t="str">
        <f>VLOOKUP(Primary_Order[[#This Row],[Product ID]],SKU[],13,0)</f>
        <v>3000</v>
      </c>
      <c r="AJ17" s="233">
        <f>VLOOKUP(Primary_Order[[#This Row],[Product ID]],SKU[[SKU ID]:[Bottle Size(Ltr)]],6,0)*Primary_Order[[#This Row],[Free Quantity]]</f>
        <v>0</v>
      </c>
      <c r="AK17" s="206" t="str">
        <f>VLOOKUP(Primary_Order[[#This Row],[Product ID]],SKU[[SKU ID]:[Bottle Size(Ltr)]],4,0)</f>
        <v>20x1L</v>
      </c>
      <c r="AL17" s="231">
        <f>VLOOKUP(Primary_Order[[#This Row],[Product ID]],SKU[],14,0)*Primary_Order[[#This Row],[Total Qty]]</f>
        <v>7586.5999999999995</v>
      </c>
      <c r="AM17" s="231">
        <f>IF(Primary_Order[[#This Row],[Cost]]=0,0,Primary_Order[[#This Row],[Net Total(-15%)]]-Primary_Order[[#This Row],[Cost]])</f>
        <v>1630.7913043478266</v>
      </c>
      <c r="AN17" s="206" t="str">
        <f>"O-"&amp;Primary_Order[[#This Row],[Date]]&amp;"-"&amp;Primary_Order[[#This Row],[MMD ID]]</f>
        <v>O-45663-D-0018</v>
      </c>
      <c r="AO17" s="206" t="str" cm="1">
        <f t="array" ref="AO1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" spans="1:41" x14ac:dyDescent="0.5">
      <c r="A18" s="206" t="s">
        <v>914</v>
      </c>
      <c r="B18" s="230">
        <v>45663</v>
      </c>
      <c r="C18" s="206" t="s">
        <v>26</v>
      </c>
      <c r="D18" s="206" t="s">
        <v>889</v>
      </c>
      <c r="E18" s="206" t="s">
        <v>602</v>
      </c>
      <c r="F18" s="206" t="s">
        <v>890</v>
      </c>
      <c r="G18" s="206" t="s">
        <v>27</v>
      </c>
      <c r="H18" s="206" t="s">
        <v>28</v>
      </c>
      <c r="I18" s="206" t="s">
        <v>29</v>
      </c>
      <c r="J18" s="206" t="s">
        <v>30</v>
      </c>
      <c r="K18" s="206" t="s">
        <v>53</v>
      </c>
      <c r="L18" s="206" t="str">
        <f>VLOOKUP(Primary_Order[[#This Row],[Product ID]],SKU[],3,0)</f>
        <v>3000 4T PLUS 20W40</v>
      </c>
      <c r="M18" s="231">
        <v>20</v>
      </c>
      <c r="N18" s="231">
        <v>530</v>
      </c>
      <c r="O18" s="231">
        <v>20</v>
      </c>
      <c r="P18" s="232">
        <v>0</v>
      </c>
      <c r="Q18" s="231">
        <v>0</v>
      </c>
      <c r="R18" s="231">
        <v>530</v>
      </c>
      <c r="S18" s="231">
        <v>20</v>
      </c>
      <c r="T18" s="231">
        <v>20</v>
      </c>
      <c r="U18" s="231">
        <v>10600</v>
      </c>
      <c r="V18" s="231">
        <v>0</v>
      </c>
      <c r="W18" s="231">
        <v>10600</v>
      </c>
      <c r="X18" s="231">
        <v>1382.608695652174</v>
      </c>
      <c r="Y18" s="231">
        <v>9217.391304347826</v>
      </c>
      <c r="Z18" s="206" t="s">
        <v>882</v>
      </c>
      <c r="AA18" s="206">
        <v>575</v>
      </c>
      <c r="AB18" s="206" t="s">
        <v>641</v>
      </c>
      <c r="AC18" s="230">
        <v>45664</v>
      </c>
      <c r="AD18" s="206" t="s">
        <v>50</v>
      </c>
      <c r="AE18" s="206" t="str">
        <f>IFERROR(VLOOKUP(Primary_Order[[#This Row],[AM]],SP!$E$19:$F$23,2,0),Primary_Order[[#This Row],[AM]])</f>
        <v>Eastern</v>
      </c>
      <c r="AF18" s="206" t="str">
        <f>VLOOKUP(Primary_Order[[#This Row],[Product ID]],SKU[],10,0)</f>
        <v>Mineral</v>
      </c>
      <c r="AG18" s="206" t="str">
        <f>VLOOKUP(Primary_Order[[#This Row],[Product ID]],SKU[],9,0)</f>
        <v>MCO</v>
      </c>
      <c r="AH18" s="206" t="str">
        <f>VLOOKUP(Primary_Order[[#This Row],[Product ID]],SKU[],12,0)</f>
        <v>20W40</v>
      </c>
      <c r="AI18" s="206" t="str">
        <f>VLOOKUP(Primary_Order[[#This Row],[Product ID]],SKU[],13,0)</f>
        <v>3000</v>
      </c>
      <c r="AJ18" s="233">
        <f>VLOOKUP(Primary_Order[[#This Row],[Product ID]],SKU[[SKU ID]:[Bottle Size(Ltr)]],6,0)*Primary_Order[[#This Row],[Free Quantity]]</f>
        <v>0</v>
      </c>
      <c r="AK18" s="206" t="str">
        <f>VLOOKUP(Primary_Order[[#This Row],[Product ID]],SKU[[SKU ID]:[Bottle Size(Ltr)]],4,0)</f>
        <v>20x1L</v>
      </c>
      <c r="AL18" s="231">
        <f>VLOOKUP(Primary_Order[[#This Row],[Product ID]],SKU[],14,0)*Primary_Order[[#This Row],[Total Qty]]</f>
        <v>8255.2000000000007</v>
      </c>
      <c r="AM18" s="231">
        <f>IF(Primary_Order[[#This Row],[Cost]]=0,0,Primary_Order[[#This Row],[Net Total(-15%)]]-Primary_Order[[#This Row],[Cost]])</f>
        <v>962.19130434782528</v>
      </c>
      <c r="AN18" s="206" t="str">
        <f>"O-"&amp;Primary_Order[[#This Row],[Date]]&amp;"-"&amp;Primary_Order[[#This Row],[MMD ID]]</f>
        <v>O-45663-D-0018</v>
      </c>
      <c r="AO18" s="206" t="str" cm="1">
        <f t="array" ref="AO1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" spans="1:41" x14ac:dyDescent="0.5">
      <c r="A19" s="206" t="s">
        <v>914</v>
      </c>
      <c r="B19" s="230">
        <v>45663</v>
      </c>
      <c r="C19" s="206" t="s">
        <v>26</v>
      </c>
      <c r="D19" s="206" t="s">
        <v>889</v>
      </c>
      <c r="E19" s="206" t="s">
        <v>602</v>
      </c>
      <c r="F19" s="206" t="s">
        <v>890</v>
      </c>
      <c r="G19" s="206" t="s">
        <v>27</v>
      </c>
      <c r="H19" s="206" t="s">
        <v>28</v>
      </c>
      <c r="I19" s="206" t="s">
        <v>29</v>
      </c>
      <c r="J19" s="206" t="s">
        <v>30</v>
      </c>
      <c r="K19" s="206" t="s">
        <v>54</v>
      </c>
      <c r="L19" s="206" t="str">
        <f>VLOOKUP(Primary_Order[[#This Row],[Product ID]],SKU[],3,0)</f>
        <v>3000 4T PLUS 10W40</v>
      </c>
      <c r="M19" s="231">
        <v>80</v>
      </c>
      <c r="N19" s="231">
        <v>535</v>
      </c>
      <c r="O19" s="231">
        <v>80</v>
      </c>
      <c r="P19" s="232">
        <v>0</v>
      </c>
      <c r="Q19" s="231">
        <v>0</v>
      </c>
      <c r="R19" s="231">
        <v>535</v>
      </c>
      <c r="S19" s="231">
        <v>80</v>
      </c>
      <c r="T19" s="231">
        <v>80</v>
      </c>
      <c r="U19" s="231">
        <v>42800</v>
      </c>
      <c r="V19" s="231">
        <v>0</v>
      </c>
      <c r="W19" s="231">
        <v>42800</v>
      </c>
      <c r="X19" s="231">
        <v>5582.608695652174</v>
      </c>
      <c r="Y19" s="231">
        <v>37217.391304347824</v>
      </c>
      <c r="Z19" s="206" t="s">
        <v>882</v>
      </c>
      <c r="AA19" s="206">
        <v>575</v>
      </c>
      <c r="AB19" s="206" t="s">
        <v>641</v>
      </c>
      <c r="AC19" s="230">
        <v>45664</v>
      </c>
      <c r="AD19" s="206" t="s">
        <v>50</v>
      </c>
      <c r="AE19" s="206" t="str">
        <f>IFERROR(VLOOKUP(Primary_Order[[#This Row],[AM]],SP!$E$19:$F$23,2,0),Primary_Order[[#This Row],[AM]])</f>
        <v>Eastern</v>
      </c>
      <c r="AF19" s="206" t="str">
        <f>VLOOKUP(Primary_Order[[#This Row],[Product ID]],SKU[],10,0)</f>
        <v>Mineral</v>
      </c>
      <c r="AG19" s="206" t="str">
        <f>VLOOKUP(Primary_Order[[#This Row],[Product ID]],SKU[],9,0)</f>
        <v>MCO</v>
      </c>
      <c r="AH19" s="206" t="str">
        <f>VLOOKUP(Primary_Order[[#This Row],[Product ID]],SKU[],12,0)</f>
        <v>10W40</v>
      </c>
      <c r="AI19" s="206" t="str">
        <f>VLOOKUP(Primary_Order[[#This Row],[Product ID]],SKU[],13,0)</f>
        <v>3000</v>
      </c>
      <c r="AJ19" s="233">
        <f>VLOOKUP(Primary_Order[[#This Row],[Product ID]],SKU[[SKU ID]:[Bottle Size(Ltr)]],6,0)*Primary_Order[[#This Row],[Free Quantity]]</f>
        <v>0</v>
      </c>
      <c r="AK19" s="206" t="str">
        <f>VLOOKUP(Primary_Order[[#This Row],[Product ID]],SKU[[SKU ID]:[Bottle Size(Ltr)]],4,0)</f>
        <v>20x1L</v>
      </c>
      <c r="AL19" s="231">
        <f>VLOOKUP(Primary_Order[[#This Row],[Product ID]],SKU[],14,0)*Primary_Order[[#This Row],[Total Qty]]</f>
        <v>30788</v>
      </c>
      <c r="AM19" s="231">
        <f>IF(Primary_Order[[#This Row],[Cost]]=0,0,Primary_Order[[#This Row],[Net Total(-15%)]]-Primary_Order[[#This Row],[Cost]])</f>
        <v>6429.3913043478242</v>
      </c>
      <c r="AN19" s="206" t="str">
        <f>"O-"&amp;Primary_Order[[#This Row],[Date]]&amp;"-"&amp;Primary_Order[[#This Row],[MMD ID]]</f>
        <v>O-45663-D-0018</v>
      </c>
      <c r="AO19" s="206" t="str" cm="1">
        <f t="array" ref="AO1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" spans="1:41" x14ac:dyDescent="0.5">
      <c r="A20" s="206" t="s">
        <v>914</v>
      </c>
      <c r="B20" s="230">
        <v>45663</v>
      </c>
      <c r="C20" s="206" t="s">
        <v>26</v>
      </c>
      <c r="D20" s="206" t="s">
        <v>889</v>
      </c>
      <c r="E20" s="206" t="s">
        <v>602</v>
      </c>
      <c r="F20" s="206" t="s">
        <v>890</v>
      </c>
      <c r="G20" s="206" t="s">
        <v>27</v>
      </c>
      <c r="H20" s="206" t="s">
        <v>28</v>
      </c>
      <c r="I20" s="206" t="s">
        <v>29</v>
      </c>
      <c r="J20" s="206" t="s">
        <v>30</v>
      </c>
      <c r="K20" s="206" t="s">
        <v>32</v>
      </c>
      <c r="L20" s="206" t="str">
        <f>VLOOKUP(Primary_Order[[#This Row],[Product ID]],SKU[],3,0)</f>
        <v>3000 4T PLUS 10W30</v>
      </c>
      <c r="M20" s="231">
        <v>40</v>
      </c>
      <c r="N20" s="231">
        <v>640</v>
      </c>
      <c r="O20" s="231">
        <v>48</v>
      </c>
      <c r="P20" s="232">
        <v>0</v>
      </c>
      <c r="Q20" s="231">
        <v>0</v>
      </c>
      <c r="R20" s="231">
        <v>640</v>
      </c>
      <c r="S20" s="231">
        <v>40</v>
      </c>
      <c r="T20" s="231">
        <v>48</v>
      </c>
      <c r="U20" s="231">
        <v>25600</v>
      </c>
      <c r="V20" s="231">
        <v>0</v>
      </c>
      <c r="W20" s="231">
        <v>25600</v>
      </c>
      <c r="X20" s="231">
        <v>3339.1304347826085</v>
      </c>
      <c r="Y20" s="231">
        <v>22260.869565217392</v>
      </c>
      <c r="Z20" s="206" t="s">
        <v>882</v>
      </c>
      <c r="AA20" s="206">
        <v>575</v>
      </c>
      <c r="AB20" s="206" t="s">
        <v>641</v>
      </c>
      <c r="AC20" s="230">
        <v>45664</v>
      </c>
      <c r="AD20" s="206" t="s">
        <v>50</v>
      </c>
      <c r="AE20" s="206" t="str">
        <f>IFERROR(VLOOKUP(Primary_Order[[#This Row],[AM]],SP!$E$19:$F$23,2,0),Primary_Order[[#This Row],[AM]])</f>
        <v>Eastern</v>
      </c>
      <c r="AF20" s="206" t="str">
        <f>VLOOKUP(Primary_Order[[#This Row],[Product ID]],SKU[],10,0)</f>
        <v>Mineral</v>
      </c>
      <c r="AG20" s="206" t="str">
        <f>VLOOKUP(Primary_Order[[#This Row],[Product ID]],SKU[],9,0)</f>
        <v>MCO</v>
      </c>
      <c r="AH20" s="206" t="str">
        <f>VLOOKUP(Primary_Order[[#This Row],[Product ID]],SKU[],12,0)</f>
        <v>10W30</v>
      </c>
      <c r="AI20" s="206" t="str">
        <f>VLOOKUP(Primary_Order[[#This Row],[Product ID]],SKU[],13,0)</f>
        <v>3000</v>
      </c>
      <c r="AJ20" s="233">
        <f>VLOOKUP(Primary_Order[[#This Row],[Product ID]],SKU[[SKU ID]:[Bottle Size(Ltr)]],6,0)*Primary_Order[[#This Row],[Free Quantity]]</f>
        <v>0</v>
      </c>
      <c r="AK20" s="206" t="str">
        <f>VLOOKUP(Primary_Order[[#This Row],[Product ID]],SKU[[SKU ID]:[Bottle Size(Ltr)]],4,0)</f>
        <v>20x1.2L</v>
      </c>
      <c r="AL20" s="231">
        <f>VLOOKUP(Primary_Order[[#This Row],[Product ID]],SKU[],14,0)*Primary_Order[[#This Row],[Total Qty]]</f>
        <v>17556</v>
      </c>
      <c r="AM20" s="231">
        <f>IF(Primary_Order[[#This Row],[Cost]]=0,0,Primary_Order[[#This Row],[Net Total(-15%)]]-Primary_Order[[#This Row],[Cost]])</f>
        <v>4704.8695652173919</v>
      </c>
      <c r="AN20" s="206" t="str">
        <f>"O-"&amp;Primary_Order[[#This Row],[Date]]&amp;"-"&amp;Primary_Order[[#This Row],[MMD ID]]</f>
        <v>O-45663-D-0018</v>
      </c>
      <c r="AO20" s="206" t="str" cm="1">
        <f t="array" ref="AO2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" spans="1:41" x14ac:dyDescent="0.5">
      <c r="A21" s="206" t="s">
        <v>915</v>
      </c>
      <c r="B21" s="230">
        <v>45663</v>
      </c>
      <c r="C21" s="206" t="s">
        <v>26</v>
      </c>
      <c r="D21" s="206" t="s">
        <v>891</v>
      </c>
      <c r="E21" s="206" t="s">
        <v>892</v>
      </c>
      <c r="F21" s="206" t="s">
        <v>893</v>
      </c>
      <c r="G21" s="206" t="s">
        <v>27</v>
      </c>
      <c r="H21" s="206" t="s">
        <v>28</v>
      </c>
      <c r="I21" s="206" t="s">
        <v>29</v>
      </c>
      <c r="J21" s="206" t="s">
        <v>30</v>
      </c>
      <c r="K21" s="206" t="s">
        <v>57</v>
      </c>
      <c r="L21" s="206" t="str">
        <f>VLOOKUP(Primary_Order[[#This Row],[Product ID]],SKU[],3,0)</f>
        <v>7100 4T 10W40 ESTER CORE®</v>
      </c>
      <c r="M21" s="231">
        <v>180</v>
      </c>
      <c r="N21" s="231">
        <v>1070</v>
      </c>
      <c r="O21" s="231">
        <v>180</v>
      </c>
      <c r="P21" s="232">
        <v>0</v>
      </c>
      <c r="Q21" s="231">
        <v>0</v>
      </c>
      <c r="R21" s="231">
        <v>1070</v>
      </c>
      <c r="S21" s="231">
        <v>180</v>
      </c>
      <c r="T21" s="231">
        <v>180</v>
      </c>
      <c r="U21" s="231">
        <v>192600</v>
      </c>
      <c r="V21" s="231">
        <v>0</v>
      </c>
      <c r="W21" s="231">
        <v>192600</v>
      </c>
      <c r="X21" s="231">
        <v>25121.739130434784</v>
      </c>
      <c r="Y21" s="231">
        <v>167478.26086956522</v>
      </c>
      <c r="Z21" s="206" t="s">
        <v>882</v>
      </c>
      <c r="AA21" s="206">
        <v>576</v>
      </c>
      <c r="AB21" s="206" t="s">
        <v>641</v>
      </c>
      <c r="AC21" s="230">
        <v>45664</v>
      </c>
      <c r="AD21" s="206" t="s">
        <v>50</v>
      </c>
      <c r="AE21" s="206" t="str">
        <f>IFERROR(VLOOKUP(Primary_Order[[#This Row],[AM]],SP!$E$19:$F$23,2,0),Primary_Order[[#This Row],[AM]])</f>
        <v>Eastern</v>
      </c>
      <c r="AF21" s="206" t="str">
        <f>VLOOKUP(Primary_Order[[#This Row],[Product ID]],SKU[],10,0)</f>
        <v>Synthetic</v>
      </c>
      <c r="AG21" s="206" t="str">
        <f>VLOOKUP(Primary_Order[[#This Row],[Product ID]],SKU[],9,0)</f>
        <v>MCO</v>
      </c>
      <c r="AH21" s="206" t="str">
        <f>VLOOKUP(Primary_Order[[#This Row],[Product ID]],SKU[],12,0)</f>
        <v>10W40</v>
      </c>
      <c r="AI21" s="206" t="str">
        <f>VLOOKUP(Primary_Order[[#This Row],[Product ID]],SKU[],13,0)</f>
        <v>7100</v>
      </c>
      <c r="AJ21" s="233">
        <f>VLOOKUP(Primary_Order[[#This Row],[Product ID]],SKU[[SKU ID]:[Bottle Size(Ltr)]],6,0)*Primary_Order[[#This Row],[Free Quantity]]</f>
        <v>0</v>
      </c>
      <c r="AK21" s="206" t="str">
        <f>VLOOKUP(Primary_Order[[#This Row],[Product ID]],SKU[[SKU ID]:[Bottle Size(Ltr)]],4,0)</f>
        <v>12x1L</v>
      </c>
      <c r="AL21" s="231">
        <f>VLOOKUP(Primary_Order[[#This Row],[Product ID]],SKU[],14,0)*Primary_Order[[#This Row],[Total Qty]]</f>
        <v>124918.2</v>
      </c>
      <c r="AM21" s="231">
        <f>IF(Primary_Order[[#This Row],[Cost]]=0,0,Primary_Order[[#This Row],[Net Total(-15%)]]-Primary_Order[[#This Row],[Cost]])</f>
        <v>42560.060869565219</v>
      </c>
      <c r="AN21" s="206" t="str">
        <f>"O-"&amp;Primary_Order[[#This Row],[Date]]&amp;"-"&amp;Primary_Order[[#This Row],[MMD ID]]</f>
        <v>O-45663-D-0018</v>
      </c>
      <c r="AO21" s="206" t="str" cm="1">
        <f t="array" ref="AO2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" spans="1:41" x14ac:dyDescent="0.5">
      <c r="A22" s="206" t="s">
        <v>916</v>
      </c>
      <c r="B22" s="230">
        <v>45664</v>
      </c>
      <c r="C22" s="206" t="s">
        <v>95</v>
      </c>
      <c r="D22" s="206" t="s">
        <v>1098</v>
      </c>
      <c r="E22" s="206" t="s">
        <v>52</v>
      </c>
      <c r="F22" s="206" t="s">
        <v>50</v>
      </c>
      <c r="G22" s="206" t="s">
        <v>87</v>
      </c>
      <c r="H22" s="206" t="s">
        <v>87</v>
      </c>
      <c r="I22" s="206" t="s">
        <v>1098</v>
      </c>
      <c r="J22" s="206" t="s">
        <v>52</v>
      </c>
      <c r="K22" s="206" t="s">
        <v>96</v>
      </c>
      <c r="L22" s="206" t="str">
        <f>VLOOKUP(Primary_Order[[#This Row],[Product ID]],SKU[],3,0)</f>
        <v>8100 X.Max 0W40</v>
      </c>
      <c r="M22" s="231">
        <v>52</v>
      </c>
      <c r="N22" s="231">
        <v>3000</v>
      </c>
      <c r="O22" s="231">
        <v>208</v>
      </c>
      <c r="P22" s="232">
        <v>0</v>
      </c>
      <c r="Q22" s="231">
        <v>0</v>
      </c>
      <c r="R22" s="231">
        <v>3000</v>
      </c>
      <c r="S22" s="231">
        <v>52</v>
      </c>
      <c r="T22" s="231">
        <v>208</v>
      </c>
      <c r="U22" s="231">
        <v>156000</v>
      </c>
      <c r="V22" s="231">
        <v>0</v>
      </c>
      <c r="W22" s="231">
        <v>156000</v>
      </c>
      <c r="X22" s="231">
        <v>20347.82608695652</v>
      </c>
      <c r="Y22" s="231">
        <v>135652.17391304349</v>
      </c>
      <c r="Z22" s="206" t="s">
        <v>50</v>
      </c>
      <c r="AA22" s="206">
        <v>577</v>
      </c>
      <c r="AB22" s="206" t="s">
        <v>641</v>
      </c>
      <c r="AC22" s="230">
        <v>45664</v>
      </c>
      <c r="AD22" s="206" t="s">
        <v>50</v>
      </c>
      <c r="AE22" s="206" t="str">
        <f>IFERROR(VLOOKUP(Primary_Order[[#This Row],[AM]],SP!$E$19:$F$23,2,0),Primary_Order[[#This Row],[AM]])</f>
        <v>Captive Sales</v>
      </c>
      <c r="AF22" s="206" t="str">
        <f>VLOOKUP(Primary_Order[[#This Row],[Product ID]],SKU[],10,0)</f>
        <v>Synthetic</v>
      </c>
      <c r="AG22" s="206" t="str">
        <f>VLOOKUP(Primary_Order[[#This Row],[Product ID]],SKU[],9,0)</f>
        <v>PCMO</v>
      </c>
      <c r="AH22" s="206" t="str">
        <f>VLOOKUP(Primary_Order[[#This Row],[Product ID]],SKU[],12,0)</f>
        <v>0W40</v>
      </c>
      <c r="AI22" s="206" t="str">
        <f>VLOOKUP(Primary_Order[[#This Row],[Product ID]],SKU[],13,0)</f>
        <v>8100</v>
      </c>
      <c r="AJ22" s="233">
        <f>VLOOKUP(Primary_Order[[#This Row],[Product ID]],SKU[[SKU ID]:[Bottle Size(Ltr)]],6,0)*Primary_Order[[#This Row],[Free Quantity]]</f>
        <v>0</v>
      </c>
      <c r="AK22" s="206" t="str">
        <f>VLOOKUP(Primary_Order[[#This Row],[Product ID]],SKU[[SKU ID]:[Bottle Size(Ltr)]],4,0)</f>
        <v>4x4L</v>
      </c>
      <c r="AL22" s="231">
        <f>VLOOKUP(Primary_Order[[#This Row],[Product ID]],SKU[],14,0)*Primary_Order[[#This Row],[Total Qty]]</f>
        <v>152670.44</v>
      </c>
      <c r="AM22" s="231">
        <f>IF(Primary_Order[[#This Row],[Cost]]=0,0,Primary_Order[[#This Row],[Net Total(-15%)]]-Primary_Order[[#This Row],[Cost]])</f>
        <v>-17018.266086956515</v>
      </c>
      <c r="AN22" s="206" t="str">
        <f>"O-"&amp;Primary_Order[[#This Row],[Date]]&amp;"-"&amp;Primary_Order[[#This Row],[MMD ID]]</f>
        <v>O-45664-D-0027</v>
      </c>
      <c r="AO22" s="206" t="str" cm="1">
        <f t="array" ref="AO2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" spans="1:41" x14ac:dyDescent="0.5">
      <c r="A23" s="206" t="s">
        <v>932</v>
      </c>
      <c r="B23" s="230">
        <v>45663</v>
      </c>
      <c r="C23" s="206" t="s">
        <v>100</v>
      </c>
      <c r="D23" s="206" t="s">
        <v>894</v>
      </c>
      <c r="E23" s="206" t="s">
        <v>895</v>
      </c>
      <c r="F23" s="206" t="s">
        <v>896</v>
      </c>
      <c r="G23" s="206" t="s">
        <v>45</v>
      </c>
      <c r="H23" s="206" t="s">
        <v>28</v>
      </c>
      <c r="I23" s="206" t="s">
        <v>101</v>
      </c>
      <c r="J23" s="206" t="s">
        <v>536</v>
      </c>
      <c r="K23" s="206" t="s">
        <v>54</v>
      </c>
      <c r="L23" s="206" t="str">
        <f>VLOOKUP(Primary_Order[[#This Row],[Product ID]],SKU[],3,0)</f>
        <v>3000 4T PLUS 10W40</v>
      </c>
      <c r="M23" s="231">
        <v>20</v>
      </c>
      <c r="N23" s="231">
        <v>535</v>
      </c>
      <c r="O23" s="231">
        <v>20</v>
      </c>
      <c r="P23" s="232">
        <v>0</v>
      </c>
      <c r="Q23" s="231">
        <v>0</v>
      </c>
      <c r="R23" s="231">
        <v>535</v>
      </c>
      <c r="S23" s="231">
        <v>20</v>
      </c>
      <c r="T23" s="231">
        <v>20</v>
      </c>
      <c r="U23" s="231">
        <v>10700</v>
      </c>
      <c r="V23" s="231">
        <v>0</v>
      </c>
      <c r="W23" s="231">
        <v>10700</v>
      </c>
      <c r="X23" s="231">
        <v>1395.6521739130435</v>
      </c>
      <c r="Y23" s="231">
        <v>9304.347826086956</v>
      </c>
      <c r="Z23" s="206" t="s">
        <v>882</v>
      </c>
      <c r="AA23" s="206">
        <v>578</v>
      </c>
      <c r="AB23" s="206" t="s">
        <v>641</v>
      </c>
      <c r="AC23" s="230">
        <v>45665</v>
      </c>
      <c r="AD23" s="206" t="s">
        <v>50</v>
      </c>
      <c r="AE23" s="206" t="str">
        <f>IFERROR(VLOOKUP(Primary_Order[[#This Row],[AM]],SP!$E$19:$F$23,2,0),Primary_Order[[#This Row],[AM]])</f>
        <v>Eastern</v>
      </c>
      <c r="AF23" s="206" t="str">
        <f>VLOOKUP(Primary_Order[[#This Row],[Product ID]],SKU[],10,0)</f>
        <v>Mineral</v>
      </c>
      <c r="AG23" s="206" t="str">
        <f>VLOOKUP(Primary_Order[[#This Row],[Product ID]],SKU[],9,0)</f>
        <v>MCO</v>
      </c>
      <c r="AH23" s="206" t="str">
        <f>VLOOKUP(Primary_Order[[#This Row],[Product ID]],SKU[],12,0)</f>
        <v>10W40</v>
      </c>
      <c r="AI23" s="206" t="str">
        <f>VLOOKUP(Primary_Order[[#This Row],[Product ID]],SKU[],13,0)</f>
        <v>3000</v>
      </c>
      <c r="AJ23" s="233">
        <f>VLOOKUP(Primary_Order[[#This Row],[Product ID]],SKU[[SKU ID]:[Bottle Size(Ltr)]],6,0)*Primary_Order[[#This Row],[Free Quantity]]</f>
        <v>0</v>
      </c>
      <c r="AK23" s="206" t="str">
        <f>VLOOKUP(Primary_Order[[#This Row],[Product ID]],SKU[[SKU ID]:[Bottle Size(Ltr)]],4,0)</f>
        <v>20x1L</v>
      </c>
      <c r="AL23" s="231">
        <f>VLOOKUP(Primary_Order[[#This Row],[Product ID]],SKU[],14,0)*Primary_Order[[#This Row],[Total Qty]]</f>
        <v>7697</v>
      </c>
      <c r="AM23" s="231">
        <f>IF(Primary_Order[[#This Row],[Cost]]=0,0,Primary_Order[[#This Row],[Net Total(-15%)]]-Primary_Order[[#This Row],[Cost]])</f>
        <v>1607.347826086956</v>
      </c>
      <c r="AN23" s="206" t="str">
        <f>"O-"&amp;Primary_Order[[#This Row],[Date]]&amp;"-"&amp;Primary_Order[[#This Row],[MMD ID]]</f>
        <v>O-45663-D-0014</v>
      </c>
      <c r="AO23" s="206" t="str" cm="1">
        <f t="array" ref="AO2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" spans="1:41" x14ac:dyDescent="0.5">
      <c r="A24" s="206" t="s">
        <v>932</v>
      </c>
      <c r="B24" s="230">
        <v>45663</v>
      </c>
      <c r="C24" s="206" t="s">
        <v>100</v>
      </c>
      <c r="D24" s="206" t="s">
        <v>894</v>
      </c>
      <c r="E24" s="206" t="s">
        <v>895</v>
      </c>
      <c r="F24" s="206" t="s">
        <v>896</v>
      </c>
      <c r="G24" s="206" t="s">
        <v>45</v>
      </c>
      <c r="H24" s="206" t="s">
        <v>28</v>
      </c>
      <c r="I24" s="206" t="s">
        <v>101</v>
      </c>
      <c r="J24" s="206" t="s">
        <v>536</v>
      </c>
      <c r="K24" s="206" t="s">
        <v>32</v>
      </c>
      <c r="L24" s="206" t="str">
        <f>VLOOKUP(Primary_Order[[#This Row],[Product ID]],SKU[],3,0)</f>
        <v>3000 4T PLUS 10W30</v>
      </c>
      <c r="M24" s="231">
        <v>20</v>
      </c>
      <c r="N24" s="231">
        <v>640</v>
      </c>
      <c r="O24" s="231">
        <v>24</v>
      </c>
      <c r="P24" s="232">
        <v>0</v>
      </c>
      <c r="Q24" s="231">
        <v>0</v>
      </c>
      <c r="R24" s="231">
        <v>640</v>
      </c>
      <c r="S24" s="231">
        <v>20</v>
      </c>
      <c r="T24" s="231">
        <v>24</v>
      </c>
      <c r="U24" s="231">
        <v>12800</v>
      </c>
      <c r="V24" s="231">
        <v>0</v>
      </c>
      <c r="W24" s="231">
        <v>12800</v>
      </c>
      <c r="X24" s="231">
        <v>1669.5652173913043</v>
      </c>
      <c r="Y24" s="231">
        <v>11130.434782608696</v>
      </c>
      <c r="Z24" s="206" t="s">
        <v>882</v>
      </c>
      <c r="AA24" s="206">
        <v>578</v>
      </c>
      <c r="AB24" s="206" t="s">
        <v>641</v>
      </c>
      <c r="AC24" s="230">
        <v>45665</v>
      </c>
      <c r="AD24" s="206" t="s">
        <v>50</v>
      </c>
      <c r="AE24" s="206" t="str">
        <f>IFERROR(VLOOKUP(Primary_Order[[#This Row],[AM]],SP!$E$19:$F$23,2,0),Primary_Order[[#This Row],[AM]])</f>
        <v>Eastern</v>
      </c>
      <c r="AF24" s="206" t="str">
        <f>VLOOKUP(Primary_Order[[#This Row],[Product ID]],SKU[],10,0)</f>
        <v>Mineral</v>
      </c>
      <c r="AG24" s="206" t="str">
        <f>VLOOKUP(Primary_Order[[#This Row],[Product ID]],SKU[],9,0)</f>
        <v>MCO</v>
      </c>
      <c r="AH24" s="206" t="str">
        <f>VLOOKUP(Primary_Order[[#This Row],[Product ID]],SKU[],12,0)</f>
        <v>10W30</v>
      </c>
      <c r="AI24" s="206" t="str">
        <f>VLOOKUP(Primary_Order[[#This Row],[Product ID]],SKU[],13,0)</f>
        <v>3000</v>
      </c>
      <c r="AJ24" s="233">
        <f>VLOOKUP(Primary_Order[[#This Row],[Product ID]],SKU[[SKU ID]:[Bottle Size(Ltr)]],6,0)*Primary_Order[[#This Row],[Free Quantity]]</f>
        <v>0</v>
      </c>
      <c r="AK24" s="206" t="str">
        <f>VLOOKUP(Primary_Order[[#This Row],[Product ID]],SKU[[SKU ID]:[Bottle Size(Ltr)]],4,0)</f>
        <v>20x1.2L</v>
      </c>
      <c r="AL24" s="231">
        <f>VLOOKUP(Primary_Order[[#This Row],[Product ID]],SKU[],14,0)*Primary_Order[[#This Row],[Total Qty]]</f>
        <v>8778</v>
      </c>
      <c r="AM24" s="231">
        <f>IF(Primary_Order[[#This Row],[Cost]]=0,0,Primary_Order[[#This Row],[Net Total(-15%)]]-Primary_Order[[#This Row],[Cost]])</f>
        <v>2352.434782608696</v>
      </c>
      <c r="AN24" s="206" t="str">
        <f>"O-"&amp;Primary_Order[[#This Row],[Date]]&amp;"-"&amp;Primary_Order[[#This Row],[MMD ID]]</f>
        <v>O-45663-D-0014</v>
      </c>
      <c r="AO24" s="206" t="str" cm="1">
        <f t="array" ref="AO2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" spans="1:41" x14ac:dyDescent="0.5">
      <c r="A25" s="206" t="s">
        <v>932</v>
      </c>
      <c r="B25" s="230">
        <v>45663</v>
      </c>
      <c r="C25" s="206" t="s">
        <v>100</v>
      </c>
      <c r="D25" s="206" t="s">
        <v>894</v>
      </c>
      <c r="E25" s="206" t="s">
        <v>895</v>
      </c>
      <c r="F25" s="206" t="s">
        <v>896</v>
      </c>
      <c r="G25" s="206" t="s">
        <v>45</v>
      </c>
      <c r="H25" s="206" t="s">
        <v>28</v>
      </c>
      <c r="I25" s="206" t="s">
        <v>101</v>
      </c>
      <c r="J25" s="206" t="s">
        <v>536</v>
      </c>
      <c r="K25" s="206" t="s">
        <v>57</v>
      </c>
      <c r="L25" s="206" t="str">
        <f>VLOOKUP(Primary_Order[[#This Row],[Product ID]],SKU[],3,0)</f>
        <v>7100 4T 10W40 ESTER CORE®</v>
      </c>
      <c r="M25" s="231">
        <v>12</v>
      </c>
      <c r="N25" s="231">
        <v>1070</v>
      </c>
      <c r="O25" s="231">
        <v>12</v>
      </c>
      <c r="P25" s="232">
        <v>0</v>
      </c>
      <c r="Q25" s="231">
        <v>0</v>
      </c>
      <c r="R25" s="231">
        <v>1070</v>
      </c>
      <c r="S25" s="231">
        <v>12</v>
      </c>
      <c r="T25" s="231">
        <v>12</v>
      </c>
      <c r="U25" s="231">
        <v>12840</v>
      </c>
      <c r="V25" s="231">
        <v>0</v>
      </c>
      <c r="W25" s="231">
        <v>12840</v>
      </c>
      <c r="X25" s="231">
        <v>1674.7826086956522</v>
      </c>
      <c r="Y25" s="231">
        <v>11165.217391304348</v>
      </c>
      <c r="Z25" s="206" t="s">
        <v>882</v>
      </c>
      <c r="AA25" s="206">
        <v>578</v>
      </c>
      <c r="AB25" s="206" t="s">
        <v>641</v>
      </c>
      <c r="AC25" s="230">
        <v>45665</v>
      </c>
      <c r="AD25" s="206" t="s">
        <v>50</v>
      </c>
      <c r="AE25" s="206" t="str">
        <f>IFERROR(VLOOKUP(Primary_Order[[#This Row],[AM]],SP!$E$19:$F$23,2,0),Primary_Order[[#This Row],[AM]])</f>
        <v>Eastern</v>
      </c>
      <c r="AF25" s="206" t="str">
        <f>VLOOKUP(Primary_Order[[#This Row],[Product ID]],SKU[],10,0)</f>
        <v>Synthetic</v>
      </c>
      <c r="AG25" s="206" t="str">
        <f>VLOOKUP(Primary_Order[[#This Row],[Product ID]],SKU[],9,0)</f>
        <v>MCO</v>
      </c>
      <c r="AH25" s="206" t="str">
        <f>VLOOKUP(Primary_Order[[#This Row],[Product ID]],SKU[],12,0)</f>
        <v>10W40</v>
      </c>
      <c r="AI25" s="206" t="str">
        <f>VLOOKUP(Primary_Order[[#This Row],[Product ID]],SKU[],13,0)</f>
        <v>7100</v>
      </c>
      <c r="AJ25" s="233">
        <f>VLOOKUP(Primary_Order[[#This Row],[Product ID]],SKU[[SKU ID]:[Bottle Size(Ltr)]],6,0)*Primary_Order[[#This Row],[Free Quantity]]</f>
        <v>0</v>
      </c>
      <c r="AK25" s="206" t="str">
        <f>VLOOKUP(Primary_Order[[#This Row],[Product ID]],SKU[[SKU ID]:[Bottle Size(Ltr)]],4,0)</f>
        <v>12x1L</v>
      </c>
      <c r="AL25" s="231">
        <f>VLOOKUP(Primary_Order[[#This Row],[Product ID]],SKU[],14,0)*Primary_Order[[#This Row],[Total Qty]]</f>
        <v>8327.880000000001</v>
      </c>
      <c r="AM25" s="231">
        <f>IF(Primary_Order[[#This Row],[Cost]]=0,0,Primary_Order[[#This Row],[Net Total(-15%)]]-Primary_Order[[#This Row],[Cost]])</f>
        <v>2837.337391304347</v>
      </c>
      <c r="AN25" s="206" t="str">
        <f>"O-"&amp;Primary_Order[[#This Row],[Date]]&amp;"-"&amp;Primary_Order[[#This Row],[MMD ID]]</f>
        <v>O-45663-D-0014</v>
      </c>
      <c r="AO25" s="206" t="str" cm="1">
        <f t="array" ref="AO2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" spans="1:41" x14ac:dyDescent="0.5">
      <c r="A26" s="206" t="s">
        <v>933</v>
      </c>
      <c r="B26" s="230">
        <v>45663</v>
      </c>
      <c r="C26" s="206" t="s">
        <v>26</v>
      </c>
      <c r="D26" s="206" t="s">
        <v>897</v>
      </c>
      <c r="E26" s="206" t="s">
        <v>898</v>
      </c>
      <c r="F26" s="206" t="s">
        <v>899</v>
      </c>
      <c r="G26" s="206" t="s">
        <v>27</v>
      </c>
      <c r="H26" s="206" t="s">
        <v>28</v>
      </c>
      <c r="I26" s="206" t="s">
        <v>29</v>
      </c>
      <c r="J26" s="206" t="s">
        <v>30</v>
      </c>
      <c r="K26" s="206" t="s">
        <v>31</v>
      </c>
      <c r="L26" s="206" t="str">
        <f>VLOOKUP(Primary_Order[[#This Row],[Product ID]],SKU[],3,0)</f>
        <v>3000 4T PLUS 10W30</v>
      </c>
      <c r="M26" s="231">
        <v>80</v>
      </c>
      <c r="N26" s="231">
        <v>530</v>
      </c>
      <c r="O26" s="231">
        <v>80</v>
      </c>
      <c r="P26" s="232">
        <v>0</v>
      </c>
      <c r="Q26" s="231">
        <v>0</v>
      </c>
      <c r="R26" s="231">
        <v>530</v>
      </c>
      <c r="S26" s="231">
        <v>80</v>
      </c>
      <c r="T26" s="231">
        <v>80</v>
      </c>
      <c r="U26" s="231">
        <v>42400</v>
      </c>
      <c r="V26" s="231">
        <v>0</v>
      </c>
      <c r="W26" s="231">
        <v>42400</v>
      </c>
      <c r="X26" s="231">
        <v>5530.434782608696</v>
      </c>
      <c r="Y26" s="231">
        <v>36869.565217391304</v>
      </c>
      <c r="Z26" s="206" t="s">
        <v>882</v>
      </c>
      <c r="AA26" s="206">
        <v>579</v>
      </c>
      <c r="AB26" s="206" t="s">
        <v>641</v>
      </c>
      <c r="AC26" s="230">
        <v>45665</v>
      </c>
      <c r="AD26" s="206" t="s">
        <v>50</v>
      </c>
      <c r="AE26" s="206" t="str">
        <f>IFERROR(VLOOKUP(Primary_Order[[#This Row],[AM]],SP!$E$19:$F$23,2,0),Primary_Order[[#This Row],[AM]])</f>
        <v>Eastern</v>
      </c>
      <c r="AF26" s="206" t="str">
        <f>VLOOKUP(Primary_Order[[#This Row],[Product ID]],SKU[],10,0)</f>
        <v>Mineral</v>
      </c>
      <c r="AG26" s="206" t="str">
        <f>VLOOKUP(Primary_Order[[#This Row],[Product ID]],SKU[],9,0)</f>
        <v>MCO</v>
      </c>
      <c r="AH26" s="206" t="str">
        <f>VLOOKUP(Primary_Order[[#This Row],[Product ID]],SKU[],12,0)</f>
        <v>10W30</v>
      </c>
      <c r="AI26" s="206" t="str">
        <f>VLOOKUP(Primary_Order[[#This Row],[Product ID]],SKU[],13,0)</f>
        <v>3000</v>
      </c>
      <c r="AJ26" s="233">
        <f>VLOOKUP(Primary_Order[[#This Row],[Product ID]],SKU[[SKU ID]:[Bottle Size(Ltr)]],6,0)*Primary_Order[[#This Row],[Free Quantity]]</f>
        <v>0</v>
      </c>
      <c r="AK26" s="206" t="str">
        <f>VLOOKUP(Primary_Order[[#This Row],[Product ID]],SKU[[SKU ID]:[Bottle Size(Ltr)]],4,0)</f>
        <v>20x1L</v>
      </c>
      <c r="AL26" s="231">
        <f>VLOOKUP(Primary_Order[[#This Row],[Product ID]],SKU[],14,0)*Primary_Order[[#This Row],[Total Qty]]</f>
        <v>30346.399999999998</v>
      </c>
      <c r="AM26" s="231">
        <f>IF(Primary_Order[[#This Row],[Cost]]=0,0,Primary_Order[[#This Row],[Net Total(-15%)]]-Primary_Order[[#This Row],[Cost]])</f>
        <v>6523.1652173913062</v>
      </c>
      <c r="AN26" s="206" t="str">
        <f>"O-"&amp;Primary_Order[[#This Row],[Date]]&amp;"-"&amp;Primary_Order[[#This Row],[MMD ID]]</f>
        <v>O-45663-D-0018</v>
      </c>
      <c r="AO26" s="206" t="str" cm="1">
        <f t="array" ref="AO2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" spans="1:41" x14ac:dyDescent="0.5">
      <c r="A27" s="206" t="s">
        <v>933</v>
      </c>
      <c r="B27" s="230">
        <v>45663</v>
      </c>
      <c r="C27" s="206" t="s">
        <v>26</v>
      </c>
      <c r="D27" s="206" t="s">
        <v>897</v>
      </c>
      <c r="E27" s="206" t="s">
        <v>898</v>
      </c>
      <c r="F27" s="206" t="s">
        <v>899</v>
      </c>
      <c r="G27" s="206" t="s">
        <v>27</v>
      </c>
      <c r="H27" s="206" t="s">
        <v>28</v>
      </c>
      <c r="I27" s="206" t="s">
        <v>29</v>
      </c>
      <c r="J27" s="206" t="s">
        <v>30</v>
      </c>
      <c r="K27" s="206" t="s">
        <v>54</v>
      </c>
      <c r="L27" s="206" t="str">
        <f>VLOOKUP(Primary_Order[[#This Row],[Product ID]],SKU[],3,0)</f>
        <v>3000 4T PLUS 10W40</v>
      </c>
      <c r="M27" s="231">
        <v>40</v>
      </c>
      <c r="N27" s="231">
        <v>535</v>
      </c>
      <c r="O27" s="231">
        <v>40</v>
      </c>
      <c r="P27" s="232">
        <v>0</v>
      </c>
      <c r="Q27" s="231">
        <v>0</v>
      </c>
      <c r="R27" s="231">
        <v>535</v>
      </c>
      <c r="S27" s="231">
        <v>40</v>
      </c>
      <c r="T27" s="231">
        <v>40</v>
      </c>
      <c r="U27" s="231">
        <v>21400</v>
      </c>
      <c r="V27" s="231">
        <v>0</v>
      </c>
      <c r="W27" s="231">
        <v>21400</v>
      </c>
      <c r="X27" s="231">
        <v>2791.304347826087</v>
      </c>
      <c r="Y27" s="231">
        <v>18608.695652173912</v>
      </c>
      <c r="Z27" s="206" t="s">
        <v>882</v>
      </c>
      <c r="AA27" s="206">
        <v>579</v>
      </c>
      <c r="AB27" s="206" t="s">
        <v>641</v>
      </c>
      <c r="AC27" s="230">
        <v>45665</v>
      </c>
      <c r="AD27" s="206" t="s">
        <v>50</v>
      </c>
      <c r="AE27" s="206" t="str">
        <f>IFERROR(VLOOKUP(Primary_Order[[#This Row],[AM]],SP!$E$19:$F$23,2,0),Primary_Order[[#This Row],[AM]])</f>
        <v>Eastern</v>
      </c>
      <c r="AF27" s="206" t="str">
        <f>VLOOKUP(Primary_Order[[#This Row],[Product ID]],SKU[],10,0)</f>
        <v>Mineral</v>
      </c>
      <c r="AG27" s="206" t="str">
        <f>VLOOKUP(Primary_Order[[#This Row],[Product ID]],SKU[],9,0)</f>
        <v>MCO</v>
      </c>
      <c r="AH27" s="206" t="str">
        <f>VLOOKUP(Primary_Order[[#This Row],[Product ID]],SKU[],12,0)</f>
        <v>10W40</v>
      </c>
      <c r="AI27" s="206" t="str">
        <f>VLOOKUP(Primary_Order[[#This Row],[Product ID]],SKU[],13,0)</f>
        <v>3000</v>
      </c>
      <c r="AJ27" s="233">
        <f>VLOOKUP(Primary_Order[[#This Row],[Product ID]],SKU[[SKU ID]:[Bottle Size(Ltr)]],6,0)*Primary_Order[[#This Row],[Free Quantity]]</f>
        <v>0</v>
      </c>
      <c r="AK27" s="206" t="str">
        <f>VLOOKUP(Primary_Order[[#This Row],[Product ID]],SKU[[SKU ID]:[Bottle Size(Ltr)]],4,0)</f>
        <v>20x1L</v>
      </c>
      <c r="AL27" s="231">
        <f>VLOOKUP(Primary_Order[[#This Row],[Product ID]],SKU[],14,0)*Primary_Order[[#This Row],[Total Qty]]</f>
        <v>15394</v>
      </c>
      <c r="AM27" s="231">
        <f>IF(Primary_Order[[#This Row],[Cost]]=0,0,Primary_Order[[#This Row],[Net Total(-15%)]]-Primary_Order[[#This Row],[Cost]])</f>
        <v>3214.6956521739121</v>
      </c>
      <c r="AN27" s="206" t="str">
        <f>"O-"&amp;Primary_Order[[#This Row],[Date]]&amp;"-"&amp;Primary_Order[[#This Row],[MMD ID]]</f>
        <v>O-45663-D-0018</v>
      </c>
      <c r="AO27" s="206" t="str" cm="1">
        <f t="array" ref="AO2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" spans="1:41" x14ac:dyDescent="0.5">
      <c r="A28" s="206" t="s">
        <v>933</v>
      </c>
      <c r="B28" s="230">
        <v>45663</v>
      </c>
      <c r="C28" s="206" t="s">
        <v>26</v>
      </c>
      <c r="D28" s="206" t="s">
        <v>897</v>
      </c>
      <c r="E28" s="206" t="s">
        <v>898</v>
      </c>
      <c r="F28" s="206" t="s">
        <v>899</v>
      </c>
      <c r="G28" s="206" t="s">
        <v>27</v>
      </c>
      <c r="H28" s="206" t="s">
        <v>28</v>
      </c>
      <c r="I28" s="206" t="s">
        <v>29</v>
      </c>
      <c r="J28" s="206" t="s">
        <v>30</v>
      </c>
      <c r="K28" s="206" t="s">
        <v>57</v>
      </c>
      <c r="L28" s="206" t="str">
        <f>VLOOKUP(Primary_Order[[#This Row],[Product ID]],SKU[],3,0)</f>
        <v>7100 4T 10W40 ESTER CORE®</v>
      </c>
      <c r="M28" s="231">
        <v>60</v>
      </c>
      <c r="N28" s="231">
        <v>1070</v>
      </c>
      <c r="O28" s="231">
        <v>60</v>
      </c>
      <c r="P28" s="232">
        <v>0</v>
      </c>
      <c r="Q28" s="231">
        <v>0</v>
      </c>
      <c r="R28" s="231">
        <v>1070</v>
      </c>
      <c r="S28" s="231">
        <v>60</v>
      </c>
      <c r="T28" s="231">
        <v>60</v>
      </c>
      <c r="U28" s="231">
        <v>64200</v>
      </c>
      <c r="V28" s="231">
        <v>0</v>
      </c>
      <c r="W28" s="231">
        <v>64200</v>
      </c>
      <c r="X28" s="231">
        <v>8373.9130434782601</v>
      </c>
      <c r="Y28" s="231">
        <v>55826.086956521736</v>
      </c>
      <c r="Z28" s="206" t="s">
        <v>882</v>
      </c>
      <c r="AA28" s="206">
        <v>579</v>
      </c>
      <c r="AB28" s="206" t="s">
        <v>641</v>
      </c>
      <c r="AC28" s="230">
        <v>45665</v>
      </c>
      <c r="AD28" s="206" t="s">
        <v>50</v>
      </c>
      <c r="AE28" s="206" t="str">
        <f>IFERROR(VLOOKUP(Primary_Order[[#This Row],[AM]],SP!$E$19:$F$23,2,0),Primary_Order[[#This Row],[AM]])</f>
        <v>Eastern</v>
      </c>
      <c r="AF28" s="206" t="str">
        <f>VLOOKUP(Primary_Order[[#This Row],[Product ID]],SKU[],10,0)</f>
        <v>Synthetic</v>
      </c>
      <c r="AG28" s="206" t="str">
        <f>VLOOKUP(Primary_Order[[#This Row],[Product ID]],SKU[],9,0)</f>
        <v>MCO</v>
      </c>
      <c r="AH28" s="206" t="str">
        <f>VLOOKUP(Primary_Order[[#This Row],[Product ID]],SKU[],12,0)</f>
        <v>10W40</v>
      </c>
      <c r="AI28" s="206" t="str">
        <f>VLOOKUP(Primary_Order[[#This Row],[Product ID]],SKU[],13,0)</f>
        <v>7100</v>
      </c>
      <c r="AJ28" s="233">
        <f>VLOOKUP(Primary_Order[[#This Row],[Product ID]],SKU[[SKU ID]:[Bottle Size(Ltr)]],6,0)*Primary_Order[[#This Row],[Free Quantity]]</f>
        <v>0</v>
      </c>
      <c r="AK28" s="206" t="str">
        <f>VLOOKUP(Primary_Order[[#This Row],[Product ID]],SKU[[SKU ID]:[Bottle Size(Ltr)]],4,0)</f>
        <v>12x1L</v>
      </c>
      <c r="AL28" s="231">
        <f>VLOOKUP(Primary_Order[[#This Row],[Product ID]],SKU[],14,0)*Primary_Order[[#This Row],[Total Qty]]</f>
        <v>41639.4</v>
      </c>
      <c r="AM28" s="231">
        <f>IF(Primary_Order[[#This Row],[Cost]]=0,0,Primary_Order[[#This Row],[Net Total(-15%)]]-Primary_Order[[#This Row],[Cost]])</f>
        <v>14186.686956521735</v>
      </c>
      <c r="AN28" s="206" t="str">
        <f>"O-"&amp;Primary_Order[[#This Row],[Date]]&amp;"-"&amp;Primary_Order[[#This Row],[MMD ID]]</f>
        <v>O-45663-D-0018</v>
      </c>
      <c r="AO28" s="206" t="str" cm="1">
        <f t="array" ref="AO2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" spans="1:41" x14ac:dyDescent="0.5">
      <c r="A29" s="206" t="s">
        <v>934</v>
      </c>
      <c r="B29" s="230">
        <v>45662</v>
      </c>
      <c r="C29" s="206" t="s">
        <v>26</v>
      </c>
      <c r="D29" s="206" t="s">
        <v>886</v>
      </c>
      <c r="E29" s="206" t="s">
        <v>887</v>
      </c>
      <c r="F29" s="206" t="s">
        <v>888</v>
      </c>
      <c r="G29" s="206" t="s">
        <v>27</v>
      </c>
      <c r="H29" s="206" t="s">
        <v>28</v>
      </c>
      <c r="I29" s="206" t="s">
        <v>29</v>
      </c>
      <c r="J29" s="206" t="s">
        <v>30</v>
      </c>
      <c r="K29" s="206" t="s">
        <v>54</v>
      </c>
      <c r="L29" s="206" t="str">
        <f>VLOOKUP(Primary_Order[[#This Row],[Product ID]],SKU[],3,0)</f>
        <v>3000 4T PLUS 10W40</v>
      </c>
      <c r="M29" s="231">
        <v>100</v>
      </c>
      <c r="N29" s="231">
        <v>530</v>
      </c>
      <c r="O29" s="231">
        <v>100</v>
      </c>
      <c r="P29" s="232">
        <v>0</v>
      </c>
      <c r="Q29" s="231">
        <v>0</v>
      </c>
      <c r="R29" s="231">
        <v>530</v>
      </c>
      <c r="S29" s="231">
        <v>100</v>
      </c>
      <c r="T29" s="231">
        <v>100</v>
      </c>
      <c r="U29" s="231">
        <v>53000</v>
      </c>
      <c r="V29" s="231">
        <v>0</v>
      </c>
      <c r="W29" s="231">
        <v>53000</v>
      </c>
      <c r="X29" s="231">
        <v>6913.04347826087</v>
      </c>
      <c r="Y29" s="231">
        <v>46086.956521739128</v>
      </c>
      <c r="Z29" s="206" t="s">
        <v>882</v>
      </c>
      <c r="AA29" s="206">
        <v>580</v>
      </c>
      <c r="AB29" s="206" t="s">
        <v>641</v>
      </c>
      <c r="AC29" s="230">
        <v>45665</v>
      </c>
      <c r="AD29" s="206" t="s">
        <v>50</v>
      </c>
      <c r="AE29" s="206" t="str">
        <f>IFERROR(VLOOKUP(Primary_Order[[#This Row],[AM]],SP!$E$19:$F$23,2,0),Primary_Order[[#This Row],[AM]])</f>
        <v>Eastern</v>
      </c>
      <c r="AF29" s="206" t="str">
        <f>VLOOKUP(Primary_Order[[#This Row],[Product ID]],SKU[],10,0)</f>
        <v>Mineral</v>
      </c>
      <c r="AG29" s="206" t="str">
        <f>VLOOKUP(Primary_Order[[#This Row],[Product ID]],SKU[],9,0)</f>
        <v>MCO</v>
      </c>
      <c r="AH29" s="206" t="str">
        <f>VLOOKUP(Primary_Order[[#This Row],[Product ID]],SKU[],12,0)</f>
        <v>10W40</v>
      </c>
      <c r="AI29" s="206" t="str">
        <f>VLOOKUP(Primary_Order[[#This Row],[Product ID]],SKU[],13,0)</f>
        <v>3000</v>
      </c>
      <c r="AJ29" s="233">
        <f>VLOOKUP(Primary_Order[[#This Row],[Product ID]],SKU[[SKU ID]:[Bottle Size(Ltr)]],6,0)*Primary_Order[[#This Row],[Free Quantity]]</f>
        <v>0</v>
      </c>
      <c r="AK29" s="206" t="str">
        <f>VLOOKUP(Primary_Order[[#This Row],[Product ID]],SKU[[SKU ID]:[Bottle Size(Ltr)]],4,0)</f>
        <v>20x1L</v>
      </c>
      <c r="AL29" s="231">
        <f>VLOOKUP(Primary_Order[[#This Row],[Product ID]],SKU[],14,0)*Primary_Order[[#This Row],[Total Qty]]</f>
        <v>38485</v>
      </c>
      <c r="AM29" s="231">
        <f>IF(Primary_Order[[#This Row],[Cost]]=0,0,Primary_Order[[#This Row],[Net Total(-15%)]]-Primary_Order[[#This Row],[Cost]])</f>
        <v>7601.9565217391282</v>
      </c>
      <c r="AN29" s="206" t="str">
        <f>"O-"&amp;Primary_Order[[#This Row],[Date]]&amp;"-"&amp;Primary_Order[[#This Row],[MMD ID]]</f>
        <v>O-45662-D-0018</v>
      </c>
      <c r="AO29" s="206" t="str" cm="1">
        <f t="array" ref="AO2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" spans="1:41" x14ac:dyDescent="0.5">
      <c r="A30" s="206" t="s">
        <v>935</v>
      </c>
      <c r="B30" s="230">
        <v>45664</v>
      </c>
      <c r="C30" s="206" t="s">
        <v>118</v>
      </c>
      <c r="D30" s="206" t="s">
        <v>905</v>
      </c>
      <c r="E30" s="206" t="s">
        <v>508</v>
      </c>
      <c r="F30" s="206" t="s">
        <v>906</v>
      </c>
      <c r="G30" s="206" t="s">
        <v>45</v>
      </c>
      <c r="H30" s="206" t="s">
        <v>28</v>
      </c>
      <c r="I30" s="206" t="s">
        <v>119</v>
      </c>
      <c r="J30" s="206" t="s">
        <v>508</v>
      </c>
      <c r="K30" s="206" t="s">
        <v>54</v>
      </c>
      <c r="L30" s="206" t="str">
        <f>VLOOKUP(Primary_Order[[#This Row],[Product ID]],SKU[],3,0)</f>
        <v>3000 4T PLUS 10W40</v>
      </c>
      <c r="M30" s="231">
        <v>60</v>
      </c>
      <c r="N30" s="231">
        <v>535</v>
      </c>
      <c r="O30" s="231">
        <v>60</v>
      </c>
      <c r="P30" s="232"/>
      <c r="Q30" s="231">
        <v>0</v>
      </c>
      <c r="R30" s="231">
        <v>535</v>
      </c>
      <c r="S30" s="231">
        <v>60</v>
      </c>
      <c r="T30" s="231">
        <v>60</v>
      </c>
      <c r="U30" s="231">
        <v>32100</v>
      </c>
      <c r="V30" s="231">
        <v>0</v>
      </c>
      <c r="W30" s="231">
        <v>32100</v>
      </c>
      <c r="X30" s="231">
        <v>4186.95652173913</v>
      </c>
      <c r="Y30" s="231">
        <v>27913.043478260868</v>
      </c>
      <c r="Z30" s="206" t="s">
        <v>882</v>
      </c>
      <c r="AA30" s="206">
        <v>581</v>
      </c>
      <c r="AB30" s="206" t="s">
        <v>641</v>
      </c>
      <c r="AC30" s="230">
        <v>45665</v>
      </c>
      <c r="AD30" s="206" t="s">
        <v>939</v>
      </c>
      <c r="AE30" s="206" t="str">
        <f>IFERROR(VLOOKUP(Primary_Order[[#This Row],[AM]],SP!$E$19:$F$23,2,0),Primary_Order[[#This Row],[AM]])</f>
        <v>Eastern</v>
      </c>
      <c r="AF30" s="206" t="str">
        <f>VLOOKUP(Primary_Order[[#This Row],[Product ID]],SKU[],10,0)</f>
        <v>Mineral</v>
      </c>
      <c r="AG30" s="206" t="str">
        <f>VLOOKUP(Primary_Order[[#This Row],[Product ID]],SKU[],9,0)</f>
        <v>MCO</v>
      </c>
      <c r="AH30" s="206" t="str">
        <f>VLOOKUP(Primary_Order[[#This Row],[Product ID]],SKU[],12,0)</f>
        <v>10W40</v>
      </c>
      <c r="AI30" s="206" t="str">
        <f>VLOOKUP(Primary_Order[[#This Row],[Product ID]],SKU[],13,0)</f>
        <v>3000</v>
      </c>
      <c r="AJ30" s="233">
        <f>VLOOKUP(Primary_Order[[#This Row],[Product ID]],SKU[[SKU ID]:[Bottle Size(Ltr)]],6,0)*Primary_Order[[#This Row],[Free Quantity]]</f>
        <v>0</v>
      </c>
      <c r="AK30" s="206" t="str">
        <f>VLOOKUP(Primary_Order[[#This Row],[Product ID]],SKU[[SKU ID]:[Bottle Size(Ltr)]],4,0)</f>
        <v>20x1L</v>
      </c>
      <c r="AL30" s="231">
        <f>VLOOKUP(Primary_Order[[#This Row],[Product ID]],SKU[],14,0)*Primary_Order[[#This Row],[Total Qty]]</f>
        <v>23091</v>
      </c>
      <c r="AM30" s="231">
        <f>IF(Primary_Order[[#This Row],[Cost]]=0,0,Primary_Order[[#This Row],[Net Total(-15%)]]-Primary_Order[[#This Row],[Cost]])</f>
        <v>4822.0434782608681</v>
      </c>
      <c r="AN30" s="206" t="str">
        <f>"O-"&amp;Primary_Order[[#This Row],[Date]]&amp;"-"&amp;Primary_Order[[#This Row],[MMD ID]]</f>
        <v>O-45664-D-0010</v>
      </c>
      <c r="AO30" s="206" t="str" cm="1">
        <f t="array" ref="AO3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" spans="1:41" x14ac:dyDescent="0.5">
      <c r="A31" s="206" t="s">
        <v>935</v>
      </c>
      <c r="B31" s="230">
        <v>45664</v>
      </c>
      <c r="C31" s="206" t="s">
        <v>118</v>
      </c>
      <c r="D31" s="206" t="s">
        <v>905</v>
      </c>
      <c r="E31" s="206" t="s">
        <v>508</v>
      </c>
      <c r="F31" s="206" t="s">
        <v>906</v>
      </c>
      <c r="G31" s="206" t="s">
        <v>45</v>
      </c>
      <c r="H31" s="206" t="s">
        <v>28</v>
      </c>
      <c r="I31" s="206" t="s">
        <v>119</v>
      </c>
      <c r="J31" s="206" t="s">
        <v>508</v>
      </c>
      <c r="K31" s="206" t="s">
        <v>32</v>
      </c>
      <c r="L31" s="206" t="str">
        <f>VLOOKUP(Primary_Order[[#This Row],[Product ID]],SKU[],3,0)</f>
        <v>3000 4T PLUS 10W30</v>
      </c>
      <c r="M31" s="231">
        <v>40</v>
      </c>
      <c r="N31" s="231">
        <v>640</v>
      </c>
      <c r="O31" s="231">
        <v>48</v>
      </c>
      <c r="P31" s="232"/>
      <c r="Q31" s="231">
        <v>0</v>
      </c>
      <c r="R31" s="231">
        <v>640</v>
      </c>
      <c r="S31" s="231">
        <v>40</v>
      </c>
      <c r="T31" s="231">
        <v>48</v>
      </c>
      <c r="U31" s="231">
        <v>25600</v>
      </c>
      <c r="V31" s="231">
        <v>0</v>
      </c>
      <c r="W31" s="231">
        <v>25600</v>
      </c>
      <c r="X31" s="231">
        <v>3339.1304347826085</v>
      </c>
      <c r="Y31" s="231">
        <v>22260.869565217392</v>
      </c>
      <c r="Z31" s="206" t="s">
        <v>882</v>
      </c>
      <c r="AA31" s="206">
        <v>581</v>
      </c>
      <c r="AB31" s="206" t="s">
        <v>641</v>
      </c>
      <c r="AC31" s="230">
        <v>45665</v>
      </c>
      <c r="AD31" s="206" t="s">
        <v>939</v>
      </c>
      <c r="AE31" s="206" t="str">
        <f>IFERROR(VLOOKUP(Primary_Order[[#This Row],[AM]],SP!$E$19:$F$23,2,0),Primary_Order[[#This Row],[AM]])</f>
        <v>Eastern</v>
      </c>
      <c r="AF31" s="206" t="str">
        <f>VLOOKUP(Primary_Order[[#This Row],[Product ID]],SKU[],10,0)</f>
        <v>Mineral</v>
      </c>
      <c r="AG31" s="206" t="str">
        <f>VLOOKUP(Primary_Order[[#This Row],[Product ID]],SKU[],9,0)</f>
        <v>MCO</v>
      </c>
      <c r="AH31" s="206" t="str">
        <f>VLOOKUP(Primary_Order[[#This Row],[Product ID]],SKU[],12,0)</f>
        <v>10W30</v>
      </c>
      <c r="AI31" s="206" t="str">
        <f>VLOOKUP(Primary_Order[[#This Row],[Product ID]],SKU[],13,0)</f>
        <v>3000</v>
      </c>
      <c r="AJ31" s="233">
        <f>VLOOKUP(Primary_Order[[#This Row],[Product ID]],SKU[[SKU ID]:[Bottle Size(Ltr)]],6,0)*Primary_Order[[#This Row],[Free Quantity]]</f>
        <v>0</v>
      </c>
      <c r="AK31" s="206" t="str">
        <f>VLOOKUP(Primary_Order[[#This Row],[Product ID]],SKU[[SKU ID]:[Bottle Size(Ltr)]],4,0)</f>
        <v>20x1.2L</v>
      </c>
      <c r="AL31" s="231">
        <f>VLOOKUP(Primary_Order[[#This Row],[Product ID]],SKU[],14,0)*Primary_Order[[#This Row],[Total Qty]]</f>
        <v>17556</v>
      </c>
      <c r="AM31" s="231">
        <f>IF(Primary_Order[[#This Row],[Cost]]=0,0,Primary_Order[[#This Row],[Net Total(-15%)]]-Primary_Order[[#This Row],[Cost]])</f>
        <v>4704.8695652173919</v>
      </c>
      <c r="AN31" s="206" t="str">
        <f>"O-"&amp;Primary_Order[[#This Row],[Date]]&amp;"-"&amp;Primary_Order[[#This Row],[MMD ID]]</f>
        <v>O-45664-D-0010</v>
      </c>
      <c r="AO31" s="206" t="str" cm="1">
        <f t="array" ref="AO3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" spans="1:41" x14ac:dyDescent="0.5">
      <c r="A32" s="206" t="s">
        <v>935</v>
      </c>
      <c r="B32" s="230">
        <v>45664</v>
      </c>
      <c r="C32" s="206" t="s">
        <v>118</v>
      </c>
      <c r="D32" s="206" t="s">
        <v>905</v>
      </c>
      <c r="E32" s="206" t="s">
        <v>508</v>
      </c>
      <c r="F32" s="206" t="s">
        <v>906</v>
      </c>
      <c r="G32" s="206" t="s">
        <v>45</v>
      </c>
      <c r="H32" s="206" t="s">
        <v>28</v>
      </c>
      <c r="I32" s="206" t="s">
        <v>119</v>
      </c>
      <c r="J32" s="206" t="s">
        <v>508</v>
      </c>
      <c r="K32" s="206" t="s">
        <v>33</v>
      </c>
      <c r="L32" s="206" t="str">
        <f>VLOOKUP(Primary_Order[[#This Row],[Product ID]],SKU[],3,0)</f>
        <v>3000 4T PLUS 20W40</v>
      </c>
      <c r="M32" s="231">
        <v>20</v>
      </c>
      <c r="N32" s="231">
        <v>640</v>
      </c>
      <c r="O32" s="231">
        <v>24</v>
      </c>
      <c r="P32" s="232"/>
      <c r="Q32" s="231">
        <v>0</v>
      </c>
      <c r="R32" s="231">
        <v>640</v>
      </c>
      <c r="S32" s="231">
        <v>20</v>
      </c>
      <c r="T32" s="231">
        <v>24</v>
      </c>
      <c r="U32" s="231">
        <v>12800</v>
      </c>
      <c r="V32" s="231">
        <v>0</v>
      </c>
      <c r="W32" s="231">
        <v>12800</v>
      </c>
      <c r="X32" s="231">
        <v>1669.5652173913043</v>
      </c>
      <c r="Y32" s="231">
        <v>11130.434782608696</v>
      </c>
      <c r="Z32" s="206" t="s">
        <v>882</v>
      </c>
      <c r="AA32" s="206">
        <v>581</v>
      </c>
      <c r="AB32" s="206" t="s">
        <v>641</v>
      </c>
      <c r="AC32" s="230">
        <v>45665</v>
      </c>
      <c r="AD32" s="206" t="s">
        <v>939</v>
      </c>
      <c r="AE32" s="206" t="str">
        <f>IFERROR(VLOOKUP(Primary_Order[[#This Row],[AM]],SP!$E$19:$F$23,2,0),Primary_Order[[#This Row],[AM]])</f>
        <v>Eastern</v>
      </c>
      <c r="AF32" s="206" t="str">
        <f>VLOOKUP(Primary_Order[[#This Row],[Product ID]],SKU[],10,0)</f>
        <v>Mineral</v>
      </c>
      <c r="AG32" s="206" t="str">
        <f>VLOOKUP(Primary_Order[[#This Row],[Product ID]],SKU[],9,0)</f>
        <v>MCO</v>
      </c>
      <c r="AH32" s="206" t="str">
        <f>VLOOKUP(Primary_Order[[#This Row],[Product ID]],SKU[],12,0)</f>
        <v>20W40</v>
      </c>
      <c r="AI32" s="206" t="str">
        <f>VLOOKUP(Primary_Order[[#This Row],[Product ID]],SKU[],13,0)</f>
        <v>3000</v>
      </c>
      <c r="AJ32" s="233">
        <f>VLOOKUP(Primary_Order[[#This Row],[Product ID]],SKU[[SKU ID]:[Bottle Size(Ltr)]],6,0)*Primary_Order[[#This Row],[Free Quantity]]</f>
        <v>0</v>
      </c>
      <c r="AK32" s="206" t="str">
        <f>VLOOKUP(Primary_Order[[#This Row],[Product ID]],SKU[[SKU ID]:[Bottle Size(Ltr)]],4,0)</f>
        <v>20x1.2L</v>
      </c>
      <c r="AL32" s="231">
        <f>VLOOKUP(Primary_Order[[#This Row],[Product ID]],SKU[],14,0)*Primary_Order[[#This Row],[Total Qty]]</f>
        <v>9397.9559070121941</v>
      </c>
      <c r="AM32" s="231">
        <f>IF(Primary_Order[[#This Row],[Cost]]=0,0,Primary_Order[[#This Row],[Net Total(-15%)]]-Primary_Order[[#This Row],[Cost]])</f>
        <v>1732.4788755965019</v>
      </c>
      <c r="AN32" s="206" t="str">
        <f>"O-"&amp;Primary_Order[[#This Row],[Date]]&amp;"-"&amp;Primary_Order[[#This Row],[MMD ID]]</f>
        <v>O-45664-D-0010</v>
      </c>
      <c r="AO32" s="206" t="str" cm="1">
        <f t="array" ref="AO3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" spans="1:41" x14ac:dyDescent="0.5">
      <c r="A33" s="206" t="s">
        <v>935</v>
      </c>
      <c r="B33" s="230">
        <v>45664</v>
      </c>
      <c r="C33" s="206" t="s">
        <v>118</v>
      </c>
      <c r="D33" s="206" t="s">
        <v>905</v>
      </c>
      <c r="E33" s="206" t="s">
        <v>508</v>
      </c>
      <c r="F33" s="206" t="s">
        <v>906</v>
      </c>
      <c r="G33" s="206" t="s">
        <v>45</v>
      </c>
      <c r="H33" s="206" t="s">
        <v>28</v>
      </c>
      <c r="I33" s="206" t="s">
        <v>119</v>
      </c>
      <c r="J33" s="206" t="s">
        <v>508</v>
      </c>
      <c r="K33" s="206" t="s">
        <v>57</v>
      </c>
      <c r="L33" s="206" t="str">
        <f>VLOOKUP(Primary_Order[[#This Row],[Product ID]],SKU[],3,0)</f>
        <v>7100 4T 10W40 ESTER CORE®</v>
      </c>
      <c r="M33" s="231">
        <v>24</v>
      </c>
      <c r="N33" s="231">
        <v>1070</v>
      </c>
      <c r="O33" s="231">
        <v>24</v>
      </c>
      <c r="P33" s="232"/>
      <c r="Q33" s="231">
        <v>0</v>
      </c>
      <c r="R33" s="231">
        <v>1070</v>
      </c>
      <c r="S33" s="231">
        <v>24</v>
      </c>
      <c r="T33" s="231">
        <v>24</v>
      </c>
      <c r="U33" s="231">
        <v>25680</v>
      </c>
      <c r="V33" s="231">
        <v>0</v>
      </c>
      <c r="W33" s="231">
        <v>25680</v>
      </c>
      <c r="X33" s="231">
        <v>3349.5652173913045</v>
      </c>
      <c r="Y33" s="231">
        <v>22330.434782608696</v>
      </c>
      <c r="Z33" s="206" t="s">
        <v>882</v>
      </c>
      <c r="AA33" s="206">
        <v>581</v>
      </c>
      <c r="AB33" s="206" t="s">
        <v>641</v>
      </c>
      <c r="AC33" s="230">
        <v>45665</v>
      </c>
      <c r="AD33" s="206" t="s">
        <v>939</v>
      </c>
      <c r="AE33" s="206" t="str">
        <f>IFERROR(VLOOKUP(Primary_Order[[#This Row],[AM]],SP!$E$19:$F$23,2,0),Primary_Order[[#This Row],[AM]])</f>
        <v>Eastern</v>
      </c>
      <c r="AF33" s="206" t="str">
        <f>VLOOKUP(Primary_Order[[#This Row],[Product ID]],SKU[],10,0)</f>
        <v>Synthetic</v>
      </c>
      <c r="AG33" s="206" t="str">
        <f>VLOOKUP(Primary_Order[[#This Row],[Product ID]],SKU[],9,0)</f>
        <v>MCO</v>
      </c>
      <c r="AH33" s="206" t="str">
        <f>VLOOKUP(Primary_Order[[#This Row],[Product ID]],SKU[],12,0)</f>
        <v>10W40</v>
      </c>
      <c r="AI33" s="206" t="str">
        <f>VLOOKUP(Primary_Order[[#This Row],[Product ID]],SKU[],13,0)</f>
        <v>7100</v>
      </c>
      <c r="AJ33" s="233">
        <f>VLOOKUP(Primary_Order[[#This Row],[Product ID]],SKU[[SKU ID]:[Bottle Size(Ltr)]],6,0)*Primary_Order[[#This Row],[Free Quantity]]</f>
        <v>0</v>
      </c>
      <c r="AK33" s="206" t="str">
        <f>VLOOKUP(Primary_Order[[#This Row],[Product ID]],SKU[[SKU ID]:[Bottle Size(Ltr)]],4,0)</f>
        <v>12x1L</v>
      </c>
      <c r="AL33" s="231">
        <f>VLOOKUP(Primary_Order[[#This Row],[Product ID]],SKU[],14,0)*Primary_Order[[#This Row],[Total Qty]]</f>
        <v>16655.760000000002</v>
      </c>
      <c r="AM33" s="231">
        <f>IF(Primary_Order[[#This Row],[Cost]]=0,0,Primary_Order[[#This Row],[Net Total(-15%)]]-Primary_Order[[#This Row],[Cost]])</f>
        <v>5674.6747826086939</v>
      </c>
      <c r="AN33" s="206" t="str">
        <f>"O-"&amp;Primary_Order[[#This Row],[Date]]&amp;"-"&amp;Primary_Order[[#This Row],[MMD ID]]</f>
        <v>O-45664-D-0010</v>
      </c>
      <c r="AO33" s="206" t="str" cm="1">
        <f t="array" ref="AO3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" spans="1:41" x14ac:dyDescent="0.5">
      <c r="A34" s="206" t="s">
        <v>935</v>
      </c>
      <c r="B34" s="230">
        <v>45664</v>
      </c>
      <c r="C34" s="206" t="s">
        <v>118</v>
      </c>
      <c r="D34" s="206" t="s">
        <v>905</v>
      </c>
      <c r="E34" s="206" t="s">
        <v>508</v>
      </c>
      <c r="F34" s="206" t="s">
        <v>906</v>
      </c>
      <c r="G34" s="206" t="s">
        <v>45</v>
      </c>
      <c r="H34" s="206" t="s">
        <v>28</v>
      </c>
      <c r="I34" s="206" t="s">
        <v>119</v>
      </c>
      <c r="J34" s="206" t="s">
        <v>508</v>
      </c>
      <c r="K34" s="206" t="s">
        <v>81</v>
      </c>
      <c r="L34" s="206" t="str">
        <f>VLOOKUP(Primary_Order[[#This Row],[Product ID]],SKU[],3,0)</f>
        <v>3000 4T 20W50</v>
      </c>
      <c r="M34" s="231">
        <v>100</v>
      </c>
      <c r="N34" s="231">
        <v>487.47500000000002</v>
      </c>
      <c r="O34" s="231">
        <v>100</v>
      </c>
      <c r="P34" s="232"/>
      <c r="Q34" s="231">
        <v>0</v>
      </c>
      <c r="R34" s="231">
        <v>487.47500000000002</v>
      </c>
      <c r="S34" s="231">
        <v>100</v>
      </c>
      <c r="T34" s="231">
        <v>100</v>
      </c>
      <c r="U34" s="231">
        <v>48747.5</v>
      </c>
      <c r="V34" s="231">
        <v>0</v>
      </c>
      <c r="W34" s="231">
        <v>48747.5</v>
      </c>
      <c r="X34" s="231">
        <v>6358.369565217391</v>
      </c>
      <c r="Y34" s="231">
        <v>42389.130434782608</v>
      </c>
      <c r="Z34" s="206" t="s">
        <v>882</v>
      </c>
      <c r="AA34" s="206">
        <v>581</v>
      </c>
      <c r="AB34" s="206" t="s">
        <v>641</v>
      </c>
      <c r="AC34" s="230">
        <v>45665</v>
      </c>
      <c r="AD34" s="206" t="s">
        <v>939</v>
      </c>
      <c r="AE34" s="206" t="str">
        <f>IFERROR(VLOOKUP(Primary_Order[[#This Row],[AM]],SP!$E$19:$F$23,2,0),Primary_Order[[#This Row],[AM]])</f>
        <v>Eastern</v>
      </c>
      <c r="AF34" s="206" t="str">
        <f>VLOOKUP(Primary_Order[[#This Row],[Product ID]],SKU[],10,0)</f>
        <v>Mineral</v>
      </c>
      <c r="AG34" s="206" t="str">
        <f>VLOOKUP(Primary_Order[[#This Row],[Product ID]],SKU[],9,0)</f>
        <v>MCO</v>
      </c>
      <c r="AH34" s="206" t="str">
        <f>VLOOKUP(Primary_Order[[#This Row],[Product ID]],SKU[],12,0)</f>
        <v>20W50</v>
      </c>
      <c r="AI34" s="206" t="str">
        <f>VLOOKUP(Primary_Order[[#This Row],[Product ID]],SKU[],13,0)</f>
        <v>3000</v>
      </c>
      <c r="AJ34" s="233">
        <f>VLOOKUP(Primary_Order[[#This Row],[Product ID]],SKU[[SKU ID]:[Bottle Size(Ltr)]],6,0)*Primary_Order[[#This Row],[Free Quantity]]</f>
        <v>0</v>
      </c>
      <c r="AK34" s="206" t="str">
        <f>VLOOKUP(Primary_Order[[#This Row],[Product ID]],SKU[[SKU ID]:[Bottle Size(Ltr)]],4,0)</f>
        <v>20x1L</v>
      </c>
      <c r="AL34" s="231">
        <f>VLOOKUP(Primary_Order[[#This Row],[Product ID]],SKU[],14,0)*Primary_Order[[#This Row],[Total Qty]]</f>
        <v>36492</v>
      </c>
      <c r="AM34" s="231">
        <f>IF(Primary_Order[[#This Row],[Cost]]=0,0,Primary_Order[[#This Row],[Net Total(-15%)]]-Primary_Order[[#This Row],[Cost]])</f>
        <v>5897.1304347826081</v>
      </c>
      <c r="AN34" s="206" t="str">
        <f>"O-"&amp;Primary_Order[[#This Row],[Date]]&amp;"-"&amp;Primary_Order[[#This Row],[MMD ID]]</f>
        <v>O-45664-D-0010</v>
      </c>
      <c r="AO34" s="206" t="str" cm="1">
        <f t="array" ref="AO3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" spans="1:41" x14ac:dyDescent="0.5">
      <c r="A35" s="206" t="s">
        <v>935</v>
      </c>
      <c r="B35" s="230">
        <v>45664</v>
      </c>
      <c r="C35" s="206" t="s">
        <v>118</v>
      </c>
      <c r="D35" s="206" t="s">
        <v>905</v>
      </c>
      <c r="E35" s="206" t="s">
        <v>508</v>
      </c>
      <c r="F35" s="206" t="s">
        <v>906</v>
      </c>
      <c r="G35" s="206" t="s">
        <v>45</v>
      </c>
      <c r="H35" s="206" t="s">
        <v>28</v>
      </c>
      <c r="I35" s="206" t="s">
        <v>119</v>
      </c>
      <c r="J35" s="206" t="s">
        <v>508</v>
      </c>
      <c r="K35" s="206" t="s">
        <v>99</v>
      </c>
      <c r="L35" s="206" t="str">
        <f>VLOOKUP(Primary_Order[[#This Row],[Product ID]],SKU[],3,0)</f>
        <v>3000 4T 20W50</v>
      </c>
      <c r="M35" s="231">
        <v>60</v>
      </c>
      <c r="N35" s="231">
        <v>587.47500000000002</v>
      </c>
      <c r="O35" s="231">
        <v>72</v>
      </c>
      <c r="P35" s="232"/>
      <c r="Q35" s="231">
        <v>0</v>
      </c>
      <c r="R35" s="231">
        <v>587.47500000000002</v>
      </c>
      <c r="S35" s="231">
        <v>60</v>
      </c>
      <c r="T35" s="231">
        <v>72</v>
      </c>
      <c r="U35" s="231">
        <v>35248.5</v>
      </c>
      <c r="V35" s="231">
        <v>0</v>
      </c>
      <c r="W35" s="231">
        <v>35248.5</v>
      </c>
      <c r="X35" s="231">
        <v>4597.630434782609</v>
      </c>
      <c r="Y35" s="231">
        <v>30650.869565217392</v>
      </c>
      <c r="Z35" s="206" t="s">
        <v>882</v>
      </c>
      <c r="AA35" s="206">
        <v>581</v>
      </c>
      <c r="AB35" s="206" t="s">
        <v>641</v>
      </c>
      <c r="AC35" s="230">
        <v>45665</v>
      </c>
      <c r="AD35" s="206" t="s">
        <v>939</v>
      </c>
      <c r="AE35" s="206" t="str">
        <f>IFERROR(VLOOKUP(Primary_Order[[#This Row],[AM]],SP!$E$19:$F$23,2,0),Primary_Order[[#This Row],[AM]])</f>
        <v>Eastern</v>
      </c>
      <c r="AF35" s="206" t="str">
        <f>VLOOKUP(Primary_Order[[#This Row],[Product ID]],SKU[],10,0)</f>
        <v>Mineral</v>
      </c>
      <c r="AG35" s="206" t="str">
        <f>VLOOKUP(Primary_Order[[#This Row],[Product ID]],SKU[],9,0)</f>
        <v>MCO</v>
      </c>
      <c r="AH35" s="206" t="str">
        <f>VLOOKUP(Primary_Order[[#This Row],[Product ID]],SKU[],12,0)</f>
        <v>20W50</v>
      </c>
      <c r="AI35" s="206" t="str">
        <f>VLOOKUP(Primary_Order[[#This Row],[Product ID]],SKU[],13,0)</f>
        <v>3000</v>
      </c>
      <c r="AJ35" s="233">
        <f>VLOOKUP(Primary_Order[[#This Row],[Product ID]],SKU[[SKU ID]:[Bottle Size(Ltr)]],6,0)*Primary_Order[[#This Row],[Free Quantity]]</f>
        <v>0</v>
      </c>
      <c r="AK35" s="206" t="str">
        <f>VLOOKUP(Primary_Order[[#This Row],[Product ID]],SKU[[SKU ID]:[Bottle Size(Ltr)]],4,0)</f>
        <v>20x1.2L</v>
      </c>
      <c r="AL35" s="231">
        <f>VLOOKUP(Primary_Order[[#This Row],[Product ID]],SKU[],14,0)*Primary_Order[[#This Row],[Total Qty]]</f>
        <v>26076.600000000002</v>
      </c>
      <c r="AM35" s="231">
        <f>IF(Primary_Order[[#This Row],[Cost]]=0,0,Primary_Order[[#This Row],[Net Total(-15%)]]-Primary_Order[[#This Row],[Cost]])</f>
        <v>4574.2695652173898</v>
      </c>
      <c r="AN35" s="206" t="str">
        <f>"O-"&amp;Primary_Order[[#This Row],[Date]]&amp;"-"&amp;Primary_Order[[#This Row],[MMD ID]]</f>
        <v>O-45664-D-0010</v>
      </c>
      <c r="AO35" s="206" t="str" cm="1">
        <f t="array" ref="AO3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6" spans="1:41" x14ac:dyDescent="0.5">
      <c r="A36" s="206" t="s">
        <v>936</v>
      </c>
      <c r="B36" s="230">
        <v>45664</v>
      </c>
      <c r="C36" s="206" t="s">
        <v>26</v>
      </c>
      <c r="D36" s="206" t="s">
        <v>909</v>
      </c>
      <c r="E36" s="206" t="s">
        <v>910</v>
      </c>
      <c r="F36" s="206" t="s">
        <v>911</v>
      </c>
      <c r="G36" s="206" t="s">
        <v>27</v>
      </c>
      <c r="H36" s="206" t="s">
        <v>28</v>
      </c>
      <c r="I36" s="206" t="s">
        <v>29</v>
      </c>
      <c r="J36" s="206" t="s">
        <v>30</v>
      </c>
      <c r="K36" s="206" t="s">
        <v>53</v>
      </c>
      <c r="L36" s="206" t="str">
        <f>VLOOKUP(Primary_Order[[#This Row],[Product ID]],SKU[],3,0)</f>
        <v>3000 4T PLUS 20W40</v>
      </c>
      <c r="M36" s="231">
        <v>40</v>
      </c>
      <c r="N36" s="231">
        <v>530</v>
      </c>
      <c r="O36" s="231">
        <v>40</v>
      </c>
      <c r="P36" s="232">
        <v>0</v>
      </c>
      <c r="Q36" s="231">
        <v>0</v>
      </c>
      <c r="R36" s="231">
        <v>530</v>
      </c>
      <c r="S36" s="231">
        <v>40</v>
      </c>
      <c r="T36" s="231">
        <v>40</v>
      </c>
      <c r="U36" s="231">
        <v>21200</v>
      </c>
      <c r="V36" s="231">
        <v>0</v>
      </c>
      <c r="W36" s="231">
        <v>21200</v>
      </c>
      <c r="X36" s="231">
        <v>2765.217391304348</v>
      </c>
      <c r="Y36" s="231">
        <v>18434.782608695652</v>
      </c>
      <c r="Z36" s="206" t="s">
        <v>882</v>
      </c>
      <c r="AA36" s="206">
        <v>582</v>
      </c>
      <c r="AB36" s="206" t="s">
        <v>641</v>
      </c>
      <c r="AC36" s="230">
        <v>45665</v>
      </c>
      <c r="AD36" s="206" t="s">
        <v>50</v>
      </c>
      <c r="AE36" s="206" t="str">
        <f>IFERROR(VLOOKUP(Primary_Order[[#This Row],[AM]],SP!$E$19:$F$23,2,0),Primary_Order[[#This Row],[AM]])</f>
        <v>Eastern</v>
      </c>
      <c r="AF36" s="206" t="str">
        <f>VLOOKUP(Primary_Order[[#This Row],[Product ID]],SKU[],10,0)</f>
        <v>Mineral</v>
      </c>
      <c r="AG36" s="206" t="str">
        <f>VLOOKUP(Primary_Order[[#This Row],[Product ID]],SKU[],9,0)</f>
        <v>MCO</v>
      </c>
      <c r="AH36" s="206" t="str">
        <f>VLOOKUP(Primary_Order[[#This Row],[Product ID]],SKU[],12,0)</f>
        <v>20W40</v>
      </c>
      <c r="AI36" s="206" t="str">
        <f>VLOOKUP(Primary_Order[[#This Row],[Product ID]],SKU[],13,0)</f>
        <v>3000</v>
      </c>
      <c r="AJ36" s="233">
        <f>VLOOKUP(Primary_Order[[#This Row],[Product ID]],SKU[[SKU ID]:[Bottle Size(Ltr)]],6,0)*Primary_Order[[#This Row],[Free Quantity]]</f>
        <v>0</v>
      </c>
      <c r="AK36" s="206" t="str">
        <f>VLOOKUP(Primary_Order[[#This Row],[Product ID]],SKU[[SKU ID]:[Bottle Size(Ltr)]],4,0)</f>
        <v>20x1L</v>
      </c>
      <c r="AL36" s="231">
        <f>VLOOKUP(Primary_Order[[#This Row],[Product ID]],SKU[],14,0)*Primary_Order[[#This Row],[Total Qty]]</f>
        <v>16510.400000000001</v>
      </c>
      <c r="AM36" s="231">
        <f>IF(Primary_Order[[#This Row],[Cost]]=0,0,Primary_Order[[#This Row],[Net Total(-15%)]]-Primary_Order[[#This Row],[Cost]])</f>
        <v>1924.3826086956506</v>
      </c>
      <c r="AN36" s="206" t="str">
        <f>"O-"&amp;Primary_Order[[#This Row],[Date]]&amp;"-"&amp;Primary_Order[[#This Row],[MMD ID]]</f>
        <v>O-45664-D-0018</v>
      </c>
      <c r="AO36" s="206" t="str" cm="1">
        <f t="array" ref="AO3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" spans="1:41" x14ac:dyDescent="0.5">
      <c r="A37" s="206" t="s">
        <v>937</v>
      </c>
      <c r="B37" s="230">
        <v>45664</v>
      </c>
      <c r="C37" s="206" t="s">
        <v>114</v>
      </c>
      <c r="D37" s="206" t="s">
        <v>153</v>
      </c>
      <c r="E37" s="206" t="s">
        <v>907</v>
      </c>
      <c r="F37" s="206" t="s">
        <v>436</v>
      </c>
      <c r="G37" s="206" t="s">
        <v>709</v>
      </c>
      <c r="H37" s="206" t="s">
        <v>40</v>
      </c>
      <c r="I37" s="206" t="s">
        <v>153</v>
      </c>
      <c r="J37" s="206" t="s">
        <v>523</v>
      </c>
      <c r="K37" s="206" t="s">
        <v>145</v>
      </c>
      <c r="L37" s="206" t="str">
        <f>VLOOKUP(Primary_Order[[#This Row],[Product ID]],SKU[],3,0)</f>
        <v>Fork Oil Expert</v>
      </c>
      <c r="M37" s="231">
        <v>100</v>
      </c>
      <c r="N37" s="231">
        <v>246</v>
      </c>
      <c r="O37" s="231">
        <v>35</v>
      </c>
      <c r="P37" s="232"/>
      <c r="Q37" s="231">
        <v>0</v>
      </c>
      <c r="R37" s="231">
        <v>246</v>
      </c>
      <c r="S37" s="231">
        <v>100</v>
      </c>
      <c r="T37" s="231">
        <v>35</v>
      </c>
      <c r="U37" s="231">
        <v>24600</v>
      </c>
      <c r="V37" s="231">
        <v>0</v>
      </c>
      <c r="W37" s="231">
        <v>24600</v>
      </c>
      <c r="X37" s="231">
        <v>3208.695652173913</v>
      </c>
      <c r="Y37" s="231">
        <v>21391.304347826088</v>
      </c>
      <c r="Z37" s="206" t="s">
        <v>882</v>
      </c>
      <c r="AA37" s="206">
        <v>583</v>
      </c>
      <c r="AB37" s="206" t="s">
        <v>641</v>
      </c>
      <c r="AC37" s="230">
        <v>45665</v>
      </c>
      <c r="AD37" s="206" t="s">
        <v>908</v>
      </c>
      <c r="AE37" s="206" t="str">
        <f>IFERROR(VLOOKUP(Primary_Order[[#This Row],[AM]],SP!$E$19:$F$23,2,0),Primary_Order[[#This Row],[AM]])</f>
        <v>Central</v>
      </c>
      <c r="AF37" s="206" t="str">
        <f>VLOOKUP(Primary_Order[[#This Row],[Product ID]],SKU[],10,0)</f>
        <v>Care Products</v>
      </c>
      <c r="AG37" s="206" t="str">
        <f>VLOOKUP(Primary_Order[[#This Row],[Product ID]],SKU[],9,0)</f>
        <v>Care Products</v>
      </c>
      <c r="AH37" s="206" t="str">
        <f>VLOOKUP(Primary_Order[[#This Row],[Product ID]],SKU[],12,0)</f>
        <v>Care Products</v>
      </c>
      <c r="AI37" s="206" t="str">
        <f>VLOOKUP(Primary_Order[[#This Row],[Product ID]],SKU[],13,0)</f>
        <v>Fork Oil</v>
      </c>
      <c r="AJ37" s="233">
        <f>VLOOKUP(Primary_Order[[#This Row],[Product ID]],SKU[[SKU ID]:[Bottle Size(Ltr)]],6,0)*Primary_Order[[#This Row],[Free Quantity]]</f>
        <v>0</v>
      </c>
      <c r="AK37" s="206" t="str">
        <f>VLOOKUP(Primary_Order[[#This Row],[Product ID]],SKU[[SKU ID]:[Bottle Size(Ltr)]],4,0)</f>
        <v>20x0.35L</v>
      </c>
      <c r="AL37" s="231">
        <f>VLOOKUP(Primary_Order[[#This Row],[Product ID]],SKU[],14,0)*Primary_Order[[#This Row],[Total Qty]]</f>
        <v>16471</v>
      </c>
      <c r="AM37" s="231">
        <f>IF(Primary_Order[[#This Row],[Cost]]=0,0,Primary_Order[[#This Row],[Net Total(-15%)]]-Primary_Order[[#This Row],[Cost]])</f>
        <v>4920.3043478260879</v>
      </c>
      <c r="AN37" s="206" t="str">
        <f>"O-"&amp;Primary_Order[[#This Row],[Date]]&amp;"-"&amp;Primary_Order[[#This Row],[MMD ID]]</f>
        <v>O-45664-D-0012</v>
      </c>
      <c r="AO37" s="206" t="str" cm="1">
        <f t="array" ref="AO3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" spans="1:41" x14ac:dyDescent="0.5">
      <c r="A38" s="206" t="s">
        <v>938</v>
      </c>
      <c r="B38" s="230">
        <v>45664</v>
      </c>
      <c r="C38" s="206" t="s">
        <v>122</v>
      </c>
      <c r="D38" s="206" t="s">
        <v>431</v>
      </c>
      <c r="E38" s="206" t="s">
        <v>880</v>
      </c>
      <c r="F38" s="206" t="s">
        <v>432</v>
      </c>
      <c r="G38" s="206" t="s">
        <v>39</v>
      </c>
      <c r="H38" s="206" t="s">
        <v>40</v>
      </c>
      <c r="I38" s="206" t="s">
        <v>431</v>
      </c>
      <c r="J38" s="206" t="s">
        <v>276</v>
      </c>
      <c r="K38" s="206" t="s">
        <v>31</v>
      </c>
      <c r="L38" s="206" t="str">
        <f>VLOOKUP(Primary_Order[[#This Row],[Product ID]],SKU[],3,0)</f>
        <v>3000 4T PLUS 10W30</v>
      </c>
      <c r="M38" s="231">
        <v>600</v>
      </c>
      <c r="N38" s="231">
        <v>525</v>
      </c>
      <c r="O38" s="231">
        <v>600</v>
      </c>
      <c r="P38" s="232">
        <v>0</v>
      </c>
      <c r="Q38" s="231">
        <v>0</v>
      </c>
      <c r="R38" s="231">
        <v>525</v>
      </c>
      <c r="S38" s="231">
        <v>600</v>
      </c>
      <c r="T38" s="231">
        <v>600</v>
      </c>
      <c r="U38" s="231">
        <v>315000</v>
      </c>
      <c r="V38" s="231">
        <v>0</v>
      </c>
      <c r="W38" s="231">
        <v>315000</v>
      </c>
      <c r="X38" s="231">
        <v>41086.956521739128</v>
      </c>
      <c r="Y38" s="231">
        <v>273913.04347826086</v>
      </c>
      <c r="Z38" s="206" t="s">
        <v>50</v>
      </c>
      <c r="AA38" s="206">
        <v>584</v>
      </c>
      <c r="AB38" s="206" t="s">
        <v>641</v>
      </c>
      <c r="AC38" s="230">
        <v>45665</v>
      </c>
      <c r="AD38" s="206" t="s">
        <v>50</v>
      </c>
      <c r="AE38" s="206" t="str">
        <f>IFERROR(VLOOKUP(Primary_Order[[#This Row],[AM]],SP!$E$19:$F$23,2,0),Primary_Order[[#This Row],[AM]])</f>
        <v>Central</v>
      </c>
      <c r="AF38" s="206" t="str">
        <f>VLOOKUP(Primary_Order[[#This Row],[Product ID]],SKU[],10,0)</f>
        <v>Mineral</v>
      </c>
      <c r="AG38" s="206" t="str">
        <f>VLOOKUP(Primary_Order[[#This Row],[Product ID]],SKU[],9,0)</f>
        <v>MCO</v>
      </c>
      <c r="AH38" s="206" t="str">
        <f>VLOOKUP(Primary_Order[[#This Row],[Product ID]],SKU[],12,0)</f>
        <v>10W30</v>
      </c>
      <c r="AI38" s="206" t="str">
        <f>VLOOKUP(Primary_Order[[#This Row],[Product ID]],SKU[],13,0)</f>
        <v>3000</v>
      </c>
      <c r="AJ38" s="233">
        <f>VLOOKUP(Primary_Order[[#This Row],[Product ID]],SKU[[SKU ID]:[Bottle Size(Ltr)]],6,0)*Primary_Order[[#This Row],[Free Quantity]]</f>
        <v>0</v>
      </c>
      <c r="AK38" s="206" t="str">
        <f>VLOOKUP(Primary_Order[[#This Row],[Product ID]],SKU[[SKU ID]:[Bottle Size(Ltr)]],4,0)</f>
        <v>20x1L</v>
      </c>
      <c r="AL38" s="231">
        <f>VLOOKUP(Primary_Order[[#This Row],[Product ID]],SKU[],14,0)*Primary_Order[[#This Row],[Total Qty]]</f>
        <v>227598</v>
      </c>
      <c r="AM38" s="231">
        <f>IF(Primary_Order[[#This Row],[Cost]]=0,0,Primary_Order[[#This Row],[Net Total(-15%)]]-Primary_Order[[#This Row],[Cost]])</f>
        <v>46315.043478260865</v>
      </c>
      <c r="AN38" s="206" t="str">
        <f>"O-"&amp;Primary_Order[[#This Row],[Date]]&amp;"-"&amp;Primary_Order[[#This Row],[MMD ID]]</f>
        <v>O-45664-D-0004</v>
      </c>
      <c r="AO38" s="206" t="str" cm="1">
        <f t="array" ref="AO3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" spans="1:41" x14ac:dyDescent="0.5">
      <c r="A39" s="206" t="s">
        <v>938</v>
      </c>
      <c r="B39" s="230">
        <v>45664</v>
      </c>
      <c r="C39" s="206" t="s">
        <v>122</v>
      </c>
      <c r="D39" s="206" t="s">
        <v>431</v>
      </c>
      <c r="E39" s="206" t="s">
        <v>880</v>
      </c>
      <c r="F39" s="206" t="s">
        <v>432</v>
      </c>
      <c r="G39" s="206" t="s">
        <v>39</v>
      </c>
      <c r="H39" s="206" t="s">
        <v>40</v>
      </c>
      <c r="I39" s="206" t="s">
        <v>431</v>
      </c>
      <c r="J39" s="206" t="s">
        <v>276</v>
      </c>
      <c r="K39" s="206" t="s">
        <v>53</v>
      </c>
      <c r="L39" s="206" t="str">
        <f>VLOOKUP(Primary_Order[[#This Row],[Product ID]],SKU[],3,0)</f>
        <v>3000 4T PLUS 20W40</v>
      </c>
      <c r="M39" s="231">
        <v>200</v>
      </c>
      <c r="N39" s="231">
        <v>525</v>
      </c>
      <c r="O39" s="231">
        <v>200</v>
      </c>
      <c r="P39" s="232">
        <v>0</v>
      </c>
      <c r="Q39" s="231">
        <v>0</v>
      </c>
      <c r="R39" s="231">
        <v>525</v>
      </c>
      <c r="S39" s="231">
        <v>200</v>
      </c>
      <c r="T39" s="231">
        <v>200</v>
      </c>
      <c r="U39" s="231">
        <v>105000</v>
      </c>
      <c r="V39" s="231">
        <v>0</v>
      </c>
      <c r="W39" s="231">
        <v>105000</v>
      </c>
      <c r="X39" s="231">
        <v>13695.652173913044</v>
      </c>
      <c r="Y39" s="231">
        <v>91304.34782608696</v>
      </c>
      <c r="Z39" s="206" t="s">
        <v>50</v>
      </c>
      <c r="AA39" s="206">
        <v>584</v>
      </c>
      <c r="AB39" s="206" t="s">
        <v>641</v>
      </c>
      <c r="AC39" s="230">
        <v>45665</v>
      </c>
      <c r="AD39" s="206" t="s">
        <v>50</v>
      </c>
      <c r="AE39" s="206" t="str">
        <f>IFERROR(VLOOKUP(Primary_Order[[#This Row],[AM]],SP!$E$19:$F$23,2,0),Primary_Order[[#This Row],[AM]])</f>
        <v>Central</v>
      </c>
      <c r="AF39" s="206" t="str">
        <f>VLOOKUP(Primary_Order[[#This Row],[Product ID]],SKU[],10,0)</f>
        <v>Mineral</v>
      </c>
      <c r="AG39" s="206" t="str">
        <f>VLOOKUP(Primary_Order[[#This Row],[Product ID]],SKU[],9,0)</f>
        <v>MCO</v>
      </c>
      <c r="AH39" s="206" t="str">
        <f>VLOOKUP(Primary_Order[[#This Row],[Product ID]],SKU[],12,0)</f>
        <v>20W40</v>
      </c>
      <c r="AI39" s="206" t="str">
        <f>VLOOKUP(Primary_Order[[#This Row],[Product ID]],SKU[],13,0)</f>
        <v>3000</v>
      </c>
      <c r="AJ39" s="233">
        <f>VLOOKUP(Primary_Order[[#This Row],[Product ID]],SKU[[SKU ID]:[Bottle Size(Ltr)]],6,0)*Primary_Order[[#This Row],[Free Quantity]]</f>
        <v>0</v>
      </c>
      <c r="AK39" s="206" t="str">
        <f>VLOOKUP(Primary_Order[[#This Row],[Product ID]],SKU[[SKU ID]:[Bottle Size(Ltr)]],4,0)</f>
        <v>20x1L</v>
      </c>
      <c r="AL39" s="231">
        <f>VLOOKUP(Primary_Order[[#This Row],[Product ID]],SKU[],14,0)*Primary_Order[[#This Row],[Total Qty]]</f>
        <v>82552</v>
      </c>
      <c r="AM39" s="231">
        <f>IF(Primary_Order[[#This Row],[Cost]]=0,0,Primary_Order[[#This Row],[Net Total(-15%)]]-Primary_Order[[#This Row],[Cost]])</f>
        <v>8752.3478260869597</v>
      </c>
      <c r="AN39" s="206" t="str">
        <f>"O-"&amp;Primary_Order[[#This Row],[Date]]&amp;"-"&amp;Primary_Order[[#This Row],[MMD ID]]</f>
        <v>O-45664-D-0004</v>
      </c>
      <c r="AO39" s="206" t="str" cm="1">
        <f t="array" ref="AO3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" spans="1:41" x14ac:dyDescent="0.5">
      <c r="A40" s="206" t="s">
        <v>938</v>
      </c>
      <c r="B40" s="230">
        <v>45664</v>
      </c>
      <c r="C40" s="206" t="s">
        <v>122</v>
      </c>
      <c r="D40" s="206" t="s">
        <v>431</v>
      </c>
      <c r="E40" s="206" t="s">
        <v>880</v>
      </c>
      <c r="F40" s="206" t="s">
        <v>432</v>
      </c>
      <c r="G40" s="206" t="s">
        <v>39</v>
      </c>
      <c r="H40" s="206" t="s">
        <v>40</v>
      </c>
      <c r="I40" s="206" t="s">
        <v>431</v>
      </c>
      <c r="J40" s="206" t="s">
        <v>276</v>
      </c>
      <c r="K40" s="206" t="s">
        <v>54</v>
      </c>
      <c r="L40" s="206" t="str">
        <f>VLOOKUP(Primary_Order[[#This Row],[Product ID]],SKU[],3,0)</f>
        <v>3000 4T PLUS 10W40</v>
      </c>
      <c r="M40" s="231">
        <v>1600</v>
      </c>
      <c r="N40" s="231">
        <v>525</v>
      </c>
      <c r="O40" s="231">
        <v>1600</v>
      </c>
      <c r="P40" s="232">
        <v>0</v>
      </c>
      <c r="Q40" s="231">
        <v>0</v>
      </c>
      <c r="R40" s="231">
        <v>525</v>
      </c>
      <c r="S40" s="231">
        <v>1600</v>
      </c>
      <c r="T40" s="231">
        <v>1600</v>
      </c>
      <c r="U40" s="231">
        <v>840000</v>
      </c>
      <c r="V40" s="231">
        <v>0</v>
      </c>
      <c r="W40" s="231">
        <v>840000</v>
      </c>
      <c r="X40" s="231">
        <v>109565.21739130435</v>
      </c>
      <c r="Y40" s="231">
        <v>730434.78260869568</v>
      </c>
      <c r="Z40" s="206" t="s">
        <v>50</v>
      </c>
      <c r="AA40" s="206">
        <v>584</v>
      </c>
      <c r="AB40" s="206" t="s">
        <v>641</v>
      </c>
      <c r="AC40" s="230">
        <v>45665</v>
      </c>
      <c r="AD40" s="206" t="s">
        <v>50</v>
      </c>
      <c r="AE40" s="206" t="str">
        <f>IFERROR(VLOOKUP(Primary_Order[[#This Row],[AM]],SP!$E$19:$F$23,2,0),Primary_Order[[#This Row],[AM]])</f>
        <v>Central</v>
      </c>
      <c r="AF40" s="206" t="str">
        <f>VLOOKUP(Primary_Order[[#This Row],[Product ID]],SKU[],10,0)</f>
        <v>Mineral</v>
      </c>
      <c r="AG40" s="206" t="str">
        <f>VLOOKUP(Primary_Order[[#This Row],[Product ID]],SKU[],9,0)</f>
        <v>MCO</v>
      </c>
      <c r="AH40" s="206" t="str">
        <f>VLOOKUP(Primary_Order[[#This Row],[Product ID]],SKU[],12,0)</f>
        <v>10W40</v>
      </c>
      <c r="AI40" s="206" t="str">
        <f>VLOOKUP(Primary_Order[[#This Row],[Product ID]],SKU[],13,0)</f>
        <v>3000</v>
      </c>
      <c r="AJ40" s="233">
        <f>VLOOKUP(Primary_Order[[#This Row],[Product ID]],SKU[[SKU ID]:[Bottle Size(Ltr)]],6,0)*Primary_Order[[#This Row],[Free Quantity]]</f>
        <v>0</v>
      </c>
      <c r="AK40" s="206" t="str">
        <f>VLOOKUP(Primary_Order[[#This Row],[Product ID]],SKU[[SKU ID]:[Bottle Size(Ltr)]],4,0)</f>
        <v>20x1L</v>
      </c>
      <c r="AL40" s="231">
        <f>VLOOKUP(Primary_Order[[#This Row],[Product ID]],SKU[],14,0)*Primary_Order[[#This Row],[Total Qty]]</f>
        <v>615760</v>
      </c>
      <c r="AM40" s="231">
        <f>IF(Primary_Order[[#This Row],[Cost]]=0,0,Primary_Order[[#This Row],[Net Total(-15%)]]-Primary_Order[[#This Row],[Cost]])</f>
        <v>114674.78260869568</v>
      </c>
      <c r="AN40" s="206" t="str">
        <f>"O-"&amp;Primary_Order[[#This Row],[Date]]&amp;"-"&amp;Primary_Order[[#This Row],[MMD ID]]</f>
        <v>O-45664-D-0004</v>
      </c>
      <c r="AO40" s="206" t="str" cm="1">
        <f t="array" ref="AO4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" spans="1:41" x14ac:dyDescent="0.5">
      <c r="A41" s="206" t="s">
        <v>938</v>
      </c>
      <c r="B41" s="230">
        <v>45664</v>
      </c>
      <c r="C41" s="206" t="s">
        <v>122</v>
      </c>
      <c r="D41" s="206" t="s">
        <v>431</v>
      </c>
      <c r="E41" s="206" t="s">
        <v>880</v>
      </c>
      <c r="F41" s="206" t="s">
        <v>432</v>
      </c>
      <c r="G41" s="206" t="s">
        <v>39</v>
      </c>
      <c r="H41" s="206" t="s">
        <v>40</v>
      </c>
      <c r="I41" s="206" t="s">
        <v>431</v>
      </c>
      <c r="J41" s="206" t="s">
        <v>276</v>
      </c>
      <c r="K41" s="206" t="s">
        <v>32</v>
      </c>
      <c r="L41" s="206" t="str">
        <f>VLOOKUP(Primary_Order[[#This Row],[Product ID]],SKU[],3,0)</f>
        <v>3000 4T PLUS 10W30</v>
      </c>
      <c r="M41" s="231">
        <v>700</v>
      </c>
      <c r="N41" s="231">
        <v>640</v>
      </c>
      <c r="O41" s="231">
        <v>840</v>
      </c>
      <c r="P41" s="232">
        <v>0</v>
      </c>
      <c r="Q41" s="231">
        <v>0</v>
      </c>
      <c r="R41" s="231">
        <v>640</v>
      </c>
      <c r="S41" s="231">
        <v>700</v>
      </c>
      <c r="T41" s="231">
        <v>840</v>
      </c>
      <c r="U41" s="231">
        <v>448000</v>
      </c>
      <c r="V41" s="231">
        <v>0</v>
      </c>
      <c r="W41" s="231">
        <v>448000</v>
      </c>
      <c r="X41" s="231">
        <v>58434.782608695656</v>
      </c>
      <c r="Y41" s="231">
        <v>389565.21739130432</v>
      </c>
      <c r="Z41" s="206" t="s">
        <v>50</v>
      </c>
      <c r="AA41" s="206">
        <v>584</v>
      </c>
      <c r="AB41" s="206" t="s">
        <v>641</v>
      </c>
      <c r="AC41" s="230">
        <v>45665</v>
      </c>
      <c r="AD41" s="206" t="s">
        <v>50</v>
      </c>
      <c r="AE41" s="206" t="str">
        <f>IFERROR(VLOOKUP(Primary_Order[[#This Row],[AM]],SP!$E$19:$F$23,2,0),Primary_Order[[#This Row],[AM]])</f>
        <v>Central</v>
      </c>
      <c r="AF41" s="206" t="str">
        <f>VLOOKUP(Primary_Order[[#This Row],[Product ID]],SKU[],10,0)</f>
        <v>Mineral</v>
      </c>
      <c r="AG41" s="206" t="str">
        <f>VLOOKUP(Primary_Order[[#This Row],[Product ID]],SKU[],9,0)</f>
        <v>MCO</v>
      </c>
      <c r="AH41" s="206" t="str">
        <f>VLOOKUP(Primary_Order[[#This Row],[Product ID]],SKU[],12,0)</f>
        <v>10W30</v>
      </c>
      <c r="AI41" s="206" t="str">
        <f>VLOOKUP(Primary_Order[[#This Row],[Product ID]],SKU[],13,0)</f>
        <v>3000</v>
      </c>
      <c r="AJ41" s="233">
        <f>VLOOKUP(Primary_Order[[#This Row],[Product ID]],SKU[[SKU ID]:[Bottle Size(Ltr)]],6,0)*Primary_Order[[#This Row],[Free Quantity]]</f>
        <v>0</v>
      </c>
      <c r="AK41" s="206" t="str">
        <f>VLOOKUP(Primary_Order[[#This Row],[Product ID]],SKU[[SKU ID]:[Bottle Size(Ltr)]],4,0)</f>
        <v>20x1.2L</v>
      </c>
      <c r="AL41" s="231">
        <f>VLOOKUP(Primary_Order[[#This Row],[Product ID]],SKU[],14,0)*Primary_Order[[#This Row],[Total Qty]]</f>
        <v>307230</v>
      </c>
      <c r="AM41" s="231">
        <f>IF(Primary_Order[[#This Row],[Cost]]=0,0,Primary_Order[[#This Row],[Net Total(-15%)]]-Primary_Order[[#This Row],[Cost]])</f>
        <v>82335.217391304323</v>
      </c>
      <c r="AN41" s="206" t="str">
        <f>"O-"&amp;Primary_Order[[#This Row],[Date]]&amp;"-"&amp;Primary_Order[[#This Row],[MMD ID]]</f>
        <v>O-45664-D-0004</v>
      </c>
      <c r="AO41" s="206" t="str" cm="1">
        <f t="array" ref="AO4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2" spans="1:41" x14ac:dyDescent="0.5">
      <c r="A42" s="206" t="s">
        <v>938</v>
      </c>
      <c r="B42" s="230">
        <v>45664</v>
      </c>
      <c r="C42" s="206" t="s">
        <v>122</v>
      </c>
      <c r="D42" s="206" t="s">
        <v>431</v>
      </c>
      <c r="E42" s="206" t="s">
        <v>880</v>
      </c>
      <c r="F42" s="206" t="s">
        <v>432</v>
      </c>
      <c r="G42" s="206" t="s">
        <v>39</v>
      </c>
      <c r="H42" s="206" t="s">
        <v>40</v>
      </c>
      <c r="I42" s="206" t="s">
        <v>431</v>
      </c>
      <c r="J42" s="206" t="s">
        <v>276</v>
      </c>
      <c r="K42" s="206" t="s">
        <v>33</v>
      </c>
      <c r="L42" s="206" t="str">
        <f>VLOOKUP(Primary_Order[[#This Row],[Product ID]],SKU[],3,0)</f>
        <v>3000 4T PLUS 20W40</v>
      </c>
      <c r="M42" s="231">
        <v>400</v>
      </c>
      <c r="N42" s="231">
        <v>640</v>
      </c>
      <c r="O42" s="231">
        <v>480</v>
      </c>
      <c r="P42" s="232">
        <v>0</v>
      </c>
      <c r="Q42" s="231">
        <v>0</v>
      </c>
      <c r="R42" s="231">
        <v>640</v>
      </c>
      <c r="S42" s="231">
        <v>400</v>
      </c>
      <c r="T42" s="231">
        <v>480</v>
      </c>
      <c r="U42" s="231">
        <v>256000</v>
      </c>
      <c r="V42" s="231">
        <v>0</v>
      </c>
      <c r="W42" s="231">
        <v>256000</v>
      </c>
      <c r="X42" s="231">
        <v>33391.304347826088</v>
      </c>
      <c r="Y42" s="231">
        <v>222608.69565217392</v>
      </c>
      <c r="Z42" s="206" t="s">
        <v>50</v>
      </c>
      <c r="AA42" s="206">
        <v>584</v>
      </c>
      <c r="AB42" s="206" t="s">
        <v>641</v>
      </c>
      <c r="AC42" s="230">
        <v>45665</v>
      </c>
      <c r="AD42" s="206" t="s">
        <v>50</v>
      </c>
      <c r="AE42" s="206" t="str">
        <f>IFERROR(VLOOKUP(Primary_Order[[#This Row],[AM]],SP!$E$19:$F$23,2,0),Primary_Order[[#This Row],[AM]])</f>
        <v>Central</v>
      </c>
      <c r="AF42" s="206" t="str">
        <f>VLOOKUP(Primary_Order[[#This Row],[Product ID]],SKU[],10,0)</f>
        <v>Mineral</v>
      </c>
      <c r="AG42" s="206" t="str">
        <f>VLOOKUP(Primary_Order[[#This Row],[Product ID]],SKU[],9,0)</f>
        <v>MCO</v>
      </c>
      <c r="AH42" s="206" t="str">
        <f>VLOOKUP(Primary_Order[[#This Row],[Product ID]],SKU[],12,0)</f>
        <v>20W40</v>
      </c>
      <c r="AI42" s="206" t="str">
        <f>VLOOKUP(Primary_Order[[#This Row],[Product ID]],SKU[],13,0)</f>
        <v>3000</v>
      </c>
      <c r="AJ42" s="233">
        <f>VLOOKUP(Primary_Order[[#This Row],[Product ID]],SKU[[SKU ID]:[Bottle Size(Ltr)]],6,0)*Primary_Order[[#This Row],[Free Quantity]]</f>
        <v>0</v>
      </c>
      <c r="AK42" s="206" t="str">
        <f>VLOOKUP(Primary_Order[[#This Row],[Product ID]],SKU[[SKU ID]:[Bottle Size(Ltr)]],4,0)</f>
        <v>20x1.2L</v>
      </c>
      <c r="AL42" s="231">
        <f>VLOOKUP(Primary_Order[[#This Row],[Product ID]],SKU[],14,0)*Primary_Order[[#This Row],[Total Qty]]</f>
        <v>187959.1181402439</v>
      </c>
      <c r="AM42" s="231">
        <f>IF(Primary_Order[[#This Row],[Cost]]=0,0,Primary_Order[[#This Row],[Net Total(-15%)]]-Primary_Order[[#This Row],[Cost]])</f>
        <v>34649.577511930023</v>
      </c>
      <c r="AN42" s="206" t="str">
        <f>"O-"&amp;Primary_Order[[#This Row],[Date]]&amp;"-"&amp;Primary_Order[[#This Row],[MMD ID]]</f>
        <v>O-45664-D-0004</v>
      </c>
      <c r="AO42" s="206" t="str" cm="1">
        <f t="array" ref="AO4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" spans="1:41" x14ac:dyDescent="0.5">
      <c r="A43" s="206" t="s">
        <v>938</v>
      </c>
      <c r="B43" s="230">
        <v>45664</v>
      </c>
      <c r="C43" s="206" t="s">
        <v>122</v>
      </c>
      <c r="D43" s="206" t="s">
        <v>431</v>
      </c>
      <c r="E43" s="206" t="s">
        <v>880</v>
      </c>
      <c r="F43" s="206" t="s">
        <v>432</v>
      </c>
      <c r="G43" s="206" t="s">
        <v>39</v>
      </c>
      <c r="H43" s="206" t="s">
        <v>40</v>
      </c>
      <c r="I43" s="206" t="s">
        <v>431</v>
      </c>
      <c r="J43" s="206" t="s">
        <v>276</v>
      </c>
      <c r="K43" s="206" t="s">
        <v>56</v>
      </c>
      <c r="L43" s="206" t="str">
        <f>VLOOKUP(Primary_Order[[#This Row],[Product ID]],SKU[],3,0)</f>
        <v>7100 4T 10W30 ESTER CORE®</v>
      </c>
      <c r="M43" s="231">
        <v>24</v>
      </c>
      <c r="N43" s="231">
        <v>1050</v>
      </c>
      <c r="O43" s="231">
        <v>24</v>
      </c>
      <c r="P43" s="232">
        <v>0</v>
      </c>
      <c r="Q43" s="231">
        <v>0</v>
      </c>
      <c r="R43" s="231">
        <v>1050</v>
      </c>
      <c r="S43" s="231">
        <v>24</v>
      </c>
      <c r="T43" s="231">
        <v>24</v>
      </c>
      <c r="U43" s="231">
        <v>25200</v>
      </c>
      <c r="V43" s="231">
        <v>0</v>
      </c>
      <c r="W43" s="231">
        <v>25200</v>
      </c>
      <c r="X43" s="231">
        <v>3286.9565217391305</v>
      </c>
      <c r="Y43" s="231">
        <v>21913.043478260868</v>
      </c>
      <c r="Z43" s="206" t="s">
        <v>50</v>
      </c>
      <c r="AA43" s="206">
        <v>584</v>
      </c>
      <c r="AB43" s="206" t="s">
        <v>641</v>
      </c>
      <c r="AC43" s="230">
        <v>45665</v>
      </c>
      <c r="AD43" s="206" t="s">
        <v>50</v>
      </c>
      <c r="AE43" s="206" t="str">
        <f>IFERROR(VLOOKUP(Primary_Order[[#This Row],[AM]],SP!$E$19:$F$23,2,0),Primary_Order[[#This Row],[AM]])</f>
        <v>Central</v>
      </c>
      <c r="AF43" s="206" t="str">
        <f>VLOOKUP(Primary_Order[[#This Row],[Product ID]],SKU[],10,0)</f>
        <v>Synthetic</v>
      </c>
      <c r="AG43" s="206" t="str">
        <f>VLOOKUP(Primary_Order[[#This Row],[Product ID]],SKU[],9,0)</f>
        <v>MCO</v>
      </c>
      <c r="AH43" s="206" t="str">
        <f>VLOOKUP(Primary_Order[[#This Row],[Product ID]],SKU[],12,0)</f>
        <v>10W30</v>
      </c>
      <c r="AI43" s="206" t="str">
        <f>VLOOKUP(Primary_Order[[#This Row],[Product ID]],SKU[],13,0)</f>
        <v>7100</v>
      </c>
      <c r="AJ43" s="233">
        <f>VLOOKUP(Primary_Order[[#This Row],[Product ID]],SKU[[SKU ID]:[Bottle Size(Ltr)]],6,0)*Primary_Order[[#This Row],[Free Quantity]]</f>
        <v>0</v>
      </c>
      <c r="AK43" s="206" t="str">
        <f>VLOOKUP(Primary_Order[[#This Row],[Product ID]],SKU[[SKU ID]:[Bottle Size(Ltr)]],4,0)</f>
        <v>12x1L</v>
      </c>
      <c r="AL43" s="231">
        <f>VLOOKUP(Primary_Order[[#This Row],[Product ID]],SKU[],14,0)*Primary_Order[[#This Row],[Total Qty]]</f>
        <v>16556.64</v>
      </c>
      <c r="AM43" s="231">
        <f>IF(Primary_Order[[#This Row],[Cost]]=0,0,Primary_Order[[#This Row],[Net Total(-15%)]]-Primary_Order[[#This Row],[Cost]])</f>
        <v>5356.4034782608687</v>
      </c>
      <c r="AN43" s="206" t="str">
        <f>"O-"&amp;Primary_Order[[#This Row],[Date]]&amp;"-"&amp;Primary_Order[[#This Row],[MMD ID]]</f>
        <v>O-45664-D-0004</v>
      </c>
      <c r="AO43" s="206" t="str" cm="1">
        <f t="array" ref="AO4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" spans="1:41" x14ac:dyDescent="0.5">
      <c r="A44" s="206" t="s">
        <v>938</v>
      </c>
      <c r="B44" s="230">
        <v>45664</v>
      </c>
      <c r="C44" s="206" t="s">
        <v>122</v>
      </c>
      <c r="D44" s="206" t="s">
        <v>431</v>
      </c>
      <c r="E44" s="206" t="s">
        <v>880</v>
      </c>
      <c r="F44" s="206" t="s">
        <v>432</v>
      </c>
      <c r="G44" s="206" t="s">
        <v>39</v>
      </c>
      <c r="H44" s="206" t="s">
        <v>40</v>
      </c>
      <c r="I44" s="206" t="s">
        <v>431</v>
      </c>
      <c r="J44" s="206" t="s">
        <v>276</v>
      </c>
      <c r="K44" s="206" t="s">
        <v>57</v>
      </c>
      <c r="L44" s="206" t="str">
        <f>VLOOKUP(Primary_Order[[#This Row],[Product ID]],SKU[],3,0)</f>
        <v>7100 4T 10W40 ESTER CORE®</v>
      </c>
      <c r="M44" s="231">
        <v>780</v>
      </c>
      <c r="N44" s="231">
        <v>1050</v>
      </c>
      <c r="O44" s="231">
        <v>780</v>
      </c>
      <c r="P44" s="232">
        <v>0</v>
      </c>
      <c r="Q44" s="231">
        <v>0</v>
      </c>
      <c r="R44" s="231">
        <v>1050</v>
      </c>
      <c r="S44" s="231">
        <v>780</v>
      </c>
      <c r="T44" s="231">
        <v>780</v>
      </c>
      <c r="U44" s="231">
        <v>819000</v>
      </c>
      <c r="V44" s="231">
        <v>0</v>
      </c>
      <c r="W44" s="231">
        <v>819000</v>
      </c>
      <c r="X44" s="231">
        <v>106826.08695652174</v>
      </c>
      <c r="Y44" s="231">
        <v>712173.91304347827</v>
      </c>
      <c r="Z44" s="206" t="s">
        <v>50</v>
      </c>
      <c r="AA44" s="206">
        <v>584</v>
      </c>
      <c r="AB44" s="206" t="s">
        <v>641</v>
      </c>
      <c r="AC44" s="230">
        <v>45665</v>
      </c>
      <c r="AD44" s="206" t="s">
        <v>50</v>
      </c>
      <c r="AE44" s="206" t="str">
        <f>IFERROR(VLOOKUP(Primary_Order[[#This Row],[AM]],SP!$E$19:$F$23,2,0),Primary_Order[[#This Row],[AM]])</f>
        <v>Central</v>
      </c>
      <c r="AF44" s="206" t="str">
        <f>VLOOKUP(Primary_Order[[#This Row],[Product ID]],SKU[],10,0)</f>
        <v>Synthetic</v>
      </c>
      <c r="AG44" s="206" t="str">
        <f>VLOOKUP(Primary_Order[[#This Row],[Product ID]],SKU[],9,0)</f>
        <v>MCO</v>
      </c>
      <c r="AH44" s="206" t="str">
        <f>VLOOKUP(Primary_Order[[#This Row],[Product ID]],SKU[],12,0)</f>
        <v>10W40</v>
      </c>
      <c r="AI44" s="206" t="str">
        <f>VLOOKUP(Primary_Order[[#This Row],[Product ID]],SKU[],13,0)</f>
        <v>7100</v>
      </c>
      <c r="AJ44" s="233">
        <f>VLOOKUP(Primary_Order[[#This Row],[Product ID]],SKU[[SKU ID]:[Bottle Size(Ltr)]],6,0)*Primary_Order[[#This Row],[Free Quantity]]</f>
        <v>0</v>
      </c>
      <c r="AK44" s="206" t="str">
        <f>VLOOKUP(Primary_Order[[#This Row],[Product ID]],SKU[[SKU ID]:[Bottle Size(Ltr)]],4,0)</f>
        <v>12x1L</v>
      </c>
      <c r="AL44" s="231">
        <f>VLOOKUP(Primary_Order[[#This Row],[Product ID]],SKU[],14,0)*Primary_Order[[#This Row],[Total Qty]]</f>
        <v>541312.19999999995</v>
      </c>
      <c r="AM44" s="231">
        <f>IF(Primary_Order[[#This Row],[Cost]]=0,0,Primary_Order[[#This Row],[Net Total(-15%)]]-Primary_Order[[#This Row],[Cost]])</f>
        <v>170861.71304347832</v>
      </c>
      <c r="AN44" s="206" t="str">
        <f>"O-"&amp;Primary_Order[[#This Row],[Date]]&amp;"-"&amp;Primary_Order[[#This Row],[MMD ID]]</f>
        <v>O-45664-D-0004</v>
      </c>
      <c r="AO44" s="206" t="str" cm="1">
        <f t="array" ref="AO4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" spans="1:41" x14ac:dyDescent="0.5">
      <c r="A45" s="206" t="s">
        <v>938</v>
      </c>
      <c r="B45" s="230">
        <v>45664</v>
      </c>
      <c r="C45" s="206" t="s">
        <v>122</v>
      </c>
      <c r="D45" s="206" t="s">
        <v>431</v>
      </c>
      <c r="E45" s="206" t="s">
        <v>880</v>
      </c>
      <c r="F45" s="206" t="s">
        <v>432</v>
      </c>
      <c r="G45" s="206" t="s">
        <v>39</v>
      </c>
      <c r="H45" s="206" t="s">
        <v>40</v>
      </c>
      <c r="I45" s="206" t="s">
        <v>431</v>
      </c>
      <c r="J45" s="206" t="s">
        <v>276</v>
      </c>
      <c r="K45" s="206" t="s">
        <v>43</v>
      </c>
      <c r="L45" s="206" t="str">
        <f>VLOOKUP(Primary_Order[[#This Row],[Product ID]],SKU[],3,0)</f>
        <v>7100 4T 10W30 ESTER CORE®</v>
      </c>
      <c r="M45" s="231">
        <v>40</v>
      </c>
      <c r="N45" s="231">
        <v>1260</v>
      </c>
      <c r="O45" s="231">
        <v>48</v>
      </c>
      <c r="P45" s="232">
        <v>0</v>
      </c>
      <c r="Q45" s="231">
        <v>0</v>
      </c>
      <c r="R45" s="231">
        <v>1260</v>
      </c>
      <c r="S45" s="231">
        <v>40</v>
      </c>
      <c r="T45" s="231">
        <v>48</v>
      </c>
      <c r="U45" s="231">
        <v>50400</v>
      </c>
      <c r="V45" s="231">
        <v>0</v>
      </c>
      <c r="W45" s="231">
        <v>50400</v>
      </c>
      <c r="X45" s="231">
        <v>6573.913043478261</v>
      </c>
      <c r="Y45" s="231">
        <v>43826.086956521736</v>
      </c>
      <c r="Z45" s="206" t="s">
        <v>50</v>
      </c>
      <c r="AA45" s="206">
        <v>584</v>
      </c>
      <c r="AB45" s="206" t="s">
        <v>641</v>
      </c>
      <c r="AC45" s="230">
        <v>45665</v>
      </c>
      <c r="AD45" s="206" t="s">
        <v>50</v>
      </c>
      <c r="AE45" s="206" t="str">
        <f>IFERROR(VLOOKUP(Primary_Order[[#This Row],[AM]],SP!$E$19:$F$23,2,0),Primary_Order[[#This Row],[AM]])</f>
        <v>Central</v>
      </c>
      <c r="AF45" s="206" t="str">
        <f>VLOOKUP(Primary_Order[[#This Row],[Product ID]],SKU[],10,0)</f>
        <v>Synthetic</v>
      </c>
      <c r="AG45" s="206" t="str">
        <f>VLOOKUP(Primary_Order[[#This Row],[Product ID]],SKU[],9,0)</f>
        <v>MCO</v>
      </c>
      <c r="AH45" s="206" t="str">
        <f>VLOOKUP(Primary_Order[[#This Row],[Product ID]],SKU[],12,0)</f>
        <v>10W30</v>
      </c>
      <c r="AI45" s="206" t="str">
        <f>VLOOKUP(Primary_Order[[#This Row],[Product ID]],SKU[],13,0)</f>
        <v>7100</v>
      </c>
      <c r="AJ45" s="233">
        <f>VLOOKUP(Primary_Order[[#This Row],[Product ID]],SKU[[SKU ID]:[Bottle Size(Ltr)]],6,0)*Primary_Order[[#This Row],[Free Quantity]]</f>
        <v>0</v>
      </c>
      <c r="AK45" s="206" t="str">
        <f>VLOOKUP(Primary_Order[[#This Row],[Product ID]],SKU[[SKU ID]:[Bottle Size(Ltr)]],4,0)</f>
        <v>20x1.2L</v>
      </c>
      <c r="AL45" s="231">
        <f>VLOOKUP(Primary_Order[[#This Row],[Product ID]],SKU[],14,0)*Primary_Order[[#This Row],[Total Qty]]</f>
        <v>31092</v>
      </c>
      <c r="AM45" s="231">
        <f>IF(Primary_Order[[#This Row],[Cost]]=0,0,Primary_Order[[#This Row],[Net Total(-15%)]]-Primary_Order[[#This Row],[Cost]])</f>
        <v>12734.086956521736</v>
      </c>
      <c r="AN45" s="206" t="str">
        <f>"O-"&amp;Primary_Order[[#This Row],[Date]]&amp;"-"&amp;Primary_Order[[#This Row],[MMD ID]]</f>
        <v>O-45664-D-0004</v>
      </c>
      <c r="AO45" s="206" t="str" cm="1">
        <f t="array" ref="AO4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" spans="1:41" x14ac:dyDescent="0.5">
      <c r="A46" s="206" t="s">
        <v>938</v>
      </c>
      <c r="B46" s="230">
        <v>45664</v>
      </c>
      <c r="C46" s="206" t="s">
        <v>122</v>
      </c>
      <c r="D46" s="206" t="s">
        <v>431</v>
      </c>
      <c r="E46" s="206" t="s">
        <v>880</v>
      </c>
      <c r="F46" s="206" t="s">
        <v>432</v>
      </c>
      <c r="G46" s="206" t="s">
        <v>39</v>
      </c>
      <c r="H46" s="206" t="s">
        <v>40</v>
      </c>
      <c r="I46" s="206" t="s">
        <v>431</v>
      </c>
      <c r="J46" s="206" t="s">
        <v>276</v>
      </c>
      <c r="K46" s="206" t="s">
        <v>81</v>
      </c>
      <c r="L46" s="206" t="str">
        <f>VLOOKUP(Primary_Order[[#This Row],[Product ID]],SKU[],3,0)</f>
        <v>3000 4T 20W50</v>
      </c>
      <c r="M46" s="231">
        <v>60</v>
      </c>
      <c r="N46" s="231">
        <v>480</v>
      </c>
      <c r="O46" s="231">
        <v>60</v>
      </c>
      <c r="P46" s="232">
        <v>0</v>
      </c>
      <c r="Q46" s="231">
        <v>0</v>
      </c>
      <c r="R46" s="231">
        <v>480</v>
      </c>
      <c r="S46" s="231">
        <v>60</v>
      </c>
      <c r="T46" s="231">
        <v>60</v>
      </c>
      <c r="U46" s="231">
        <v>28800</v>
      </c>
      <c r="V46" s="231">
        <v>0</v>
      </c>
      <c r="W46" s="231">
        <v>28800</v>
      </c>
      <c r="X46" s="231">
        <v>3756.521739130435</v>
      </c>
      <c r="Y46" s="231">
        <v>25043.478260869564</v>
      </c>
      <c r="Z46" s="206" t="s">
        <v>50</v>
      </c>
      <c r="AA46" s="206">
        <v>584</v>
      </c>
      <c r="AB46" s="206" t="s">
        <v>641</v>
      </c>
      <c r="AC46" s="230">
        <v>45665</v>
      </c>
      <c r="AD46" s="206" t="s">
        <v>50</v>
      </c>
      <c r="AE46" s="206" t="str">
        <f>IFERROR(VLOOKUP(Primary_Order[[#This Row],[AM]],SP!$E$19:$F$23,2,0),Primary_Order[[#This Row],[AM]])</f>
        <v>Central</v>
      </c>
      <c r="AF46" s="206" t="str">
        <f>VLOOKUP(Primary_Order[[#This Row],[Product ID]],SKU[],10,0)</f>
        <v>Mineral</v>
      </c>
      <c r="AG46" s="206" t="str">
        <f>VLOOKUP(Primary_Order[[#This Row],[Product ID]],SKU[],9,0)</f>
        <v>MCO</v>
      </c>
      <c r="AH46" s="206" t="str">
        <f>VLOOKUP(Primary_Order[[#This Row],[Product ID]],SKU[],12,0)</f>
        <v>20W50</v>
      </c>
      <c r="AI46" s="206" t="str">
        <f>VLOOKUP(Primary_Order[[#This Row],[Product ID]],SKU[],13,0)</f>
        <v>3000</v>
      </c>
      <c r="AJ46" s="233">
        <f>VLOOKUP(Primary_Order[[#This Row],[Product ID]],SKU[[SKU ID]:[Bottle Size(Ltr)]],6,0)*Primary_Order[[#This Row],[Free Quantity]]</f>
        <v>0</v>
      </c>
      <c r="AK46" s="206" t="str">
        <f>VLOOKUP(Primary_Order[[#This Row],[Product ID]],SKU[[SKU ID]:[Bottle Size(Ltr)]],4,0)</f>
        <v>20x1L</v>
      </c>
      <c r="AL46" s="231">
        <f>VLOOKUP(Primary_Order[[#This Row],[Product ID]],SKU[],14,0)*Primary_Order[[#This Row],[Total Qty]]</f>
        <v>21895.200000000001</v>
      </c>
      <c r="AM46" s="231">
        <f>IF(Primary_Order[[#This Row],[Cost]]=0,0,Primary_Order[[#This Row],[Net Total(-15%)]]-Primary_Order[[#This Row],[Cost]])</f>
        <v>3148.2782608695634</v>
      </c>
      <c r="AN46" s="206" t="str">
        <f>"O-"&amp;Primary_Order[[#This Row],[Date]]&amp;"-"&amp;Primary_Order[[#This Row],[MMD ID]]</f>
        <v>O-45664-D-0004</v>
      </c>
      <c r="AO46" s="206" t="str" cm="1">
        <f t="array" ref="AO4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" spans="1:41" x14ac:dyDescent="0.5">
      <c r="A47" s="206" t="s">
        <v>938</v>
      </c>
      <c r="B47" s="230">
        <v>45664</v>
      </c>
      <c r="C47" s="206" t="s">
        <v>122</v>
      </c>
      <c r="D47" s="206" t="s">
        <v>431</v>
      </c>
      <c r="E47" s="206" t="s">
        <v>880</v>
      </c>
      <c r="F47" s="206" t="s">
        <v>432</v>
      </c>
      <c r="G47" s="206" t="s">
        <v>39</v>
      </c>
      <c r="H47" s="206" t="s">
        <v>40</v>
      </c>
      <c r="I47" s="206" t="s">
        <v>431</v>
      </c>
      <c r="J47" s="206" t="s">
        <v>276</v>
      </c>
      <c r="K47" s="206" t="s">
        <v>99</v>
      </c>
      <c r="L47" s="206" t="str">
        <f>VLOOKUP(Primary_Order[[#This Row],[Product ID]],SKU[],3,0)</f>
        <v>3000 4T 20W50</v>
      </c>
      <c r="M47" s="231">
        <v>40</v>
      </c>
      <c r="N47" s="231">
        <v>570</v>
      </c>
      <c r="O47" s="231">
        <v>48</v>
      </c>
      <c r="P47" s="232">
        <v>0</v>
      </c>
      <c r="Q47" s="231">
        <v>0</v>
      </c>
      <c r="R47" s="231">
        <v>570</v>
      </c>
      <c r="S47" s="231">
        <v>40</v>
      </c>
      <c r="T47" s="231">
        <v>48</v>
      </c>
      <c r="U47" s="231">
        <v>22800</v>
      </c>
      <c r="V47" s="231">
        <v>0</v>
      </c>
      <c r="W47" s="231">
        <v>22800</v>
      </c>
      <c r="X47" s="231">
        <v>2973.913043478261</v>
      </c>
      <c r="Y47" s="231">
        <v>19826.08695652174</v>
      </c>
      <c r="Z47" s="206" t="s">
        <v>50</v>
      </c>
      <c r="AA47" s="206">
        <v>584</v>
      </c>
      <c r="AB47" s="206" t="s">
        <v>641</v>
      </c>
      <c r="AC47" s="230">
        <v>45665</v>
      </c>
      <c r="AD47" s="206" t="s">
        <v>50</v>
      </c>
      <c r="AE47" s="206" t="str">
        <f>IFERROR(VLOOKUP(Primary_Order[[#This Row],[AM]],SP!$E$19:$F$23,2,0),Primary_Order[[#This Row],[AM]])</f>
        <v>Central</v>
      </c>
      <c r="AF47" s="206" t="str">
        <f>VLOOKUP(Primary_Order[[#This Row],[Product ID]],SKU[],10,0)</f>
        <v>Mineral</v>
      </c>
      <c r="AG47" s="206" t="str">
        <f>VLOOKUP(Primary_Order[[#This Row],[Product ID]],SKU[],9,0)</f>
        <v>MCO</v>
      </c>
      <c r="AH47" s="206" t="str">
        <f>VLOOKUP(Primary_Order[[#This Row],[Product ID]],SKU[],12,0)</f>
        <v>20W50</v>
      </c>
      <c r="AI47" s="206" t="str">
        <f>VLOOKUP(Primary_Order[[#This Row],[Product ID]],SKU[],13,0)</f>
        <v>3000</v>
      </c>
      <c r="AJ47" s="233">
        <f>VLOOKUP(Primary_Order[[#This Row],[Product ID]],SKU[[SKU ID]:[Bottle Size(Ltr)]],6,0)*Primary_Order[[#This Row],[Free Quantity]]</f>
        <v>0</v>
      </c>
      <c r="AK47" s="206" t="str">
        <f>VLOOKUP(Primary_Order[[#This Row],[Product ID]],SKU[[SKU ID]:[Bottle Size(Ltr)]],4,0)</f>
        <v>20x1.2L</v>
      </c>
      <c r="AL47" s="231">
        <f>VLOOKUP(Primary_Order[[#This Row],[Product ID]],SKU[],14,0)*Primary_Order[[#This Row],[Total Qty]]</f>
        <v>17384.400000000001</v>
      </c>
      <c r="AM47" s="231">
        <f>IF(Primary_Order[[#This Row],[Cost]]=0,0,Primary_Order[[#This Row],[Net Total(-15%)]]-Primary_Order[[#This Row],[Cost]])</f>
        <v>2441.6869565217385</v>
      </c>
      <c r="AN47" s="206" t="str">
        <f>"O-"&amp;Primary_Order[[#This Row],[Date]]&amp;"-"&amp;Primary_Order[[#This Row],[MMD ID]]</f>
        <v>O-45664-D-0004</v>
      </c>
      <c r="AO47" s="206" t="str" cm="1">
        <f t="array" ref="AO4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" spans="1:41" x14ac:dyDescent="0.5">
      <c r="A48" s="206" t="s">
        <v>962</v>
      </c>
      <c r="B48" s="230">
        <v>45666</v>
      </c>
      <c r="C48" s="206" t="s">
        <v>123</v>
      </c>
      <c r="D48" s="206" t="s">
        <v>437</v>
      </c>
      <c r="E48" s="206" t="s">
        <v>940</v>
      </c>
      <c r="F48" s="206" t="s">
        <v>438</v>
      </c>
      <c r="G48" s="206" t="s">
        <v>79</v>
      </c>
      <c r="H48" s="206" t="s">
        <v>40</v>
      </c>
      <c r="I48" s="206" t="s">
        <v>124</v>
      </c>
      <c r="J48" s="206" t="s">
        <v>80</v>
      </c>
      <c r="K48" s="206" t="s">
        <v>57</v>
      </c>
      <c r="L48" s="206" t="str">
        <f>VLOOKUP(Primary_Order[[#This Row],[Product ID]],SKU[],3,0)</f>
        <v>7100 4T 10W40 ESTER CORE®</v>
      </c>
      <c r="M48" s="231">
        <v>2880</v>
      </c>
      <c r="N48" s="231">
        <v>1050</v>
      </c>
      <c r="O48" s="231">
        <v>2880</v>
      </c>
      <c r="P48" s="232">
        <v>0</v>
      </c>
      <c r="Q48" s="231">
        <v>0</v>
      </c>
      <c r="R48" s="231">
        <v>1050</v>
      </c>
      <c r="S48" s="231">
        <v>2880</v>
      </c>
      <c r="T48" s="231">
        <v>2880</v>
      </c>
      <c r="U48" s="231">
        <v>3024000</v>
      </c>
      <c r="V48" s="231">
        <v>0</v>
      </c>
      <c r="W48" s="231">
        <v>3024000</v>
      </c>
      <c r="X48" s="231">
        <v>394434.78260869568</v>
      </c>
      <c r="Y48" s="231">
        <v>2629565.2173913042</v>
      </c>
      <c r="Z48" s="206" t="s">
        <v>50</v>
      </c>
      <c r="AA48" s="206">
        <v>585</v>
      </c>
      <c r="AB48" s="206" t="s">
        <v>641</v>
      </c>
      <c r="AC48" s="230">
        <v>45666</v>
      </c>
      <c r="AD48" s="206" t="s">
        <v>50</v>
      </c>
      <c r="AE48" s="206" t="str">
        <f>IFERROR(VLOOKUP(Primary_Order[[#This Row],[AM]],SP!$E$19:$F$23,2,0),Primary_Order[[#This Row],[AM]])</f>
        <v>Central</v>
      </c>
      <c r="AF48" s="206" t="str">
        <f>VLOOKUP(Primary_Order[[#This Row],[Product ID]],SKU[],10,0)</f>
        <v>Synthetic</v>
      </c>
      <c r="AG48" s="206" t="str">
        <f>VLOOKUP(Primary_Order[[#This Row],[Product ID]],SKU[],9,0)</f>
        <v>MCO</v>
      </c>
      <c r="AH48" s="206" t="str">
        <f>VLOOKUP(Primary_Order[[#This Row],[Product ID]],SKU[],12,0)</f>
        <v>10W40</v>
      </c>
      <c r="AI48" s="206" t="str">
        <f>VLOOKUP(Primary_Order[[#This Row],[Product ID]],SKU[],13,0)</f>
        <v>7100</v>
      </c>
      <c r="AJ48" s="233">
        <f>VLOOKUP(Primary_Order[[#This Row],[Product ID]],SKU[[SKU ID]:[Bottle Size(Ltr)]],6,0)*Primary_Order[[#This Row],[Free Quantity]]</f>
        <v>0</v>
      </c>
      <c r="AK48" s="206" t="str">
        <f>VLOOKUP(Primary_Order[[#This Row],[Product ID]],SKU[[SKU ID]:[Bottle Size(Ltr)]],4,0)</f>
        <v>12x1L</v>
      </c>
      <c r="AL48" s="231">
        <f>VLOOKUP(Primary_Order[[#This Row],[Product ID]],SKU[],14,0)*Primary_Order[[#This Row],[Total Qty]]</f>
        <v>1998691.2</v>
      </c>
      <c r="AM48" s="231">
        <f>IF(Primary_Order[[#This Row],[Cost]]=0,0,Primary_Order[[#This Row],[Net Total(-15%)]]-Primary_Order[[#This Row],[Cost]])</f>
        <v>630874.01739130425</v>
      </c>
      <c r="AN48" s="206" t="str">
        <f>"O-"&amp;Primary_Order[[#This Row],[Date]]&amp;"-"&amp;Primary_Order[[#This Row],[MMD ID]]</f>
        <v>O-45666-D-0015</v>
      </c>
      <c r="AO48" s="206" t="str" cm="1">
        <f t="array" ref="AO4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" spans="1:41" x14ac:dyDescent="0.5">
      <c r="A49" s="206" t="s">
        <v>962</v>
      </c>
      <c r="B49" s="230">
        <v>45666</v>
      </c>
      <c r="C49" s="206" t="s">
        <v>123</v>
      </c>
      <c r="D49" s="206" t="s">
        <v>437</v>
      </c>
      <c r="E49" s="206" t="s">
        <v>940</v>
      </c>
      <c r="F49" s="206" t="s">
        <v>438</v>
      </c>
      <c r="G49" s="206" t="s">
        <v>79</v>
      </c>
      <c r="H49" s="206" t="s">
        <v>40</v>
      </c>
      <c r="I49" s="206" t="s">
        <v>124</v>
      </c>
      <c r="J49" s="206" t="s">
        <v>80</v>
      </c>
      <c r="K49" s="206" t="s">
        <v>58</v>
      </c>
      <c r="L49" s="206" t="str">
        <f>VLOOKUP(Primary_Order[[#This Row],[Product ID]],SKU[],3,0)</f>
        <v>7100 4T 20W50 ESTER CORE®</v>
      </c>
      <c r="M49" s="231">
        <v>240</v>
      </c>
      <c r="N49" s="231">
        <v>1050</v>
      </c>
      <c r="O49" s="231">
        <v>240</v>
      </c>
      <c r="P49" s="232">
        <v>0</v>
      </c>
      <c r="Q49" s="231">
        <v>0</v>
      </c>
      <c r="R49" s="231">
        <v>1050</v>
      </c>
      <c r="S49" s="231">
        <v>240</v>
      </c>
      <c r="T49" s="231">
        <v>240</v>
      </c>
      <c r="U49" s="231">
        <v>252000</v>
      </c>
      <c r="V49" s="231">
        <v>0</v>
      </c>
      <c r="W49" s="231">
        <v>252000</v>
      </c>
      <c r="X49" s="231">
        <v>32869.565217391304</v>
      </c>
      <c r="Y49" s="231">
        <v>219130.4347826087</v>
      </c>
      <c r="Z49" s="206" t="s">
        <v>50</v>
      </c>
      <c r="AA49" s="206">
        <v>585</v>
      </c>
      <c r="AB49" s="206" t="s">
        <v>641</v>
      </c>
      <c r="AC49" s="230">
        <v>45666</v>
      </c>
      <c r="AD49" s="206" t="s">
        <v>50</v>
      </c>
      <c r="AE49" s="206" t="str">
        <f>IFERROR(VLOOKUP(Primary_Order[[#This Row],[AM]],SP!$E$19:$F$23,2,0),Primary_Order[[#This Row],[AM]])</f>
        <v>Central</v>
      </c>
      <c r="AF49" s="206" t="str">
        <f>VLOOKUP(Primary_Order[[#This Row],[Product ID]],SKU[],10,0)</f>
        <v>Synthetic</v>
      </c>
      <c r="AG49" s="206" t="str">
        <f>VLOOKUP(Primary_Order[[#This Row],[Product ID]],SKU[],9,0)</f>
        <v>MCO</v>
      </c>
      <c r="AH49" s="206" t="str">
        <f>VLOOKUP(Primary_Order[[#This Row],[Product ID]],SKU[],12,0)</f>
        <v>20W50</v>
      </c>
      <c r="AI49" s="206" t="str">
        <f>VLOOKUP(Primary_Order[[#This Row],[Product ID]],SKU[],13,0)</f>
        <v>7100</v>
      </c>
      <c r="AJ49" s="233">
        <f>VLOOKUP(Primary_Order[[#This Row],[Product ID]],SKU[[SKU ID]:[Bottle Size(Ltr)]],6,0)*Primary_Order[[#This Row],[Free Quantity]]</f>
        <v>0</v>
      </c>
      <c r="AK49" s="206" t="str">
        <f>VLOOKUP(Primary_Order[[#This Row],[Product ID]],SKU[[SKU ID]:[Bottle Size(Ltr)]],4,0)</f>
        <v>12x1L</v>
      </c>
      <c r="AL49" s="231">
        <f>VLOOKUP(Primary_Order[[#This Row],[Product ID]],SKU[],14,0)*Primary_Order[[#This Row],[Total Qty]]</f>
        <v>183287.61600000001</v>
      </c>
      <c r="AM49" s="231">
        <f>IF(Primary_Order[[#This Row],[Cost]]=0,0,Primary_Order[[#This Row],[Net Total(-15%)]]-Primary_Order[[#This Row],[Cost]])</f>
        <v>35842.818782608694</v>
      </c>
      <c r="AN49" s="206" t="str">
        <f>"O-"&amp;Primary_Order[[#This Row],[Date]]&amp;"-"&amp;Primary_Order[[#This Row],[MMD ID]]</f>
        <v>O-45666-D-0015</v>
      </c>
      <c r="AO49" s="206" t="str" cm="1">
        <f t="array" ref="AO4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" spans="1:41" x14ac:dyDescent="0.5">
      <c r="A50" s="206" t="s">
        <v>962</v>
      </c>
      <c r="B50" s="230">
        <v>45666</v>
      </c>
      <c r="C50" s="206" t="s">
        <v>123</v>
      </c>
      <c r="D50" s="206" t="s">
        <v>437</v>
      </c>
      <c r="E50" s="206" t="s">
        <v>940</v>
      </c>
      <c r="F50" s="206" t="s">
        <v>438</v>
      </c>
      <c r="G50" s="206" t="s">
        <v>79</v>
      </c>
      <c r="H50" s="206" t="s">
        <v>40</v>
      </c>
      <c r="I50" s="206" t="s">
        <v>124</v>
      </c>
      <c r="J50" s="206" t="s">
        <v>80</v>
      </c>
      <c r="K50" s="206" t="s">
        <v>43</v>
      </c>
      <c r="L50" s="206" t="str">
        <f>VLOOKUP(Primary_Order[[#This Row],[Product ID]],SKU[],3,0)</f>
        <v>7100 4T 10W30 ESTER CORE®</v>
      </c>
      <c r="M50" s="231">
        <v>200</v>
      </c>
      <c r="N50" s="231">
        <v>1260</v>
      </c>
      <c r="O50" s="231">
        <v>240</v>
      </c>
      <c r="P50" s="232">
        <v>0</v>
      </c>
      <c r="Q50" s="231">
        <v>0</v>
      </c>
      <c r="R50" s="231">
        <v>1260</v>
      </c>
      <c r="S50" s="231">
        <v>200</v>
      </c>
      <c r="T50" s="231">
        <v>240</v>
      </c>
      <c r="U50" s="231">
        <v>252000</v>
      </c>
      <c r="V50" s="231">
        <v>0</v>
      </c>
      <c r="W50" s="231">
        <v>252000</v>
      </c>
      <c r="X50" s="231">
        <v>32869.565217391304</v>
      </c>
      <c r="Y50" s="231">
        <v>219130.4347826087</v>
      </c>
      <c r="Z50" s="206" t="s">
        <v>50</v>
      </c>
      <c r="AA50" s="206">
        <v>585</v>
      </c>
      <c r="AB50" s="206" t="s">
        <v>641</v>
      </c>
      <c r="AC50" s="230">
        <v>45666</v>
      </c>
      <c r="AD50" s="206" t="s">
        <v>50</v>
      </c>
      <c r="AE50" s="206" t="str">
        <f>IFERROR(VLOOKUP(Primary_Order[[#This Row],[AM]],SP!$E$19:$F$23,2,0),Primary_Order[[#This Row],[AM]])</f>
        <v>Central</v>
      </c>
      <c r="AF50" s="206" t="str">
        <f>VLOOKUP(Primary_Order[[#This Row],[Product ID]],SKU[],10,0)</f>
        <v>Synthetic</v>
      </c>
      <c r="AG50" s="206" t="str">
        <f>VLOOKUP(Primary_Order[[#This Row],[Product ID]],SKU[],9,0)</f>
        <v>MCO</v>
      </c>
      <c r="AH50" s="206" t="str">
        <f>VLOOKUP(Primary_Order[[#This Row],[Product ID]],SKU[],12,0)</f>
        <v>10W30</v>
      </c>
      <c r="AI50" s="206" t="str">
        <f>VLOOKUP(Primary_Order[[#This Row],[Product ID]],SKU[],13,0)</f>
        <v>7100</v>
      </c>
      <c r="AJ50" s="233">
        <f>VLOOKUP(Primary_Order[[#This Row],[Product ID]],SKU[[SKU ID]:[Bottle Size(Ltr)]],6,0)*Primary_Order[[#This Row],[Free Quantity]]</f>
        <v>0</v>
      </c>
      <c r="AK50" s="206" t="str">
        <f>VLOOKUP(Primary_Order[[#This Row],[Product ID]],SKU[[SKU ID]:[Bottle Size(Ltr)]],4,0)</f>
        <v>20x1.2L</v>
      </c>
      <c r="AL50" s="231">
        <f>VLOOKUP(Primary_Order[[#This Row],[Product ID]],SKU[],14,0)*Primary_Order[[#This Row],[Total Qty]]</f>
        <v>155460</v>
      </c>
      <c r="AM50" s="231">
        <f>IF(Primary_Order[[#This Row],[Cost]]=0,0,Primary_Order[[#This Row],[Net Total(-15%)]]-Primary_Order[[#This Row],[Cost]])</f>
        <v>63670.434782608703</v>
      </c>
      <c r="AN50" s="206" t="str">
        <f>"O-"&amp;Primary_Order[[#This Row],[Date]]&amp;"-"&amp;Primary_Order[[#This Row],[MMD ID]]</f>
        <v>O-45666-D-0015</v>
      </c>
      <c r="AO50" s="206" t="str" cm="1">
        <f t="array" ref="AO5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" spans="1:41" x14ac:dyDescent="0.5">
      <c r="A51" s="206" t="s">
        <v>962</v>
      </c>
      <c r="B51" s="230">
        <v>45666</v>
      </c>
      <c r="C51" s="206" t="s">
        <v>123</v>
      </c>
      <c r="D51" s="206" t="s">
        <v>437</v>
      </c>
      <c r="E51" s="206" t="s">
        <v>940</v>
      </c>
      <c r="F51" s="206" t="s">
        <v>438</v>
      </c>
      <c r="G51" s="206" t="s">
        <v>79</v>
      </c>
      <c r="H51" s="206" t="s">
        <v>40</v>
      </c>
      <c r="I51" s="206" t="s">
        <v>124</v>
      </c>
      <c r="J51" s="206" t="s">
        <v>80</v>
      </c>
      <c r="K51" s="206" t="s">
        <v>81</v>
      </c>
      <c r="L51" s="206" t="str">
        <f>VLOOKUP(Primary_Order[[#This Row],[Product ID]],SKU[],3,0)</f>
        <v>3000 4T 20W50</v>
      </c>
      <c r="M51" s="231">
        <v>200</v>
      </c>
      <c r="N51" s="231">
        <v>480</v>
      </c>
      <c r="O51" s="231">
        <v>200</v>
      </c>
      <c r="P51" s="232">
        <v>0</v>
      </c>
      <c r="Q51" s="231">
        <v>0</v>
      </c>
      <c r="R51" s="231">
        <v>480</v>
      </c>
      <c r="S51" s="231">
        <v>200</v>
      </c>
      <c r="T51" s="231">
        <v>200</v>
      </c>
      <c r="U51" s="231">
        <v>96000</v>
      </c>
      <c r="V51" s="231">
        <v>0</v>
      </c>
      <c r="W51" s="231">
        <v>96000</v>
      </c>
      <c r="X51" s="231">
        <v>12521.739130434782</v>
      </c>
      <c r="Y51" s="231">
        <v>83478.260869565216</v>
      </c>
      <c r="Z51" s="206" t="s">
        <v>50</v>
      </c>
      <c r="AA51" s="206">
        <v>585</v>
      </c>
      <c r="AB51" s="206" t="s">
        <v>641</v>
      </c>
      <c r="AC51" s="230">
        <v>45666</v>
      </c>
      <c r="AD51" s="206" t="s">
        <v>50</v>
      </c>
      <c r="AE51" s="206" t="str">
        <f>IFERROR(VLOOKUP(Primary_Order[[#This Row],[AM]],SP!$E$19:$F$23,2,0),Primary_Order[[#This Row],[AM]])</f>
        <v>Central</v>
      </c>
      <c r="AF51" s="206" t="str">
        <f>VLOOKUP(Primary_Order[[#This Row],[Product ID]],SKU[],10,0)</f>
        <v>Mineral</v>
      </c>
      <c r="AG51" s="206" t="str">
        <f>VLOOKUP(Primary_Order[[#This Row],[Product ID]],SKU[],9,0)</f>
        <v>MCO</v>
      </c>
      <c r="AH51" s="206" t="str">
        <f>VLOOKUP(Primary_Order[[#This Row],[Product ID]],SKU[],12,0)</f>
        <v>20W50</v>
      </c>
      <c r="AI51" s="206" t="str">
        <f>VLOOKUP(Primary_Order[[#This Row],[Product ID]],SKU[],13,0)</f>
        <v>3000</v>
      </c>
      <c r="AJ51" s="233">
        <f>VLOOKUP(Primary_Order[[#This Row],[Product ID]],SKU[[SKU ID]:[Bottle Size(Ltr)]],6,0)*Primary_Order[[#This Row],[Free Quantity]]</f>
        <v>0</v>
      </c>
      <c r="AK51" s="206" t="str">
        <f>VLOOKUP(Primary_Order[[#This Row],[Product ID]],SKU[[SKU ID]:[Bottle Size(Ltr)]],4,0)</f>
        <v>20x1L</v>
      </c>
      <c r="AL51" s="231">
        <f>VLOOKUP(Primary_Order[[#This Row],[Product ID]],SKU[],14,0)*Primary_Order[[#This Row],[Total Qty]]</f>
        <v>72984</v>
      </c>
      <c r="AM51" s="231">
        <f>IF(Primary_Order[[#This Row],[Cost]]=0,0,Primary_Order[[#This Row],[Net Total(-15%)]]-Primary_Order[[#This Row],[Cost]])</f>
        <v>10494.260869565216</v>
      </c>
      <c r="AN51" s="206" t="str">
        <f>"O-"&amp;Primary_Order[[#This Row],[Date]]&amp;"-"&amp;Primary_Order[[#This Row],[MMD ID]]</f>
        <v>O-45666-D-0015</v>
      </c>
      <c r="AO51" s="206" t="str" cm="1">
        <f t="array" ref="AO5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" spans="1:41" x14ac:dyDescent="0.5">
      <c r="A52" s="206" t="s">
        <v>962</v>
      </c>
      <c r="B52" s="230">
        <v>45666</v>
      </c>
      <c r="C52" s="206" t="s">
        <v>123</v>
      </c>
      <c r="D52" s="206" t="s">
        <v>437</v>
      </c>
      <c r="E52" s="206" t="s">
        <v>940</v>
      </c>
      <c r="F52" s="206" t="s">
        <v>438</v>
      </c>
      <c r="G52" s="206" t="s">
        <v>79</v>
      </c>
      <c r="H52" s="206" t="s">
        <v>40</v>
      </c>
      <c r="I52" s="206" t="s">
        <v>124</v>
      </c>
      <c r="J52" s="206" t="s">
        <v>80</v>
      </c>
      <c r="K52" s="206" t="s">
        <v>99</v>
      </c>
      <c r="L52" s="206" t="str">
        <f>VLOOKUP(Primary_Order[[#This Row],[Product ID]],SKU[],3,0)</f>
        <v>3000 4T 20W50</v>
      </c>
      <c r="M52" s="231">
        <v>200</v>
      </c>
      <c r="N52" s="231">
        <v>570</v>
      </c>
      <c r="O52" s="231">
        <v>240</v>
      </c>
      <c r="P52" s="232">
        <v>0</v>
      </c>
      <c r="Q52" s="231">
        <v>0</v>
      </c>
      <c r="R52" s="231">
        <v>570</v>
      </c>
      <c r="S52" s="231">
        <v>200</v>
      </c>
      <c r="T52" s="231">
        <v>240</v>
      </c>
      <c r="U52" s="231">
        <v>114000</v>
      </c>
      <c r="V52" s="231">
        <v>0</v>
      </c>
      <c r="W52" s="231">
        <v>114000</v>
      </c>
      <c r="X52" s="231">
        <v>14869.565217391304</v>
      </c>
      <c r="Y52" s="231">
        <v>99130.434782608689</v>
      </c>
      <c r="Z52" s="206" t="s">
        <v>50</v>
      </c>
      <c r="AA52" s="206">
        <v>585</v>
      </c>
      <c r="AB52" s="206" t="s">
        <v>641</v>
      </c>
      <c r="AC52" s="230">
        <v>45666</v>
      </c>
      <c r="AD52" s="206" t="s">
        <v>50</v>
      </c>
      <c r="AE52" s="206" t="str">
        <f>IFERROR(VLOOKUP(Primary_Order[[#This Row],[AM]],SP!$E$19:$F$23,2,0),Primary_Order[[#This Row],[AM]])</f>
        <v>Central</v>
      </c>
      <c r="AF52" s="206" t="str">
        <f>VLOOKUP(Primary_Order[[#This Row],[Product ID]],SKU[],10,0)</f>
        <v>Mineral</v>
      </c>
      <c r="AG52" s="206" t="str">
        <f>VLOOKUP(Primary_Order[[#This Row],[Product ID]],SKU[],9,0)</f>
        <v>MCO</v>
      </c>
      <c r="AH52" s="206" t="str">
        <f>VLOOKUP(Primary_Order[[#This Row],[Product ID]],SKU[],12,0)</f>
        <v>20W50</v>
      </c>
      <c r="AI52" s="206" t="str">
        <f>VLOOKUP(Primary_Order[[#This Row],[Product ID]],SKU[],13,0)</f>
        <v>3000</v>
      </c>
      <c r="AJ52" s="233">
        <f>VLOOKUP(Primary_Order[[#This Row],[Product ID]],SKU[[SKU ID]:[Bottle Size(Ltr)]],6,0)*Primary_Order[[#This Row],[Free Quantity]]</f>
        <v>0</v>
      </c>
      <c r="AK52" s="206" t="str">
        <f>VLOOKUP(Primary_Order[[#This Row],[Product ID]],SKU[[SKU ID]:[Bottle Size(Ltr)]],4,0)</f>
        <v>20x1.2L</v>
      </c>
      <c r="AL52" s="231">
        <f>VLOOKUP(Primary_Order[[#This Row],[Product ID]],SKU[],14,0)*Primary_Order[[#This Row],[Total Qty]]</f>
        <v>86922</v>
      </c>
      <c r="AM52" s="231">
        <f>IF(Primary_Order[[#This Row],[Cost]]=0,0,Primary_Order[[#This Row],[Net Total(-15%)]]-Primary_Order[[#This Row],[Cost]])</f>
        <v>12208.434782608689</v>
      </c>
      <c r="AN52" s="206" t="str">
        <f>"O-"&amp;Primary_Order[[#This Row],[Date]]&amp;"-"&amp;Primary_Order[[#This Row],[MMD ID]]</f>
        <v>O-45666-D-0015</v>
      </c>
      <c r="AO52" s="206" t="str" cm="1">
        <f t="array" ref="AO5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" spans="1:41" x14ac:dyDescent="0.5">
      <c r="A53" s="206" t="s">
        <v>1030</v>
      </c>
      <c r="B53" s="230">
        <v>45669</v>
      </c>
      <c r="C53" s="206" t="s">
        <v>90</v>
      </c>
      <c r="D53" s="206" t="s">
        <v>963</v>
      </c>
      <c r="E53" s="206" t="s">
        <v>964</v>
      </c>
      <c r="F53" s="206" t="s">
        <v>965</v>
      </c>
      <c r="G53" s="206" t="s">
        <v>39</v>
      </c>
      <c r="H53" s="206" t="s">
        <v>40</v>
      </c>
      <c r="I53" s="206" t="s">
        <v>91</v>
      </c>
      <c r="J53" s="206" t="s">
        <v>93</v>
      </c>
      <c r="K53" s="206" t="s">
        <v>43</v>
      </c>
      <c r="L53" s="206" t="str">
        <f>VLOOKUP(Primary_Order[[#This Row],[Product ID]],SKU[],3,0)</f>
        <v>7100 4T 10W30 ESTER CORE®</v>
      </c>
      <c r="M53" s="231">
        <v>40</v>
      </c>
      <c r="N53" s="231">
        <v>1270</v>
      </c>
      <c r="O53" s="231">
        <v>48</v>
      </c>
      <c r="P53" s="232"/>
      <c r="Q53" s="231">
        <v>0</v>
      </c>
      <c r="R53" s="231">
        <v>1270</v>
      </c>
      <c r="S53" s="231">
        <v>40</v>
      </c>
      <c r="T53" s="231">
        <v>48</v>
      </c>
      <c r="U53" s="231">
        <v>50800</v>
      </c>
      <c r="V53" s="231">
        <v>0</v>
      </c>
      <c r="W53" s="231">
        <v>50800</v>
      </c>
      <c r="X53" s="231">
        <v>6626.086956521739</v>
      </c>
      <c r="Y53" s="231">
        <v>44173.913043478264</v>
      </c>
      <c r="Z53" s="206" t="s">
        <v>882</v>
      </c>
      <c r="AA53" s="206">
        <v>586</v>
      </c>
      <c r="AB53" s="206" t="s">
        <v>641</v>
      </c>
      <c r="AC53" s="230">
        <v>45670</v>
      </c>
      <c r="AD53" s="206" t="s">
        <v>966</v>
      </c>
      <c r="AE53" s="206" t="str">
        <f>IFERROR(VLOOKUP(Primary_Order[[#This Row],[AM]],SP!$E$19:$F$23,2,0),Primary_Order[[#This Row],[AM]])</f>
        <v>Central</v>
      </c>
      <c r="AF53" s="206" t="str">
        <f>VLOOKUP(Primary_Order[[#This Row],[Product ID]],SKU[],10,0)</f>
        <v>Synthetic</v>
      </c>
      <c r="AG53" s="206" t="str">
        <f>VLOOKUP(Primary_Order[[#This Row],[Product ID]],SKU[],9,0)</f>
        <v>MCO</v>
      </c>
      <c r="AH53" s="206" t="str">
        <f>VLOOKUP(Primary_Order[[#This Row],[Product ID]],SKU[],12,0)</f>
        <v>10W30</v>
      </c>
      <c r="AI53" s="206" t="str">
        <f>VLOOKUP(Primary_Order[[#This Row],[Product ID]],SKU[],13,0)</f>
        <v>7100</v>
      </c>
      <c r="AJ53" s="233">
        <f>VLOOKUP(Primary_Order[[#This Row],[Product ID]],SKU[[SKU ID]:[Bottle Size(Ltr)]],6,0)*Primary_Order[[#This Row],[Free Quantity]]</f>
        <v>0</v>
      </c>
      <c r="AK53" s="206" t="str">
        <f>VLOOKUP(Primary_Order[[#This Row],[Product ID]],SKU[[SKU ID]:[Bottle Size(Ltr)]],4,0)</f>
        <v>20x1.2L</v>
      </c>
      <c r="AL53" s="231">
        <f>VLOOKUP(Primary_Order[[#This Row],[Product ID]],SKU[],14,0)*Primary_Order[[#This Row],[Total Qty]]</f>
        <v>31092</v>
      </c>
      <c r="AM53" s="231">
        <f>IF(Primary_Order[[#This Row],[Cost]]=0,0,Primary_Order[[#This Row],[Net Total(-15%)]]-Primary_Order[[#This Row],[Cost]])</f>
        <v>13081.913043478264</v>
      </c>
      <c r="AN53" s="206" t="str">
        <f>"O-"&amp;Primary_Order[[#This Row],[Date]]&amp;"-"&amp;Primary_Order[[#This Row],[MMD ID]]</f>
        <v>O-45669-D-0006</v>
      </c>
      <c r="AO53" s="206" t="str" cm="1">
        <f t="array" ref="AO5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4" spans="1:41" x14ac:dyDescent="0.5">
      <c r="A54" s="206" t="s">
        <v>1030</v>
      </c>
      <c r="B54" s="230">
        <v>45669</v>
      </c>
      <c r="C54" s="206" t="s">
        <v>90</v>
      </c>
      <c r="D54" s="206" t="s">
        <v>963</v>
      </c>
      <c r="E54" s="206" t="s">
        <v>964</v>
      </c>
      <c r="F54" s="206" t="s">
        <v>965</v>
      </c>
      <c r="G54" s="206" t="s">
        <v>39</v>
      </c>
      <c r="H54" s="206" t="s">
        <v>40</v>
      </c>
      <c r="I54" s="206" t="s">
        <v>91</v>
      </c>
      <c r="J54" s="206" t="s">
        <v>93</v>
      </c>
      <c r="K54" s="206" t="s">
        <v>99</v>
      </c>
      <c r="L54" s="206" t="str">
        <f>VLOOKUP(Primary_Order[[#This Row],[Product ID]],SKU[],3,0)</f>
        <v>3000 4T 20W50</v>
      </c>
      <c r="M54" s="231">
        <v>100</v>
      </c>
      <c r="N54" s="231">
        <v>595</v>
      </c>
      <c r="O54" s="231">
        <v>120</v>
      </c>
      <c r="P54" s="232"/>
      <c r="Q54" s="231">
        <v>0</v>
      </c>
      <c r="R54" s="231">
        <v>595</v>
      </c>
      <c r="S54" s="231">
        <v>100</v>
      </c>
      <c r="T54" s="231">
        <v>120</v>
      </c>
      <c r="U54" s="231">
        <v>59500</v>
      </c>
      <c r="V54" s="231">
        <v>0</v>
      </c>
      <c r="W54" s="231">
        <v>59500</v>
      </c>
      <c r="X54" s="231">
        <v>7760.869565217391</v>
      </c>
      <c r="Y54" s="231">
        <v>51739.130434782608</v>
      </c>
      <c r="Z54" s="206" t="s">
        <v>882</v>
      </c>
      <c r="AA54" s="206">
        <v>586</v>
      </c>
      <c r="AB54" s="206" t="s">
        <v>641</v>
      </c>
      <c r="AC54" s="230">
        <v>45670</v>
      </c>
      <c r="AD54" s="206" t="s">
        <v>966</v>
      </c>
      <c r="AE54" s="206" t="str">
        <f>IFERROR(VLOOKUP(Primary_Order[[#This Row],[AM]],SP!$E$19:$F$23,2,0),Primary_Order[[#This Row],[AM]])</f>
        <v>Central</v>
      </c>
      <c r="AF54" s="206" t="str">
        <f>VLOOKUP(Primary_Order[[#This Row],[Product ID]],SKU[],10,0)</f>
        <v>Mineral</v>
      </c>
      <c r="AG54" s="206" t="str">
        <f>VLOOKUP(Primary_Order[[#This Row],[Product ID]],SKU[],9,0)</f>
        <v>MCO</v>
      </c>
      <c r="AH54" s="206" t="str">
        <f>VLOOKUP(Primary_Order[[#This Row],[Product ID]],SKU[],12,0)</f>
        <v>20W50</v>
      </c>
      <c r="AI54" s="206" t="str">
        <f>VLOOKUP(Primary_Order[[#This Row],[Product ID]],SKU[],13,0)</f>
        <v>3000</v>
      </c>
      <c r="AJ54" s="233">
        <f>VLOOKUP(Primary_Order[[#This Row],[Product ID]],SKU[[SKU ID]:[Bottle Size(Ltr)]],6,0)*Primary_Order[[#This Row],[Free Quantity]]</f>
        <v>0</v>
      </c>
      <c r="AK54" s="206" t="str">
        <f>VLOOKUP(Primary_Order[[#This Row],[Product ID]],SKU[[SKU ID]:[Bottle Size(Ltr)]],4,0)</f>
        <v>20x1.2L</v>
      </c>
      <c r="AL54" s="231">
        <f>VLOOKUP(Primary_Order[[#This Row],[Product ID]],SKU[],14,0)*Primary_Order[[#This Row],[Total Qty]]</f>
        <v>43461</v>
      </c>
      <c r="AM54" s="231">
        <f>IF(Primary_Order[[#This Row],[Cost]]=0,0,Primary_Order[[#This Row],[Net Total(-15%)]]-Primary_Order[[#This Row],[Cost]])</f>
        <v>8278.1304347826081</v>
      </c>
      <c r="AN54" s="206" t="str">
        <f>"O-"&amp;Primary_Order[[#This Row],[Date]]&amp;"-"&amp;Primary_Order[[#This Row],[MMD ID]]</f>
        <v>O-45669-D-0006</v>
      </c>
      <c r="AO54" s="206" t="str" cm="1">
        <f t="array" ref="AO5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5" spans="1:41" x14ac:dyDescent="0.5">
      <c r="A55" s="206" t="s">
        <v>1040</v>
      </c>
      <c r="B55" s="230">
        <v>45669</v>
      </c>
      <c r="C55" s="206" t="s">
        <v>102</v>
      </c>
      <c r="D55" s="206" t="s">
        <v>973</v>
      </c>
      <c r="E55" s="206" t="s">
        <v>974</v>
      </c>
      <c r="F55" s="206" t="s">
        <v>975</v>
      </c>
      <c r="G55" s="206" t="s">
        <v>45</v>
      </c>
      <c r="H55" s="206" t="s">
        <v>28</v>
      </c>
      <c r="I55" s="206" t="s">
        <v>46</v>
      </c>
      <c r="J55" s="206" t="s">
        <v>47</v>
      </c>
      <c r="K55" s="206" t="s">
        <v>54</v>
      </c>
      <c r="L55" s="206" t="str">
        <f>VLOOKUP(Primary_Order[[#This Row],[Product ID]],SKU[],3,0)</f>
        <v>3000 4T PLUS 10W40</v>
      </c>
      <c r="M55" s="231">
        <v>40</v>
      </c>
      <c r="N55" s="231">
        <v>535</v>
      </c>
      <c r="O55" s="231">
        <v>40</v>
      </c>
      <c r="P55" s="232"/>
      <c r="Q55" s="231">
        <v>0</v>
      </c>
      <c r="R55" s="231">
        <v>535</v>
      </c>
      <c r="S55" s="231">
        <v>40</v>
      </c>
      <c r="T55" s="231">
        <v>40</v>
      </c>
      <c r="U55" s="231">
        <v>21400</v>
      </c>
      <c r="V55" s="231">
        <v>0</v>
      </c>
      <c r="W55" s="231">
        <v>21400</v>
      </c>
      <c r="X55" s="231">
        <v>2791.304347826087</v>
      </c>
      <c r="Y55" s="231">
        <v>18608.695652173912</v>
      </c>
      <c r="Z55" s="206" t="s">
        <v>882</v>
      </c>
      <c r="AA55" s="206">
        <v>587</v>
      </c>
      <c r="AB55" s="206" t="s">
        <v>641</v>
      </c>
      <c r="AC55" s="230">
        <v>45672</v>
      </c>
      <c r="AD55" s="206" t="s">
        <v>50</v>
      </c>
      <c r="AE55" s="206" t="str">
        <f>IFERROR(VLOOKUP(Primary_Order[[#This Row],[AM]],SP!$E$19:$F$23,2,0),Primary_Order[[#This Row],[AM]])</f>
        <v>Eastern</v>
      </c>
      <c r="AF55" s="206" t="str">
        <f>VLOOKUP(Primary_Order[[#This Row],[Product ID]],SKU[],10,0)</f>
        <v>Mineral</v>
      </c>
      <c r="AG55" s="206" t="str">
        <f>VLOOKUP(Primary_Order[[#This Row],[Product ID]],SKU[],9,0)</f>
        <v>MCO</v>
      </c>
      <c r="AH55" s="206" t="str">
        <f>VLOOKUP(Primary_Order[[#This Row],[Product ID]],SKU[],12,0)</f>
        <v>10W40</v>
      </c>
      <c r="AI55" s="206" t="str">
        <f>VLOOKUP(Primary_Order[[#This Row],[Product ID]],SKU[],13,0)</f>
        <v>3000</v>
      </c>
      <c r="AJ55" s="233">
        <f>VLOOKUP(Primary_Order[[#This Row],[Product ID]],SKU[[SKU ID]:[Bottle Size(Ltr)]],6,0)*Primary_Order[[#This Row],[Free Quantity]]</f>
        <v>0</v>
      </c>
      <c r="AK55" s="206" t="str">
        <f>VLOOKUP(Primary_Order[[#This Row],[Product ID]],SKU[[SKU ID]:[Bottle Size(Ltr)]],4,0)</f>
        <v>20x1L</v>
      </c>
      <c r="AL55" s="231">
        <f>VLOOKUP(Primary_Order[[#This Row],[Product ID]],SKU[],14,0)*Primary_Order[[#This Row],[Total Qty]]</f>
        <v>15394</v>
      </c>
      <c r="AM55" s="231">
        <f>IF(Primary_Order[[#This Row],[Cost]]=0,0,Primary_Order[[#This Row],[Net Total(-15%)]]-Primary_Order[[#This Row],[Cost]])</f>
        <v>3214.6956521739121</v>
      </c>
      <c r="AN55" s="206" t="str">
        <f>"O-"&amp;Primary_Order[[#This Row],[Date]]&amp;"-"&amp;Primary_Order[[#This Row],[MMD ID]]</f>
        <v>O-45669-D-0003</v>
      </c>
      <c r="AO55" s="206" t="str" cm="1">
        <f t="array" ref="AO5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" spans="1:41" x14ac:dyDescent="0.5">
      <c r="A56" s="206" t="s">
        <v>1040</v>
      </c>
      <c r="B56" s="230">
        <v>45669</v>
      </c>
      <c r="C56" s="206" t="s">
        <v>102</v>
      </c>
      <c r="D56" s="206" t="s">
        <v>973</v>
      </c>
      <c r="E56" s="206" t="s">
        <v>974</v>
      </c>
      <c r="F56" s="206" t="s">
        <v>975</v>
      </c>
      <c r="G56" s="206" t="s">
        <v>45</v>
      </c>
      <c r="H56" s="206" t="s">
        <v>28</v>
      </c>
      <c r="I56" s="206" t="s">
        <v>46</v>
      </c>
      <c r="J56" s="206" t="s">
        <v>47</v>
      </c>
      <c r="K56" s="206" t="s">
        <v>32</v>
      </c>
      <c r="L56" s="206" t="str">
        <f>VLOOKUP(Primary_Order[[#This Row],[Product ID]],SKU[],3,0)</f>
        <v>3000 4T PLUS 10W30</v>
      </c>
      <c r="M56" s="231">
        <v>20</v>
      </c>
      <c r="N56" s="231">
        <v>640</v>
      </c>
      <c r="O56" s="231">
        <v>24</v>
      </c>
      <c r="P56" s="232"/>
      <c r="Q56" s="231">
        <v>0</v>
      </c>
      <c r="R56" s="231">
        <v>640</v>
      </c>
      <c r="S56" s="231">
        <v>20</v>
      </c>
      <c r="T56" s="231">
        <v>24</v>
      </c>
      <c r="U56" s="231">
        <v>12800</v>
      </c>
      <c r="V56" s="231">
        <v>0</v>
      </c>
      <c r="W56" s="231">
        <v>12800</v>
      </c>
      <c r="X56" s="231">
        <v>1669.5652173913043</v>
      </c>
      <c r="Y56" s="231">
        <v>11130.434782608696</v>
      </c>
      <c r="Z56" s="206" t="s">
        <v>882</v>
      </c>
      <c r="AA56" s="206">
        <v>587</v>
      </c>
      <c r="AB56" s="206" t="s">
        <v>641</v>
      </c>
      <c r="AC56" s="230">
        <v>45672</v>
      </c>
      <c r="AD56" s="206" t="s">
        <v>50</v>
      </c>
      <c r="AE56" s="206" t="str">
        <f>IFERROR(VLOOKUP(Primary_Order[[#This Row],[AM]],SP!$E$19:$F$23,2,0),Primary_Order[[#This Row],[AM]])</f>
        <v>Eastern</v>
      </c>
      <c r="AF56" s="206" t="str">
        <f>VLOOKUP(Primary_Order[[#This Row],[Product ID]],SKU[],10,0)</f>
        <v>Mineral</v>
      </c>
      <c r="AG56" s="206" t="str">
        <f>VLOOKUP(Primary_Order[[#This Row],[Product ID]],SKU[],9,0)</f>
        <v>MCO</v>
      </c>
      <c r="AH56" s="206" t="str">
        <f>VLOOKUP(Primary_Order[[#This Row],[Product ID]],SKU[],12,0)</f>
        <v>10W30</v>
      </c>
      <c r="AI56" s="206" t="str">
        <f>VLOOKUP(Primary_Order[[#This Row],[Product ID]],SKU[],13,0)</f>
        <v>3000</v>
      </c>
      <c r="AJ56" s="233">
        <f>VLOOKUP(Primary_Order[[#This Row],[Product ID]],SKU[[SKU ID]:[Bottle Size(Ltr)]],6,0)*Primary_Order[[#This Row],[Free Quantity]]</f>
        <v>0</v>
      </c>
      <c r="AK56" s="206" t="str">
        <f>VLOOKUP(Primary_Order[[#This Row],[Product ID]],SKU[[SKU ID]:[Bottle Size(Ltr)]],4,0)</f>
        <v>20x1.2L</v>
      </c>
      <c r="AL56" s="231">
        <f>VLOOKUP(Primary_Order[[#This Row],[Product ID]],SKU[],14,0)*Primary_Order[[#This Row],[Total Qty]]</f>
        <v>8778</v>
      </c>
      <c r="AM56" s="231">
        <f>IF(Primary_Order[[#This Row],[Cost]]=0,0,Primary_Order[[#This Row],[Net Total(-15%)]]-Primary_Order[[#This Row],[Cost]])</f>
        <v>2352.434782608696</v>
      </c>
      <c r="AN56" s="206" t="str">
        <f>"O-"&amp;Primary_Order[[#This Row],[Date]]&amp;"-"&amp;Primary_Order[[#This Row],[MMD ID]]</f>
        <v>O-45669-D-0003</v>
      </c>
      <c r="AO56" s="206" t="str" cm="1">
        <f t="array" ref="AO5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" spans="1:41" x14ac:dyDescent="0.5">
      <c r="A57" s="206" t="s">
        <v>1040</v>
      </c>
      <c r="B57" s="230">
        <v>45669</v>
      </c>
      <c r="C57" s="206" t="s">
        <v>102</v>
      </c>
      <c r="D57" s="206" t="s">
        <v>973</v>
      </c>
      <c r="E57" s="206" t="s">
        <v>974</v>
      </c>
      <c r="F57" s="206" t="s">
        <v>975</v>
      </c>
      <c r="G57" s="206" t="s">
        <v>45</v>
      </c>
      <c r="H57" s="206" t="s">
        <v>28</v>
      </c>
      <c r="I57" s="206" t="s">
        <v>46</v>
      </c>
      <c r="J57" s="206" t="s">
        <v>47</v>
      </c>
      <c r="K57" s="206" t="s">
        <v>58</v>
      </c>
      <c r="L57" s="206" t="str">
        <f>VLOOKUP(Primary_Order[[#This Row],[Product ID]],SKU[],3,0)</f>
        <v>7100 4T 20W50 ESTER CORE®</v>
      </c>
      <c r="M57" s="231">
        <v>12</v>
      </c>
      <c r="N57" s="231">
        <v>1070</v>
      </c>
      <c r="O57" s="231">
        <v>12</v>
      </c>
      <c r="P57" s="232"/>
      <c r="Q57" s="231">
        <v>0</v>
      </c>
      <c r="R57" s="231">
        <v>1070</v>
      </c>
      <c r="S57" s="231">
        <v>12</v>
      </c>
      <c r="T57" s="231">
        <v>12</v>
      </c>
      <c r="U57" s="231">
        <v>12840</v>
      </c>
      <c r="V57" s="231">
        <v>0</v>
      </c>
      <c r="W57" s="231">
        <v>12840</v>
      </c>
      <c r="X57" s="231">
        <v>1674.7826086956522</v>
      </c>
      <c r="Y57" s="231">
        <v>11165.217391304348</v>
      </c>
      <c r="Z57" s="206" t="s">
        <v>882</v>
      </c>
      <c r="AA57" s="206">
        <v>587</v>
      </c>
      <c r="AB57" s="206" t="s">
        <v>641</v>
      </c>
      <c r="AC57" s="230">
        <v>45672</v>
      </c>
      <c r="AD57" s="206" t="s">
        <v>50</v>
      </c>
      <c r="AE57" s="206" t="str">
        <f>IFERROR(VLOOKUP(Primary_Order[[#This Row],[AM]],SP!$E$19:$F$23,2,0),Primary_Order[[#This Row],[AM]])</f>
        <v>Eastern</v>
      </c>
      <c r="AF57" s="206" t="str">
        <f>VLOOKUP(Primary_Order[[#This Row],[Product ID]],SKU[],10,0)</f>
        <v>Synthetic</v>
      </c>
      <c r="AG57" s="206" t="str">
        <f>VLOOKUP(Primary_Order[[#This Row],[Product ID]],SKU[],9,0)</f>
        <v>MCO</v>
      </c>
      <c r="AH57" s="206" t="str">
        <f>VLOOKUP(Primary_Order[[#This Row],[Product ID]],SKU[],12,0)</f>
        <v>20W50</v>
      </c>
      <c r="AI57" s="206" t="str">
        <f>VLOOKUP(Primary_Order[[#This Row],[Product ID]],SKU[],13,0)</f>
        <v>7100</v>
      </c>
      <c r="AJ57" s="233">
        <f>VLOOKUP(Primary_Order[[#This Row],[Product ID]],SKU[[SKU ID]:[Bottle Size(Ltr)]],6,0)*Primary_Order[[#This Row],[Free Quantity]]</f>
        <v>0</v>
      </c>
      <c r="AK57" s="206" t="str">
        <f>VLOOKUP(Primary_Order[[#This Row],[Product ID]],SKU[[SKU ID]:[Bottle Size(Ltr)]],4,0)</f>
        <v>12x1L</v>
      </c>
      <c r="AL57" s="231">
        <f>VLOOKUP(Primary_Order[[#This Row],[Product ID]],SKU[],14,0)*Primary_Order[[#This Row],[Total Qty]]</f>
        <v>9164.380799999999</v>
      </c>
      <c r="AM57" s="231">
        <f>IF(Primary_Order[[#This Row],[Cost]]=0,0,Primary_Order[[#This Row],[Net Total(-15%)]]-Primary_Order[[#This Row],[Cost]])</f>
        <v>2000.836591304349</v>
      </c>
      <c r="AN57" s="206" t="str">
        <f>"O-"&amp;Primary_Order[[#This Row],[Date]]&amp;"-"&amp;Primary_Order[[#This Row],[MMD ID]]</f>
        <v>O-45669-D-0003</v>
      </c>
      <c r="AO57" s="206" t="str" cm="1">
        <f t="array" ref="AO5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8" spans="1:41" x14ac:dyDescent="0.5">
      <c r="A58" s="206" t="s">
        <v>1041</v>
      </c>
      <c r="B58" s="230">
        <v>45671</v>
      </c>
      <c r="C58" s="206" t="s">
        <v>108</v>
      </c>
      <c r="D58" s="206" t="s">
        <v>1034</v>
      </c>
      <c r="E58" s="206" t="s">
        <v>1326</v>
      </c>
      <c r="F58" s="206" t="s">
        <v>1035</v>
      </c>
      <c r="G58" s="206" t="s">
        <v>280</v>
      </c>
      <c r="H58" s="206" t="s">
        <v>84</v>
      </c>
      <c r="I58" s="206" t="s">
        <v>109</v>
      </c>
      <c r="J58" s="206" t="s">
        <v>282</v>
      </c>
      <c r="K58" s="206" t="s">
        <v>54</v>
      </c>
      <c r="L58" s="206" t="str">
        <f>VLOOKUP(Primary_Order[[#This Row],[Product ID]],SKU[],3,0)</f>
        <v>3000 4T PLUS 10W40</v>
      </c>
      <c r="M58" s="231">
        <v>40</v>
      </c>
      <c r="N58" s="231">
        <v>535</v>
      </c>
      <c r="O58" s="231">
        <v>40</v>
      </c>
      <c r="P58" s="232"/>
      <c r="Q58" s="231">
        <v>0</v>
      </c>
      <c r="R58" s="231">
        <v>535</v>
      </c>
      <c r="S58" s="231">
        <v>40</v>
      </c>
      <c r="T58" s="231">
        <v>40</v>
      </c>
      <c r="U58" s="231">
        <v>21400</v>
      </c>
      <c r="V58" s="231">
        <v>0</v>
      </c>
      <c r="W58" s="231">
        <v>21400</v>
      </c>
      <c r="X58" s="231">
        <v>2791.304347826087</v>
      </c>
      <c r="Y58" s="231">
        <v>18608.695652173912</v>
      </c>
      <c r="Z58" s="206" t="s">
        <v>882</v>
      </c>
      <c r="AA58" s="206">
        <v>588</v>
      </c>
      <c r="AB58" s="206" t="s">
        <v>641</v>
      </c>
      <c r="AC58" s="230">
        <v>45672</v>
      </c>
      <c r="AD58" s="206" t="s">
        <v>50</v>
      </c>
      <c r="AE58" s="206" t="str">
        <f>IFERROR(VLOOKUP(Primary_Order[[#This Row],[AM]],SP!$E$19:$F$23,2,0),Primary_Order[[#This Row],[AM]])</f>
        <v>Northern</v>
      </c>
      <c r="AF58" s="206" t="str">
        <f>VLOOKUP(Primary_Order[[#This Row],[Product ID]],SKU[],10,0)</f>
        <v>Mineral</v>
      </c>
      <c r="AG58" s="206" t="str">
        <f>VLOOKUP(Primary_Order[[#This Row],[Product ID]],SKU[],9,0)</f>
        <v>MCO</v>
      </c>
      <c r="AH58" s="206" t="str">
        <f>VLOOKUP(Primary_Order[[#This Row],[Product ID]],SKU[],12,0)</f>
        <v>10W40</v>
      </c>
      <c r="AI58" s="206" t="str">
        <f>VLOOKUP(Primary_Order[[#This Row],[Product ID]],SKU[],13,0)</f>
        <v>3000</v>
      </c>
      <c r="AJ58" s="233">
        <f>VLOOKUP(Primary_Order[[#This Row],[Product ID]],SKU[[SKU ID]:[Bottle Size(Ltr)]],6,0)*Primary_Order[[#This Row],[Free Quantity]]</f>
        <v>0</v>
      </c>
      <c r="AK58" s="206" t="str">
        <f>VLOOKUP(Primary_Order[[#This Row],[Product ID]],SKU[[SKU ID]:[Bottle Size(Ltr)]],4,0)</f>
        <v>20x1L</v>
      </c>
      <c r="AL58" s="231">
        <f>VLOOKUP(Primary_Order[[#This Row],[Product ID]],SKU[],14,0)*Primary_Order[[#This Row],[Total Qty]]</f>
        <v>15394</v>
      </c>
      <c r="AM58" s="231">
        <f>IF(Primary_Order[[#This Row],[Cost]]=0,0,Primary_Order[[#This Row],[Net Total(-15%)]]-Primary_Order[[#This Row],[Cost]])</f>
        <v>3214.6956521739121</v>
      </c>
      <c r="AN58" s="206" t="str">
        <f>"O-"&amp;Primary_Order[[#This Row],[Date]]&amp;"-"&amp;Primary_Order[[#This Row],[MMD ID]]</f>
        <v>O-45671-D-0023</v>
      </c>
      <c r="AO58" s="206" t="str" cm="1">
        <f t="array" ref="AO5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9" spans="1:41" x14ac:dyDescent="0.5">
      <c r="A59" s="206" t="s">
        <v>1041</v>
      </c>
      <c r="B59" s="230">
        <v>45671</v>
      </c>
      <c r="C59" s="206" t="s">
        <v>108</v>
      </c>
      <c r="D59" s="206" t="s">
        <v>1034</v>
      </c>
      <c r="E59" s="206" t="s">
        <v>1326</v>
      </c>
      <c r="F59" s="206" t="s">
        <v>1035</v>
      </c>
      <c r="G59" s="206" t="s">
        <v>280</v>
      </c>
      <c r="H59" s="206" t="s">
        <v>84</v>
      </c>
      <c r="I59" s="206" t="s">
        <v>109</v>
      </c>
      <c r="J59" s="206" t="s">
        <v>282</v>
      </c>
      <c r="K59" s="206" t="s">
        <v>32</v>
      </c>
      <c r="L59" s="206" t="str">
        <f>VLOOKUP(Primary_Order[[#This Row],[Product ID]],SKU[],3,0)</f>
        <v>3000 4T PLUS 10W30</v>
      </c>
      <c r="M59" s="231">
        <v>20</v>
      </c>
      <c r="N59" s="231">
        <v>640</v>
      </c>
      <c r="O59" s="231">
        <v>24</v>
      </c>
      <c r="P59" s="232"/>
      <c r="Q59" s="231">
        <v>0</v>
      </c>
      <c r="R59" s="231">
        <v>640</v>
      </c>
      <c r="S59" s="231">
        <v>20</v>
      </c>
      <c r="T59" s="231">
        <v>24</v>
      </c>
      <c r="U59" s="231">
        <v>12800</v>
      </c>
      <c r="V59" s="231">
        <v>0</v>
      </c>
      <c r="W59" s="231">
        <v>12800</v>
      </c>
      <c r="X59" s="231">
        <v>1669.5652173913043</v>
      </c>
      <c r="Y59" s="231">
        <v>11130.434782608696</v>
      </c>
      <c r="Z59" s="206" t="s">
        <v>882</v>
      </c>
      <c r="AA59" s="206">
        <v>588</v>
      </c>
      <c r="AB59" s="206" t="s">
        <v>641</v>
      </c>
      <c r="AC59" s="230">
        <v>45672</v>
      </c>
      <c r="AD59" s="206" t="s">
        <v>50</v>
      </c>
      <c r="AE59" s="206" t="str">
        <f>IFERROR(VLOOKUP(Primary_Order[[#This Row],[AM]],SP!$E$19:$F$23,2,0),Primary_Order[[#This Row],[AM]])</f>
        <v>Northern</v>
      </c>
      <c r="AF59" s="206" t="str">
        <f>VLOOKUP(Primary_Order[[#This Row],[Product ID]],SKU[],10,0)</f>
        <v>Mineral</v>
      </c>
      <c r="AG59" s="206" t="str">
        <f>VLOOKUP(Primary_Order[[#This Row],[Product ID]],SKU[],9,0)</f>
        <v>MCO</v>
      </c>
      <c r="AH59" s="206" t="str">
        <f>VLOOKUP(Primary_Order[[#This Row],[Product ID]],SKU[],12,0)</f>
        <v>10W30</v>
      </c>
      <c r="AI59" s="206" t="str">
        <f>VLOOKUP(Primary_Order[[#This Row],[Product ID]],SKU[],13,0)</f>
        <v>3000</v>
      </c>
      <c r="AJ59" s="233">
        <f>VLOOKUP(Primary_Order[[#This Row],[Product ID]],SKU[[SKU ID]:[Bottle Size(Ltr)]],6,0)*Primary_Order[[#This Row],[Free Quantity]]</f>
        <v>0</v>
      </c>
      <c r="AK59" s="206" t="str">
        <f>VLOOKUP(Primary_Order[[#This Row],[Product ID]],SKU[[SKU ID]:[Bottle Size(Ltr)]],4,0)</f>
        <v>20x1.2L</v>
      </c>
      <c r="AL59" s="231">
        <f>VLOOKUP(Primary_Order[[#This Row],[Product ID]],SKU[],14,0)*Primary_Order[[#This Row],[Total Qty]]</f>
        <v>8778</v>
      </c>
      <c r="AM59" s="231">
        <f>IF(Primary_Order[[#This Row],[Cost]]=0,0,Primary_Order[[#This Row],[Net Total(-15%)]]-Primary_Order[[#This Row],[Cost]])</f>
        <v>2352.434782608696</v>
      </c>
      <c r="AN59" s="206" t="str">
        <f>"O-"&amp;Primary_Order[[#This Row],[Date]]&amp;"-"&amp;Primary_Order[[#This Row],[MMD ID]]</f>
        <v>O-45671-D-0023</v>
      </c>
      <c r="AO59" s="206" t="str" cm="1">
        <f t="array" ref="AO5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0" spans="1:41" x14ac:dyDescent="0.5">
      <c r="A60" s="206" t="s">
        <v>1041</v>
      </c>
      <c r="B60" s="230">
        <v>45671</v>
      </c>
      <c r="C60" s="206" t="s">
        <v>108</v>
      </c>
      <c r="D60" s="206" t="s">
        <v>1034</v>
      </c>
      <c r="E60" s="206" t="s">
        <v>1326</v>
      </c>
      <c r="F60" s="206" t="s">
        <v>1035</v>
      </c>
      <c r="G60" s="206" t="s">
        <v>280</v>
      </c>
      <c r="H60" s="206" t="s">
        <v>84</v>
      </c>
      <c r="I60" s="206" t="s">
        <v>109</v>
      </c>
      <c r="J60" s="206" t="s">
        <v>282</v>
      </c>
      <c r="K60" s="206" t="s">
        <v>33</v>
      </c>
      <c r="L60" s="206" t="str">
        <f>VLOOKUP(Primary_Order[[#This Row],[Product ID]],SKU[],3,0)</f>
        <v>3000 4T PLUS 20W40</v>
      </c>
      <c r="M60" s="231">
        <v>20</v>
      </c>
      <c r="N60" s="231">
        <v>640</v>
      </c>
      <c r="O60" s="231">
        <v>24</v>
      </c>
      <c r="P60" s="232"/>
      <c r="Q60" s="231">
        <v>0</v>
      </c>
      <c r="R60" s="231">
        <v>640</v>
      </c>
      <c r="S60" s="231">
        <v>20</v>
      </c>
      <c r="T60" s="231">
        <v>24</v>
      </c>
      <c r="U60" s="231">
        <v>12800</v>
      </c>
      <c r="V60" s="231">
        <v>0</v>
      </c>
      <c r="W60" s="231">
        <v>12800</v>
      </c>
      <c r="X60" s="231">
        <v>1669.5652173913043</v>
      </c>
      <c r="Y60" s="231">
        <v>11130.434782608696</v>
      </c>
      <c r="Z60" s="206" t="s">
        <v>882</v>
      </c>
      <c r="AA60" s="206">
        <v>588</v>
      </c>
      <c r="AB60" s="206" t="s">
        <v>641</v>
      </c>
      <c r="AC60" s="230">
        <v>45672</v>
      </c>
      <c r="AD60" s="206" t="s">
        <v>50</v>
      </c>
      <c r="AE60" s="206" t="str">
        <f>IFERROR(VLOOKUP(Primary_Order[[#This Row],[AM]],SP!$E$19:$F$23,2,0),Primary_Order[[#This Row],[AM]])</f>
        <v>Northern</v>
      </c>
      <c r="AF60" s="206" t="str">
        <f>VLOOKUP(Primary_Order[[#This Row],[Product ID]],SKU[],10,0)</f>
        <v>Mineral</v>
      </c>
      <c r="AG60" s="206" t="str">
        <f>VLOOKUP(Primary_Order[[#This Row],[Product ID]],SKU[],9,0)</f>
        <v>MCO</v>
      </c>
      <c r="AH60" s="206" t="str">
        <f>VLOOKUP(Primary_Order[[#This Row],[Product ID]],SKU[],12,0)</f>
        <v>20W40</v>
      </c>
      <c r="AI60" s="206" t="str">
        <f>VLOOKUP(Primary_Order[[#This Row],[Product ID]],SKU[],13,0)</f>
        <v>3000</v>
      </c>
      <c r="AJ60" s="233">
        <f>VLOOKUP(Primary_Order[[#This Row],[Product ID]],SKU[[SKU ID]:[Bottle Size(Ltr)]],6,0)*Primary_Order[[#This Row],[Free Quantity]]</f>
        <v>0</v>
      </c>
      <c r="AK60" s="206" t="str">
        <f>VLOOKUP(Primary_Order[[#This Row],[Product ID]],SKU[[SKU ID]:[Bottle Size(Ltr)]],4,0)</f>
        <v>20x1.2L</v>
      </c>
      <c r="AL60" s="231">
        <f>VLOOKUP(Primary_Order[[#This Row],[Product ID]],SKU[],14,0)*Primary_Order[[#This Row],[Total Qty]]</f>
        <v>9397.9559070121941</v>
      </c>
      <c r="AM60" s="231">
        <f>IF(Primary_Order[[#This Row],[Cost]]=0,0,Primary_Order[[#This Row],[Net Total(-15%)]]-Primary_Order[[#This Row],[Cost]])</f>
        <v>1732.4788755965019</v>
      </c>
      <c r="AN60" s="206" t="str">
        <f>"O-"&amp;Primary_Order[[#This Row],[Date]]&amp;"-"&amp;Primary_Order[[#This Row],[MMD ID]]</f>
        <v>O-45671-D-0023</v>
      </c>
      <c r="AO60" s="206" t="str" cm="1">
        <f t="array" ref="AO6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1" spans="1:41" x14ac:dyDescent="0.5">
      <c r="A61" s="206" t="s">
        <v>1041</v>
      </c>
      <c r="B61" s="230">
        <v>45671</v>
      </c>
      <c r="C61" s="206" t="s">
        <v>108</v>
      </c>
      <c r="D61" s="206" t="s">
        <v>1034</v>
      </c>
      <c r="E61" s="206" t="s">
        <v>1326</v>
      </c>
      <c r="F61" s="206" t="s">
        <v>1035</v>
      </c>
      <c r="G61" s="206" t="s">
        <v>280</v>
      </c>
      <c r="H61" s="206" t="s">
        <v>84</v>
      </c>
      <c r="I61" s="206" t="s">
        <v>109</v>
      </c>
      <c r="J61" s="206" t="s">
        <v>282</v>
      </c>
      <c r="K61" s="206" t="s">
        <v>56</v>
      </c>
      <c r="L61" s="206" t="str">
        <f>VLOOKUP(Primary_Order[[#This Row],[Product ID]],SKU[],3,0)</f>
        <v>7100 4T 10W30 ESTER CORE®</v>
      </c>
      <c r="M61" s="231">
        <v>12</v>
      </c>
      <c r="N61" s="231">
        <v>1060</v>
      </c>
      <c r="O61" s="231">
        <v>12</v>
      </c>
      <c r="P61" s="232"/>
      <c r="Q61" s="231">
        <v>0</v>
      </c>
      <c r="R61" s="231">
        <v>1060</v>
      </c>
      <c r="S61" s="231">
        <v>12</v>
      </c>
      <c r="T61" s="231">
        <v>12</v>
      </c>
      <c r="U61" s="231">
        <v>12720</v>
      </c>
      <c r="V61" s="231">
        <v>0</v>
      </c>
      <c r="W61" s="231">
        <v>12720</v>
      </c>
      <c r="X61" s="231">
        <v>1659.1304347826087</v>
      </c>
      <c r="Y61" s="231">
        <v>11060.869565217392</v>
      </c>
      <c r="Z61" s="206" t="s">
        <v>882</v>
      </c>
      <c r="AA61" s="206">
        <v>588</v>
      </c>
      <c r="AB61" s="206" t="s">
        <v>641</v>
      </c>
      <c r="AC61" s="230">
        <v>45672</v>
      </c>
      <c r="AD61" s="206" t="s">
        <v>50</v>
      </c>
      <c r="AE61" s="206" t="str">
        <f>IFERROR(VLOOKUP(Primary_Order[[#This Row],[AM]],SP!$E$19:$F$23,2,0),Primary_Order[[#This Row],[AM]])</f>
        <v>Northern</v>
      </c>
      <c r="AF61" s="206" t="str">
        <f>VLOOKUP(Primary_Order[[#This Row],[Product ID]],SKU[],10,0)</f>
        <v>Synthetic</v>
      </c>
      <c r="AG61" s="206" t="str">
        <f>VLOOKUP(Primary_Order[[#This Row],[Product ID]],SKU[],9,0)</f>
        <v>MCO</v>
      </c>
      <c r="AH61" s="206" t="str">
        <f>VLOOKUP(Primary_Order[[#This Row],[Product ID]],SKU[],12,0)</f>
        <v>10W30</v>
      </c>
      <c r="AI61" s="206" t="str">
        <f>VLOOKUP(Primary_Order[[#This Row],[Product ID]],SKU[],13,0)</f>
        <v>7100</v>
      </c>
      <c r="AJ61" s="233">
        <f>VLOOKUP(Primary_Order[[#This Row],[Product ID]],SKU[[SKU ID]:[Bottle Size(Ltr)]],6,0)*Primary_Order[[#This Row],[Free Quantity]]</f>
        <v>0</v>
      </c>
      <c r="AK61" s="206" t="str">
        <f>VLOOKUP(Primary_Order[[#This Row],[Product ID]],SKU[[SKU ID]:[Bottle Size(Ltr)]],4,0)</f>
        <v>12x1L</v>
      </c>
      <c r="AL61" s="231">
        <f>VLOOKUP(Primary_Order[[#This Row],[Product ID]],SKU[],14,0)*Primary_Order[[#This Row],[Total Qty]]</f>
        <v>8278.32</v>
      </c>
      <c r="AM61" s="231">
        <f>IF(Primary_Order[[#This Row],[Cost]]=0,0,Primary_Order[[#This Row],[Net Total(-15%)]]-Primary_Order[[#This Row],[Cost]])</f>
        <v>2782.5495652173922</v>
      </c>
      <c r="AN61" s="206" t="str">
        <f>"O-"&amp;Primary_Order[[#This Row],[Date]]&amp;"-"&amp;Primary_Order[[#This Row],[MMD ID]]</f>
        <v>O-45671-D-0023</v>
      </c>
      <c r="AO61" s="206" t="str" cm="1">
        <f t="array" ref="AO6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2" spans="1:41" x14ac:dyDescent="0.5">
      <c r="A62" s="206" t="s">
        <v>1041</v>
      </c>
      <c r="B62" s="230">
        <v>45671</v>
      </c>
      <c r="C62" s="206" t="s">
        <v>108</v>
      </c>
      <c r="D62" s="206" t="s">
        <v>1034</v>
      </c>
      <c r="E62" s="206" t="s">
        <v>1326</v>
      </c>
      <c r="F62" s="206" t="s">
        <v>1035</v>
      </c>
      <c r="G62" s="206" t="s">
        <v>280</v>
      </c>
      <c r="H62" s="206" t="s">
        <v>84</v>
      </c>
      <c r="I62" s="206" t="s">
        <v>109</v>
      </c>
      <c r="J62" s="206" t="s">
        <v>282</v>
      </c>
      <c r="K62" s="206" t="s">
        <v>58</v>
      </c>
      <c r="L62" s="206" t="str">
        <f>VLOOKUP(Primary_Order[[#This Row],[Product ID]],SKU[],3,0)</f>
        <v>7100 4T 20W50 ESTER CORE®</v>
      </c>
      <c r="M62" s="231">
        <v>12</v>
      </c>
      <c r="N62" s="231">
        <v>1070</v>
      </c>
      <c r="O62" s="231">
        <v>12</v>
      </c>
      <c r="P62" s="232"/>
      <c r="Q62" s="231">
        <v>0</v>
      </c>
      <c r="R62" s="231">
        <v>1070</v>
      </c>
      <c r="S62" s="231">
        <v>12</v>
      </c>
      <c r="T62" s="231">
        <v>12</v>
      </c>
      <c r="U62" s="231">
        <v>12840</v>
      </c>
      <c r="V62" s="231">
        <v>0</v>
      </c>
      <c r="W62" s="231">
        <v>12840</v>
      </c>
      <c r="X62" s="231">
        <v>1674.7826086956522</v>
      </c>
      <c r="Y62" s="231">
        <v>11165.217391304348</v>
      </c>
      <c r="Z62" s="206" t="s">
        <v>882</v>
      </c>
      <c r="AA62" s="206">
        <v>588</v>
      </c>
      <c r="AB62" s="206" t="s">
        <v>641</v>
      </c>
      <c r="AC62" s="230">
        <v>45672</v>
      </c>
      <c r="AD62" s="206" t="s">
        <v>50</v>
      </c>
      <c r="AE62" s="206" t="str">
        <f>IFERROR(VLOOKUP(Primary_Order[[#This Row],[AM]],SP!$E$19:$F$23,2,0),Primary_Order[[#This Row],[AM]])</f>
        <v>Northern</v>
      </c>
      <c r="AF62" s="206" t="str">
        <f>VLOOKUP(Primary_Order[[#This Row],[Product ID]],SKU[],10,0)</f>
        <v>Synthetic</v>
      </c>
      <c r="AG62" s="206" t="str">
        <f>VLOOKUP(Primary_Order[[#This Row],[Product ID]],SKU[],9,0)</f>
        <v>MCO</v>
      </c>
      <c r="AH62" s="206" t="str">
        <f>VLOOKUP(Primary_Order[[#This Row],[Product ID]],SKU[],12,0)</f>
        <v>20W50</v>
      </c>
      <c r="AI62" s="206" t="str">
        <f>VLOOKUP(Primary_Order[[#This Row],[Product ID]],SKU[],13,0)</f>
        <v>7100</v>
      </c>
      <c r="AJ62" s="233">
        <f>VLOOKUP(Primary_Order[[#This Row],[Product ID]],SKU[[SKU ID]:[Bottle Size(Ltr)]],6,0)*Primary_Order[[#This Row],[Free Quantity]]</f>
        <v>0</v>
      </c>
      <c r="AK62" s="206" t="str">
        <f>VLOOKUP(Primary_Order[[#This Row],[Product ID]],SKU[[SKU ID]:[Bottle Size(Ltr)]],4,0)</f>
        <v>12x1L</v>
      </c>
      <c r="AL62" s="231">
        <f>VLOOKUP(Primary_Order[[#This Row],[Product ID]],SKU[],14,0)*Primary_Order[[#This Row],[Total Qty]]</f>
        <v>9164.380799999999</v>
      </c>
      <c r="AM62" s="231">
        <f>IF(Primary_Order[[#This Row],[Cost]]=0,0,Primary_Order[[#This Row],[Net Total(-15%)]]-Primary_Order[[#This Row],[Cost]])</f>
        <v>2000.836591304349</v>
      </c>
      <c r="AN62" s="206" t="str">
        <f>"O-"&amp;Primary_Order[[#This Row],[Date]]&amp;"-"&amp;Primary_Order[[#This Row],[MMD ID]]</f>
        <v>O-45671-D-0023</v>
      </c>
      <c r="AO62" s="206" t="str" cm="1">
        <f t="array" ref="AO6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3" spans="1:41" x14ac:dyDescent="0.5">
      <c r="A63" s="206" t="s">
        <v>1041</v>
      </c>
      <c r="B63" s="230">
        <v>45671</v>
      </c>
      <c r="C63" s="206" t="s">
        <v>108</v>
      </c>
      <c r="D63" s="206" t="s">
        <v>1034</v>
      </c>
      <c r="E63" s="206" t="s">
        <v>1326</v>
      </c>
      <c r="F63" s="206" t="s">
        <v>1035</v>
      </c>
      <c r="G63" s="206" t="s">
        <v>280</v>
      </c>
      <c r="H63" s="206" t="s">
        <v>84</v>
      </c>
      <c r="I63" s="206" t="s">
        <v>109</v>
      </c>
      <c r="J63" s="206" t="s">
        <v>282</v>
      </c>
      <c r="K63" s="206" t="s">
        <v>99</v>
      </c>
      <c r="L63" s="206" t="str">
        <f>VLOOKUP(Primary_Order[[#This Row],[Product ID]],SKU[],3,0)</f>
        <v>3000 4T 20W50</v>
      </c>
      <c r="M63" s="231">
        <v>20</v>
      </c>
      <c r="N63" s="231">
        <v>595</v>
      </c>
      <c r="O63" s="231">
        <v>24</v>
      </c>
      <c r="P63" s="232"/>
      <c r="Q63" s="231">
        <v>0</v>
      </c>
      <c r="R63" s="231">
        <v>595</v>
      </c>
      <c r="S63" s="231">
        <v>20</v>
      </c>
      <c r="T63" s="231">
        <v>24</v>
      </c>
      <c r="U63" s="231">
        <v>11900</v>
      </c>
      <c r="V63" s="231">
        <v>0</v>
      </c>
      <c r="W63" s="231">
        <v>11900</v>
      </c>
      <c r="X63" s="231">
        <v>1552.1739130434783</v>
      </c>
      <c r="Y63" s="231">
        <v>10347.826086956522</v>
      </c>
      <c r="Z63" s="206" t="s">
        <v>882</v>
      </c>
      <c r="AA63" s="206">
        <v>588</v>
      </c>
      <c r="AB63" s="206" t="s">
        <v>641</v>
      </c>
      <c r="AC63" s="230">
        <v>45672</v>
      </c>
      <c r="AD63" s="206" t="s">
        <v>50</v>
      </c>
      <c r="AE63" s="206" t="str">
        <f>IFERROR(VLOOKUP(Primary_Order[[#This Row],[AM]],SP!$E$19:$F$23,2,0),Primary_Order[[#This Row],[AM]])</f>
        <v>Northern</v>
      </c>
      <c r="AF63" s="206" t="str">
        <f>VLOOKUP(Primary_Order[[#This Row],[Product ID]],SKU[],10,0)</f>
        <v>Mineral</v>
      </c>
      <c r="AG63" s="206" t="str">
        <f>VLOOKUP(Primary_Order[[#This Row],[Product ID]],SKU[],9,0)</f>
        <v>MCO</v>
      </c>
      <c r="AH63" s="206" t="str">
        <f>VLOOKUP(Primary_Order[[#This Row],[Product ID]],SKU[],12,0)</f>
        <v>20W50</v>
      </c>
      <c r="AI63" s="206" t="str">
        <f>VLOOKUP(Primary_Order[[#This Row],[Product ID]],SKU[],13,0)</f>
        <v>3000</v>
      </c>
      <c r="AJ63" s="233">
        <f>VLOOKUP(Primary_Order[[#This Row],[Product ID]],SKU[[SKU ID]:[Bottle Size(Ltr)]],6,0)*Primary_Order[[#This Row],[Free Quantity]]</f>
        <v>0</v>
      </c>
      <c r="AK63" s="206" t="str">
        <f>VLOOKUP(Primary_Order[[#This Row],[Product ID]],SKU[[SKU ID]:[Bottle Size(Ltr)]],4,0)</f>
        <v>20x1.2L</v>
      </c>
      <c r="AL63" s="231">
        <f>VLOOKUP(Primary_Order[[#This Row],[Product ID]],SKU[],14,0)*Primary_Order[[#This Row],[Total Qty]]</f>
        <v>8692.2000000000007</v>
      </c>
      <c r="AM63" s="231">
        <f>IF(Primary_Order[[#This Row],[Cost]]=0,0,Primary_Order[[#This Row],[Net Total(-15%)]]-Primary_Order[[#This Row],[Cost]])</f>
        <v>1655.6260869565212</v>
      </c>
      <c r="AN63" s="206" t="str">
        <f>"O-"&amp;Primary_Order[[#This Row],[Date]]&amp;"-"&amp;Primary_Order[[#This Row],[MMD ID]]</f>
        <v>O-45671-D-0023</v>
      </c>
      <c r="AO63" s="206" t="str" cm="1">
        <f t="array" ref="AO6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4" spans="1:41" x14ac:dyDescent="0.5">
      <c r="A64" s="206" t="s">
        <v>1042</v>
      </c>
      <c r="B64" s="230">
        <v>45671</v>
      </c>
      <c r="C64" s="206" t="s">
        <v>108</v>
      </c>
      <c r="D64" s="206" t="s">
        <v>1036</v>
      </c>
      <c r="E64" s="206" t="s">
        <v>1037</v>
      </c>
      <c r="F64" s="206">
        <v>1780903329</v>
      </c>
      <c r="G64" s="206" t="s">
        <v>280</v>
      </c>
      <c r="H64" s="206" t="s">
        <v>84</v>
      </c>
      <c r="I64" s="206" t="s">
        <v>109</v>
      </c>
      <c r="J64" s="206" t="s">
        <v>282</v>
      </c>
      <c r="K64" s="206" t="s">
        <v>31</v>
      </c>
      <c r="L64" s="206" t="str">
        <f>VLOOKUP(Primary_Order[[#This Row],[Product ID]],SKU[],3,0)</f>
        <v>3000 4T PLUS 10W30</v>
      </c>
      <c r="M64" s="231">
        <v>60</v>
      </c>
      <c r="N64" s="231">
        <v>530</v>
      </c>
      <c r="O64" s="231">
        <v>60</v>
      </c>
      <c r="P64" s="232"/>
      <c r="Q64" s="231">
        <v>0</v>
      </c>
      <c r="R64" s="231">
        <v>530</v>
      </c>
      <c r="S64" s="231">
        <v>60</v>
      </c>
      <c r="T64" s="231">
        <v>60</v>
      </c>
      <c r="U64" s="231">
        <v>31800</v>
      </c>
      <c r="V64" s="231">
        <v>0</v>
      </c>
      <c r="W64" s="231">
        <v>31800</v>
      </c>
      <c r="X64" s="231">
        <v>4147.826086956522</v>
      </c>
      <c r="Y64" s="231">
        <v>27652.17391304348</v>
      </c>
      <c r="Z64" s="206" t="s">
        <v>882</v>
      </c>
      <c r="AA64" s="206">
        <v>589</v>
      </c>
      <c r="AB64" s="206" t="s">
        <v>641</v>
      </c>
      <c r="AC64" s="230">
        <v>45672</v>
      </c>
      <c r="AD64" s="206" t="s">
        <v>50</v>
      </c>
      <c r="AE64" s="206" t="str">
        <f>IFERROR(VLOOKUP(Primary_Order[[#This Row],[AM]],SP!$E$19:$F$23,2,0),Primary_Order[[#This Row],[AM]])</f>
        <v>Northern</v>
      </c>
      <c r="AF64" s="206" t="str">
        <f>VLOOKUP(Primary_Order[[#This Row],[Product ID]],SKU[],10,0)</f>
        <v>Mineral</v>
      </c>
      <c r="AG64" s="206" t="str">
        <f>VLOOKUP(Primary_Order[[#This Row],[Product ID]],SKU[],9,0)</f>
        <v>MCO</v>
      </c>
      <c r="AH64" s="206" t="str">
        <f>VLOOKUP(Primary_Order[[#This Row],[Product ID]],SKU[],12,0)</f>
        <v>10W30</v>
      </c>
      <c r="AI64" s="206" t="str">
        <f>VLOOKUP(Primary_Order[[#This Row],[Product ID]],SKU[],13,0)</f>
        <v>3000</v>
      </c>
      <c r="AJ64" s="233">
        <f>VLOOKUP(Primary_Order[[#This Row],[Product ID]],SKU[[SKU ID]:[Bottle Size(Ltr)]],6,0)*Primary_Order[[#This Row],[Free Quantity]]</f>
        <v>0</v>
      </c>
      <c r="AK64" s="206" t="str">
        <f>VLOOKUP(Primary_Order[[#This Row],[Product ID]],SKU[[SKU ID]:[Bottle Size(Ltr)]],4,0)</f>
        <v>20x1L</v>
      </c>
      <c r="AL64" s="231">
        <f>VLOOKUP(Primary_Order[[#This Row],[Product ID]],SKU[],14,0)*Primary_Order[[#This Row],[Total Qty]]</f>
        <v>22759.8</v>
      </c>
      <c r="AM64" s="231">
        <f>IF(Primary_Order[[#This Row],[Cost]]=0,0,Primary_Order[[#This Row],[Net Total(-15%)]]-Primary_Order[[#This Row],[Cost]])</f>
        <v>4892.3739130434806</v>
      </c>
      <c r="AN64" s="206" t="str">
        <f>"O-"&amp;Primary_Order[[#This Row],[Date]]&amp;"-"&amp;Primary_Order[[#This Row],[MMD ID]]</f>
        <v>O-45671-D-0023</v>
      </c>
      <c r="AO64" s="206" t="str" cm="1">
        <f t="array" ref="AO6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5" spans="1:41" x14ac:dyDescent="0.5">
      <c r="A65" s="206" t="s">
        <v>1042</v>
      </c>
      <c r="B65" s="230">
        <v>45671</v>
      </c>
      <c r="C65" s="206" t="s">
        <v>108</v>
      </c>
      <c r="D65" s="206" t="s">
        <v>1036</v>
      </c>
      <c r="E65" s="206" t="s">
        <v>1037</v>
      </c>
      <c r="F65" s="206">
        <v>1780903329</v>
      </c>
      <c r="G65" s="206" t="s">
        <v>280</v>
      </c>
      <c r="H65" s="206" t="s">
        <v>84</v>
      </c>
      <c r="I65" s="206" t="s">
        <v>109</v>
      </c>
      <c r="J65" s="206" t="s">
        <v>282</v>
      </c>
      <c r="K65" s="206" t="s">
        <v>54</v>
      </c>
      <c r="L65" s="206" t="str">
        <f>VLOOKUP(Primary_Order[[#This Row],[Product ID]],SKU[],3,0)</f>
        <v>3000 4T PLUS 10W40</v>
      </c>
      <c r="M65" s="231">
        <v>200</v>
      </c>
      <c r="N65" s="231">
        <v>535</v>
      </c>
      <c r="O65" s="231">
        <v>200</v>
      </c>
      <c r="P65" s="232"/>
      <c r="Q65" s="231">
        <v>0</v>
      </c>
      <c r="R65" s="231">
        <v>535</v>
      </c>
      <c r="S65" s="231">
        <v>200</v>
      </c>
      <c r="T65" s="231">
        <v>200</v>
      </c>
      <c r="U65" s="231">
        <v>107000</v>
      </c>
      <c r="V65" s="231">
        <v>0</v>
      </c>
      <c r="W65" s="231">
        <v>107000</v>
      </c>
      <c r="X65" s="231">
        <v>13956.521739130434</v>
      </c>
      <c r="Y65" s="231">
        <v>93043.478260869568</v>
      </c>
      <c r="Z65" s="206" t="s">
        <v>882</v>
      </c>
      <c r="AA65" s="206">
        <v>589</v>
      </c>
      <c r="AB65" s="206" t="s">
        <v>641</v>
      </c>
      <c r="AC65" s="230">
        <v>45672</v>
      </c>
      <c r="AD65" s="206" t="s">
        <v>50</v>
      </c>
      <c r="AE65" s="206" t="str">
        <f>IFERROR(VLOOKUP(Primary_Order[[#This Row],[AM]],SP!$E$19:$F$23,2,0),Primary_Order[[#This Row],[AM]])</f>
        <v>Northern</v>
      </c>
      <c r="AF65" s="206" t="str">
        <f>VLOOKUP(Primary_Order[[#This Row],[Product ID]],SKU[],10,0)</f>
        <v>Mineral</v>
      </c>
      <c r="AG65" s="206" t="str">
        <f>VLOOKUP(Primary_Order[[#This Row],[Product ID]],SKU[],9,0)</f>
        <v>MCO</v>
      </c>
      <c r="AH65" s="206" t="str">
        <f>VLOOKUP(Primary_Order[[#This Row],[Product ID]],SKU[],12,0)</f>
        <v>10W40</v>
      </c>
      <c r="AI65" s="206" t="str">
        <f>VLOOKUP(Primary_Order[[#This Row],[Product ID]],SKU[],13,0)</f>
        <v>3000</v>
      </c>
      <c r="AJ65" s="233">
        <f>VLOOKUP(Primary_Order[[#This Row],[Product ID]],SKU[[SKU ID]:[Bottle Size(Ltr)]],6,0)*Primary_Order[[#This Row],[Free Quantity]]</f>
        <v>0</v>
      </c>
      <c r="AK65" s="206" t="str">
        <f>VLOOKUP(Primary_Order[[#This Row],[Product ID]],SKU[[SKU ID]:[Bottle Size(Ltr)]],4,0)</f>
        <v>20x1L</v>
      </c>
      <c r="AL65" s="231">
        <f>VLOOKUP(Primary_Order[[#This Row],[Product ID]],SKU[],14,0)*Primary_Order[[#This Row],[Total Qty]]</f>
        <v>76970</v>
      </c>
      <c r="AM65" s="231">
        <f>IF(Primary_Order[[#This Row],[Cost]]=0,0,Primary_Order[[#This Row],[Net Total(-15%)]]-Primary_Order[[#This Row],[Cost]])</f>
        <v>16073.478260869568</v>
      </c>
      <c r="AN65" s="206" t="str">
        <f>"O-"&amp;Primary_Order[[#This Row],[Date]]&amp;"-"&amp;Primary_Order[[#This Row],[MMD ID]]</f>
        <v>O-45671-D-0023</v>
      </c>
      <c r="AO65" s="206" t="str" cm="1">
        <f t="array" ref="AO6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6" spans="1:41" x14ac:dyDescent="0.5">
      <c r="A66" s="206" t="s">
        <v>1042</v>
      </c>
      <c r="B66" s="230">
        <v>45671</v>
      </c>
      <c r="C66" s="206" t="s">
        <v>108</v>
      </c>
      <c r="D66" s="206" t="s">
        <v>1036</v>
      </c>
      <c r="E66" s="206" t="s">
        <v>1037</v>
      </c>
      <c r="F66" s="206">
        <v>1780903329</v>
      </c>
      <c r="G66" s="206" t="s">
        <v>280</v>
      </c>
      <c r="H66" s="206" t="s">
        <v>84</v>
      </c>
      <c r="I66" s="206" t="s">
        <v>109</v>
      </c>
      <c r="J66" s="206" t="s">
        <v>282</v>
      </c>
      <c r="K66" s="206" t="s">
        <v>32</v>
      </c>
      <c r="L66" s="206" t="str">
        <f>VLOOKUP(Primary_Order[[#This Row],[Product ID]],SKU[],3,0)</f>
        <v>3000 4T PLUS 10W30</v>
      </c>
      <c r="M66" s="231">
        <v>40</v>
      </c>
      <c r="N66" s="231">
        <v>640</v>
      </c>
      <c r="O66" s="231">
        <v>48</v>
      </c>
      <c r="P66" s="232"/>
      <c r="Q66" s="231">
        <v>0</v>
      </c>
      <c r="R66" s="231">
        <v>640</v>
      </c>
      <c r="S66" s="231">
        <v>40</v>
      </c>
      <c r="T66" s="231">
        <v>48</v>
      </c>
      <c r="U66" s="231">
        <v>25600</v>
      </c>
      <c r="V66" s="231">
        <v>0</v>
      </c>
      <c r="W66" s="231">
        <v>25600</v>
      </c>
      <c r="X66" s="231">
        <v>3339.1304347826085</v>
      </c>
      <c r="Y66" s="231">
        <v>22260.869565217392</v>
      </c>
      <c r="Z66" s="206" t="s">
        <v>882</v>
      </c>
      <c r="AA66" s="206">
        <v>589</v>
      </c>
      <c r="AB66" s="206" t="s">
        <v>641</v>
      </c>
      <c r="AC66" s="230">
        <v>45672</v>
      </c>
      <c r="AD66" s="206" t="s">
        <v>50</v>
      </c>
      <c r="AE66" s="206" t="str">
        <f>IFERROR(VLOOKUP(Primary_Order[[#This Row],[AM]],SP!$E$19:$F$23,2,0),Primary_Order[[#This Row],[AM]])</f>
        <v>Northern</v>
      </c>
      <c r="AF66" s="206" t="str">
        <f>VLOOKUP(Primary_Order[[#This Row],[Product ID]],SKU[],10,0)</f>
        <v>Mineral</v>
      </c>
      <c r="AG66" s="206" t="str">
        <f>VLOOKUP(Primary_Order[[#This Row],[Product ID]],SKU[],9,0)</f>
        <v>MCO</v>
      </c>
      <c r="AH66" s="206" t="str">
        <f>VLOOKUP(Primary_Order[[#This Row],[Product ID]],SKU[],12,0)</f>
        <v>10W30</v>
      </c>
      <c r="AI66" s="206" t="str">
        <f>VLOOKUP(Primary_Order[[#This Row],[Product ID]],SKU[],13,0)</f>
        <v>3000</v>
      </c>
      <c r="AJ66" s="233">
        <f>VLOOKUP(Primary_Order[[#This Row],[Product ID]],SKU[[SKU ID]:[Bottle Size(Ltr)]],6,0)*Primary_Order[[#This Row],[Free Quantity]]</f>
        <v>0</v>
      </c>
      <c r="AK66" s="206" t="str">
        <f>VLOOKUP(Primary_Order[[#This Row],[Product ID]],SKU[[SKU ID]:[Bottle Size(Ltr)]],4,0)</f>
        <v>20x1.2L</v>
      </c>
      <c r="AL66" s="231">
        <f>VLOOKUP(Primary_Order[[#This Row],[Product ID]],SKU[],14,0)*Primary_Order[[#This Row],[Total Qty]]</f>
        <v>17556</v>
      </c>
      <c r="AM66" s="231">
        <f>IF(Primary_Order[[#This Row],[Cost]]=0,0,Primary_Order[[#This Row],[Net Total(-15%)]]-Primary_Order[[#This Row],[Cost]])</f>
        <v>4704.8695652173919</v>
      </c>
      <c r="AN66" s="206" t="str">
        <f>"O-"&amp;Primary_Order[[#This Row],[Date]]&amp;"-"&amp;Primary_Order[[#This Row],[MMD ID]]</f>
        <v>O-45671-D-0023</v>
      </c>
      <c r="AO66" s="206" t="str" cm="1">
        <f t="array" ref="AO6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7" spans="1:41" x14ac:dyDescent="0.5">
      <c r="A67" s="206" t="s">
        <v>1042</v>
      </c>
      <c r="B67" s="230">
        <v>45671</v>
      </c>
      <c r="C67" s="206" t="s">
        <v>108</v>
      </c>
      <c r="D67" s="206" t="s">
        <v>1036</v>
      </c>
      <c r="E67" s="206" t="s">
        <v>1037</v>
      </c>
      <c r="F67" s="206">
        <v>1780903329</v>
      </c>
      <c r="G67" s="206" t="s">
        <v>280</v>
      </c>
      <c r="H67" s="206" t="s">
        <v>84</v>
      </c>
      <c r="I67" s="206" t="s">
        <v>109</v>
      </c>
      <c r="J67" s="206" t="s">
        <v>282</v>
      </c>
      <c r="K67" s="206" t="s">
        <v>75</v>
      </c>
      <c r="L67" s="206" t="str">
        <f>VLOOKUP(Primary_Order[[#This Row],[Product ID]],SKU[],3,0)</f>
        <v>31004T GOLD 20W50</v>
      </c>
      <c r="M67" s="231">
        <v>20</v>
      </c>
      <c r="N67" s="231">
        <v>600</v>
      </c>
      <c r="O67" s="231">
        <v>20</v>
      </c>
      <c r="P67" s="232"/>
      <c r="Q67" s="231">
        <v>0</v>
      </c>
      <c r="R67" s="231">
        <v>600</v>
      </c>
      <c r="S67" s="231">
        <v>20</v>
      </c>
      <c r="T67" s="231">
        <v>20</v>
      </c>
      <c r="U67" s="231">
        <v>12000</v>
      </c>
      <c r="V67" s="231">
        <v>0</v>
      </c>
      <c r="W67" s="231">
        <v>12000</v>
      </c>
      <c r="X67" s="231">
        <v>1565.2173913043478</v>
      </c>
      <c r="Y67" s="231">
        <v>10434.782608695652</v>
      </c>
      <c r="Z67" s="206" t="s">
        <v>882</v>
      </c>
      <c r="AA67" s="206">
        <v>589</v>
      </c>
      <c r="AB67" s="206" t="s">
        <v>641</v>
      </c>
      <c r="AC67" s="230">
        <v>45672</v>
      </c>
      <c r="AD67" s="206" t="s">
        <v>50</v>
      </c>
      <c r="AE67" s="206" t="str">
        <f>IFERROR(VLOOKUP(Primary_Order[[#This Row],[AM]],SP!$E$19:$F$23,2,0),Primary_Order[[#This Row],[AM]])</f>
        <v>Northern</v>
      </c>
      <c r="AF67" s="206" t="str">
        <f>VLOOKUP(Primary_Order[[#This Row],[Product ID]],SKU[],10,0)</f>
        <v>Technosynthese</v>
      </c>
      <c r="AG67" s="206" t="str">
        <f>VLOOKUP(Primary_Order[[#This Row],[Product ID]],SKU[],9,0)</f>
        <v>MCO</v>
      </c>
      <c r="AH67" s="206" t="str">
        <f>VLOOKUP(Primary_Order[[#This Row],[Product ID]],SKU[],12,0)</f>
        <v>20W50</v>
      </c>
      <c r="AI67" s="206" t="str">
        <f>VLOOKUP(Primary_Order[[#This Row],[Product ID]],SKU[],13,0)</f>
        <v>3100</v>
      </c>
      <c r="AJ67" s="233">
        <f>VLOOKUP(Primary_Order[[#This Row],[Product ID]],SKU[[SKU ID]:[Bottle Size(Ltr)]],6,0)*Primary_Order[[#This Row],[Free Quantity]]</f>
        <v>0</v>
      </c>
      <c r="AK67" s="206" t="str">
        <f>VLOOKUP(Primary_Order[[#This Row],[Product ID]],SKU[[SKU ID]:[Bottle Size(Ltr)]],4,0)</f>
        <v>20x1L</v>
      </c>
      <c r="AL67" s="231">
        <f>VLOOKUP(Primary_Order[[#This Row],[Product ID]],SKU[],14,0)*Primary_Order[[#This Row],[Total Qty]]</f>
        <v>9387.7999999999993</v>
      </c>
      <c r="AM67" s="231">
        <f>IF(Primary_Order[[#This Row],[Cost]]=0,0,Primary_Order[[#This Row],[Net Total(-15%)]]-Primary_Order[[#This Row],[Cost]])</f>
        <v>1046.9826086956527</v>
      </c>
      <c r="AN67" s="206" t="str">
        <f>"O-"&amp;Primary_Order[[#This Row],[Date]]&amp;"-"&amp;Primary_Order[[#This Row],[MMD ID]]</f>
        <v>O-45671-D-0023</v>
      </c>
      <c r="AO67" s="206" t="str" cm="1">
        <f t="array" ref="AO6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8" spans="1:41" x14ac:dyDescent="0.5">
      <c r="A68" s="206" t="s">
        <v>1042</v>
      </c>
      <c r="B68" s="230">
        <v>45671</v>
      </c>
      <c r="C68" s="206" t="s">
        <v>108</v>
      </c>
      <c r="D68" s="206" t="s">
        <v>1036</v>
      </c>
      <c r="E68" s="206" t="s">
        <v>1037</v>
      </c>
      <c r="F68" s="206">
        <v>1780903329</v>
      </c>
      <c r="G68" s="206" t="s">
        <v>280</v>
      </c>
      <c r="H68" s="206" t="s">
        <v>84</v>
      </c>
      <c r="I68" s="206" t="s">
        <v>109</v>
      </c>
      <c r="J68" s="206" t="s">
        <v>282</v>
      </c>
      <c r="K68" s="206" t="s">
        <v>81</v>
      </c>
      <c r="L68" s="206" t="str">
        <f>VLOOKUP(Primary_Order[[#This Row],[Product ID]],SKU[],3,0)</f>
        <v>3000 4T 20W50</v>
      </c>
      <c r="M68" s="231">
        <v>100</v>
      </c>
      <c r="N68" s="231">
        <v>488</v>
      </c>
      <c r="O68" s="231">
        <v>100</v>
      </c>
      <c r="P68" s="232"/>
      <c r="Q68" s="231">
        <v>0</v>
      </c>
      <c r="R68" s="231">
        <v>488</v>
      </c>
      <c r="S68" s="231">
        <v>100</v>
      </c>
      <c r="T68" s="231">
        <v>100</v>
      </c>
      <c r="U68" s="231">
        <v>48800</v>
      </c>
      <c r="V68" s="231">
        <v>0</v>
      </c>
      <c r="W68" s="231">
        <v>48800</v>
      </c>
      <c r="X68" s="231">
        <v>6365.217391304348</v>
      </c>
      <c r="Y68" s="231">
        <v>42434.782608695656</v>
      </c>
      <c r="Z68" s="206" t="s">
        <v>882</v>
      </c>
      <c r="AA68" s="206">
        <v>589</v>
      </c>
      <c r="AB68" s="206" t="s">
        <v>641</v>
      </c>
      <c r="AC68" s="230">
        <v>45672</v>
      </c>
      <c r="AD68" s="206" t="s">
        <v>50</v>
      </c>
      <c r="AE68" s="206" t="str">
        <f>IFERROR(VLOOKUP(Primary_Order[[#This Row],[AM]],SP!$E$19:$F$23,2,0),Primary_Order[[#This Row],[AM]])</f>
        <v>Northern</v>
      </c>
      <c r="AF68" s="206" t="str">
        <f>VLOOKUP(Primary_Order[[#This Row],[Product ID]],SKU[],10,0)</f>
        <v>Mineral</v>
      </c>
      <c r="AG68" s="206" t="str">
        <f>VLOOKUP(Primary_Order[[#This Row],[Product ID]],SKU[],9,0)</f>
        <v>MCO</v>
      </c>
      <c r="AH68" s="206" t="str">
        <f>VLOOKUP(Primary_Order[[#This Row],[Product ID]],SKU[],12,0)</f>
        <v>20W50</v>
      </c>
      <c r="AI68" s="206" t="str">
        <f>VLOOKUP(Primary_Order[[#This Row],[Product ID]],SKU[],13,0)</f>
        <v>3000</v>
      </c>
      <c r="AJ68" s="233">
        <f>VLOOKUP(Primary_Order[[#This Row],[Product ID]],SKU[[SKU ID]:[Bottle Size(Ltr)]],6,0)*Primary_Order[[#This Row],[Free Quantity]]</f>
        <v>0</v>
      </c>
      <c r="AK68" s="206" t="str">
        <f>VLOOKUP(Primary_Order[[#This Row],[Product ID]],SKU[[SKU ID]:[Bottle Size(Ltr)]],4,0)</f>
        <v>20x1L</v>
      </c>
      <c r="AL68" s="231">
        <f>VLOOKUP(Primary_Order[[#This Row],[Product ID]],SKU[],14,0)*Primary_Order[[#This Row],[Total Qty]]</f>
        <v>36492</v>
      </c>
      <c r="AM68" s="231">
        <f>IF(Primary_Order[[#This Row],[Cost]]=0,0,Primary_Order[[#This Row],[Net Total(-15%)]]-Primary_Order[[#This Row],[Cost]])</f>
        <v>5942.7826086956557</v>
      </c>
      <c r="AN68" s="206" t="str">
        <f>"O-"&amp;Primary_Order[[#This Row],[Date]]&amp;"-"&amp;Primary_Order[[#This Row],[MMD ID]]</f>
        <v>O-45671-D-0023</v>
      </c>
      <c r="AO68" s="206" t="str" cm="1">
        <f t="array" ref="AO6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69" spans="1:41" x14ac:dyDescent="0.5">
      <c r="A69" s="206" t="s">
        <v>1043</v>
      </c>
      <c r="B69" s="230">
        <v>45671</v>
      </c>
      <c r="C69" s="206" t="s">
        <v>108</v>
      </c>
      <c r="D69" s="206" t="s">
        <v>1036</v>
      </c>
      <c r="E69" s="206" t="s">
        <v>1037</v>
      </c>
      <c r="F69" s="206">
        <v>1780903329</v>
      </c>
      <c r="G69" s="206" t="s">
        <v>280</v>
      </c>
      <c r="H69" s="206" t="s">
        <v>84</v>
      </c>
      <c r="I69" s="206" t="s">
        <v>109</v>
      </c>
      <c r="J69" s="206" t="s">
        <v>282</v>
      </c>
      <c r="K69" s="206" t="s">
        <v>104</v>
      </c>
      <c r="L69" s="206" t="str">
        <f>VLOOKUP(Primary_Order[[#This Row],[Product ID]],SKU[],3,0)</f>
        <v>Engine Flush</v>
      </c>
      <c r="M69" s="231">
        <v>12</v>
      </c>
      <c r="N69" s="231">
        <v>0</v>
      </c>
      <c r="O69" s="231">
        <v>0.60000000000000009</v>
      </c>
      <c r="P69" s="232"/>
      <c r="Q69" s="231">
        <v>0</v>
      </c>
      <c r="R69" s="231">
        <v>0</v>
      </c>
      <c r="S69" s="231">
        <v>12</v>
      </c>
      <c r="T69" s="231">
        <v>0.60000000000000009</v>
      </c>
      <c r="U69" s="231">
        <v>0</v>
      </c>
      <c r="V69" s="231">
        <v>0</v>
      </c>
      <c r="W69" s="231">
        <v>0</v>
      </c>
      <c r="X69" s="231">
        <v>0</v>
      </c>
      <c r="Y69" s="231">
        <v>0</v>
      </c>
      <c r="Z69" s="206" t="s">
        <v>1044</v>
      </c>
      <c r="AA69" s="206">
        <v>590</v>
      </c>
      <c r="AB69" s="206" t="s">
        <v>641</v>
      </c>
      <c r="AC69" s="230">
        <v>45672</v>
      </c>
      <c r="AD69" s="206" t="s">
        <v>50</v>
      </c>
      <c r="AE69" s="206" t="str">
        <f>IFERROR(VLOOKUP(Primary_Order[[#This Row],[AM]],SP!$E$19:$F$23,2,0),Primary_Order[[#This Row],[AM]])</f>
        <v>Northern</v>
      </c>
      <c r="AF69" s="206" t="str">
        <f>VLOOKUP(Primary_Order[[#This Row],[Product ID]],SKU[],10,0)</f>
        <v>Care Products</v>
      </c>
      <c r="AG69" s="206" t="str">
        <f>VLOOKUP(Primary_Order[[#This Row],[Product ID]],SKU[],9,0)</f>
        <v>Care Products</v>
      </c>
      <c r="AH69" s="206" t="str">
        <f>VLOOKUP(Primary_Order[[#This Row],[Product ID]],SKU[],12,0)</f>
        <v>Care Products</v>
      </c>
      <c r="AI69" s="206" t="str">
        <f>VLOOKUP(Primary_Order[[#This Row],[Product ID]],SKU[],13,0)</f>
        <v>Clean</v>
      </c>
      <c r="AJ69" s="233">
        <f>VLOOKUP(Primary_Order[[#This Row],[Product ID]],SKU[[SKU ID]:[Bottle Size(Ltr)]],6,0)*Primary_Order[[#This Row],[Free Quantity]]</f>
        <v>0</v>
      </c>
      <c r="AK69" s="206" t="str">
        <f>VLOOKUP(Primary_Order[[#This Row],[Product ID]],SKU[[SKU ID]:[Bottle Size(Ltr)]],4,0)</f>
        <v>24x0.05L</v>
      </c>
      <c r="AL69" s="231">
        <f>VLOOKUP(Primary_Order[[#This Row],[Product ID]],SKU[],14,0)*Primary_Order[[#This Row],[Total Qty]]</f>
        <v>1561.3200000000002</v>
      </c>
      <c r="AM69" s="231">
        <f>IF(Primary_Order[[#This Row],[Cost]]=0,0,Primary_Order[[#This Row],[Net Total(-15%)]]-Primary_Order[[#This Row],[Cost]])</f>
        <v>-1561.3200000000002</v>
      </c>
      <c r="AN69" s="206" t="str">
        <f>"O-"&amp;Primary_Order[[#This Row],[Date]]&amp;"-"&amp;Primary_Order[[#This Row],[MMD ID]]</f>
        <v>O-45671-D-0023</v>
      </c>
      <c r="AO69" s="206" t="str" cm="1">
        <f t="array" ref="AO6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0" spans="1:41" x14ac:dyDescent="0.5">
      <c r="A70" s="206" t="s">
        <v>1053</v>
      </c>
      <c r="B70" s="230">
        <v>45672</v>
      </c>
      <c r="C70" s="206" t="s">
        <v>97</v>
      </c>
      <c r="D70" s="206" t="s">
        <v>970</v>
      </c>
      <c r="E70" s="206" t="s">
        <v>971</v>
      </c>
      <c r="F70" s="206" t="s">
        <v>972</v>
      </c>
      <c r="G70" s="206" t="s">
        <v>709</v>
      </c>
      <c r="H70" s="206" t="s">
        <v>40</v>
      </c>
      <c r="I70" s="206" t="s">
        <v>98</v>
      </c>
      <c r="J70" s="206" t="s">
        <v>452</v>
      </c>
      <c r="K70" s="206" t="s">
        <v>54</v>
      </c>
      <c r="L70" s="206" t="str">
        <f>VLOOKUP(Primary_Order[[#This Row],[Product ID]],SKU[],3,0)</f>
        <v>3000 4T PLUS 10W40</v>
      </c>
      <c r="M70" s="231">
        <v>1800</v>
      </c>
      <c r="N70" s="231">
        <v>525</v>
      </c>
      <c r="O70" s="231">
        <v>1800</v>
      </c>
      <c r="P70" s="232"/>
      <c r="Q70" s="231">
        <v>0</v>
      </c>
      <c r="R70" s="231">
        <v>525</v>
      </c>
      <c r="S70" s="231">
        <v>1800</v>
      </c>
      <c r="T70" s="231">
        <v>1800</v>
      </c>
      <c r="U70" s="231">
        <v>945000</v>
      </c>
      <c r="V70" s="231">
        <v>0</v>
      </c>
      <c r="W70" s="231">
        <v>945000</v>
      </c>
      <c r="X70" s="231">
        <v>123260.86956521739</v>
      </c>
      <c r="Y70" s="231">
        <v>821739.13043478259</v>
      </c>
      <c r="Z70" s="206" t="s">
        <v>882</v>
      </c>
      <c r="AA70" s="206">
        <v>591</v>
      </c>
      <c r="AB70" s="206" t="s">
        <v>641</v>
      </c>
      <c r="AC70" s="230">
        <v>45673</v>
      </c>
      <c r="AD70" s="206" t="s">
        <v>1054</v>
      </c>
      <c r="AE70" s="206" t="str">
        <f>IFERROR(VLOOKUP(Primary_Order[[#This Row],[AM]],SP!$E$19:$F$23,2,0),Primary_Order[[#This Row],[AM]])</f>
        <v>Central</v>
      </c>
      <c r="AF70" s="206" t="str">
        <f>VLOOKUP(Primary_Order[[#This Row],[Product ID]],SKU[],10,0)</f>
        <v>Mineral</v>
      </c>
      <c r="AG70" s="206" t="str">
        <f>VLOOKUP(Primary_Order[[#This Row],[Product ID]],SKU[],9,0)</f>
        <v>MCO</v>
      </c>
      <c r="AH70" s="206" t="str">
        <f>VLOOKUP(Primary_Order[[#This Row],[Product ID]],SKU[],12,0)</f>
        <v>10W40</v>
      </c>
      <c r="AI70" s="206" t="str">
        <f>VLOOKUP(Primary_Order[[#This Row],[Product ID]],SKU[],13,0)</f>
        <v>3000</v>
      </c>
      <c r="AJ70" s="233">
        <f>VLOOKUP(Primary_Order[[#This Row],[Product ID]],SKU[[SKU ID]:[Bottle Size(Ltr)]],6,0)*Primary_Order[[#This Row],[Free Quantity]]</f>
        <v>0</v>
      </c>
      <c r="AK70" s="206" t="str">
        <f>VLOOKUP(Primary_Order[[#This Row],[Product ID]],SKU[[SKU ID]:[Bottle Size(Ltr)]],4,0)</f>
        <v>20x1L</v>
      </c>
      <c r="AL70" s="231">
        <f>VLOOKUP(Primary_Order[[#This Row],[Product ID]],SKU[],14,0)*Primary_Order[[#This Row],[Total Qty]]</f>
        <v>692730</v>
      </c>
      <c r="AM70" s="231">
        <f>IF(Primary_Order[[#This Row],[Cost]]=0,0,Primary_Order[[#This Row],[Net Total(-15%)]]-Primary_Order[[#This Row],[Cost]])</f>
        <v>129009.13043478259</v>
      </c>
      <c r="AN70" s="206" t="str">
        <f>"O-"&amp;Primary_Order[[#This Row],[Date]]&amp;"-"&amp;Primary_Order[[#This Row],[MMD ID]]</f>
        <v>O-45672-D-0001</v>
      </c>
      <c r="AO70" s="206" t="str" cm="1">
        <f t="array" ref="AO7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1" spans="1:41" x14ac:dyDescent="0.5">
      <c r="A71" s="206" t="s">
        <v>1053</v>
      </c>
      <c r="B71" s="230">
        <v>45672</v>
      </c>
      <c r="C71" s="206" t="s">
        <v>97</v>
      </c>
      <c r="D71" s="206" t="s">
        <v>970</v>
      </c>
      <c r="E71" s="206" t="s">
        <v>971</v>
      </c>
      <c r="F71" s="206" t="s">
        <v>972</v>
      </c>
      <c r="G71" s="206" t="s">
        <v>709</v>
      </c>
      <c r="H71" s="206" t="s">
        <v>40</v>
      </c>
      <c r="I71" s="206" t="s">
        <v>98</v>
      </c>
      <c r="J71" s="206" t="s">
        <v>452</v>
      </c>
      <c r="K71" s="206" t="s">
        <v>75</v>
      </c>
      <c r="L71" s="206" t="str">
        <f>VLOOKUP(Primary_Order[[#This Row],[Product ID]],SKU[],3,0)</f>
        <v>31004T GOLD 20W50</v>
      </c>
      <c r="M71" s="231">
        <v>200</v>
      </c>
      <c r="N71" s="231">
        <v>590</v>
      </c>
      <c r="O71" s="231">
        <v>200</v>
      </c>
      <c r="P71" s="232"/>
      <c r="Q71" s="231">
        <v>0</v>
      </c>
      <c r="R71" s="231">
        <v>590</v>
      </c>
      <c r="S71" s="231">
        <v>200</v>
      </c>
      <c r="T71" s="231">
        <v>200</v>
      </c>
      <c r="U71" s="231">
        <v>118000</v>
      </c>
      <c r="V71" s="231">
        <v>0</v>
      </c>
      <c r="W71" s="231">
        <v>118000</v>
      </c>
      <c r="X71" s="231">
        <v>15391.304347826086</v>
      </c>
      <c r="Y71" s="231">
        <v>102608.69565217392</v>
      </c>
      <c r="Z71" s="206" t="s">
        <v>882</v>
      </c>
      <c r="AA71" s="206">
        <v>591</v>
      </c>
      <c r="AB71" s="206" t="s">
        <v>641</v>
      </c>
      <c r="AC71" s="230">
        <v>45673</v>
      </c>
      <c r="AD71" s="206" t="s">
        <v>1054</v>
      </c>
      <c r="AE71" s="206" t="str">
        <f>IFERROR(VLOOKUP(Primary_Order[[#This Row],[AM]],SP!$E$19:$F$23,2,0),Primary_Order[[#This Row],[AM]])</f>
        <v>Central</v>
      </c>
      <c r="AF71" s="206" t="str">
        <f>VLOOKUP(Primary_Order[[#This Row],[Product ID]],SKU[],10,0)</f>
        <v>Technosynthese</v>
      </c>
      <c r="AG71" s="206" t="str">
        <f>VLOOKUP(Primary_Order[[#This Row],[Product ID]],SKU[],9,0)</f>
        <v>MCO</v>
      </c>
      <c r="AH71" s="206" t="str">
        <f>VLOOKUP(Primary_Order[[#This Row],[Product ID]],SKU[],12,0)</f>
        <v>20W50</v>
      </c>
      <c r="AI71" s="206" t="str">
        <f>VLOOKUP(Primary_Order[[#This Row],[Product ID]],SKU[],13,0)</f>
        <v>3100</v>
      </c>
      <c r="AJ71" s="233">
        <f>VLOOKUP(Primary_Order[[#This Row],[Product ID]],SKU[[SKU ID]:[Bottle Size(Ltr)]],6,0)*Primary_Order[[#This Row],[Free Quantity]]</f>
        <v>0</v>
      </c>
      <c r="AK71" s="206" t="str">
        <f>VLOOKUP(Primary_Order[[#This Row],[Product ID]],SKU[[SKU ID]:[Bottle Size(Ltr)]],4,0)</f>
        <v>20x1L</v>
      </c>
      <c r="AL71" s="231">
        <f>VLOOKUP(Primary_Order[[#This Row],[Product ID]],SKU[],14,0)*Primary_Order[[#This Row],[Total Qty]]</f>
        <v>93878</v>
      </c>
      <c r="AM71" s="231">
        <f>IF(Primary_Order[[#This Row],[Cost]]=0,0,Primary_Order[[#This Row],[Net Total(-15%)]]-Primary_Order[[#This Row],[Cost]])</f>
        <v>8730.6956521739194</v>
      </c>
      <c r="AN71" s="206" t="str">
        <f>"O-"&amp;Primary_Order[[#This Row],[Date]]&amp;"-"&amp;Primary_Order[[#This Row],[MMD ID]]</f>
        <v>O-45672-D-0001</v>
      </c>
      <c r="AO71" s="206" t="str" cm="1">
        <f t="array" ref="AO7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2" spans="1:41" x14ac:dyDescent="0.5">
      <c r="A72" s="206" t="s">
        <v>1055</v>
      </c>
      <c r="B72" s="230">
        <v>45670</v>
      </c>
      <c r="C72" s="206" t="s">
        <v>90</v>
      </c>
      <c r="D72" s="206" t="s">
        <v>91</v>
      </c>
      <c r="E72" s="206" t="s">
        <v>1027</v>
      </c>
      <c r="F72" s="206" t="s">
        <v>1028</v>
      </c>
      <c r="G72" s="206" t="s">
        <v>39</v>
      </c>
      <c r="H72" s="206" t="s">
        <v>40</v>
      </c>
      <c r="I72" s="206" t="s">
        <v>91</v>
      </c>
      <c r="J72" s="206" t="s">
        <v>93</v>
      </c>
      <c r="K72" s="206" t="s">
        <v>31</v>
      </c>
      <c r="L72" s="206" t="str">
        <f>VLOOKUP(Primary_Order[[#This Row],[Product ID]],SKU[],3,0)</f>
        <v>3000 4T PLUS 10W30</v>
      </c>
      <c r="M72" s="231">
        <v>100</v>
      </c>
      <c r="N72" s="231">
        <v>528</v>
      </c>
      <c r="O72" s="231">
        <v>100</v>
      </c>
      <c r="P72" s="232"/>
      <c r="Q72" s="231">
        <v>0</v>
      </c>
      <c r="R72" s="231">
        <v>528</v>
      </c>
      <c r="S72" s="231">
        <v>100</v>
      </c>
      <c r="T72" s="231">
        <v>100</v>
      </c>
      <c r="U72" s="231">
        <v>52800</v>
      </c>
      <c r="V72" s="231">
        <v>0</v>
      </c>
      <c r="W72" s="231">
        <v>52800</v>
      </c>
      <c r="X72" s="231">
        <v>6886.95652173913</v>
      </c>
      <c r="Y72" s="231">
        <v>45913.043478260872</v>
      </c>
      <c r="Z72" s="206" t="s">
        <v>882</v>
      </c>
      <c r="AA72" s="206">
        <v>592</v>
      </c>
      <c r="AB72" s="206" t="s">
        <v>641</v>
      </c>
      <c r="AC72" s="230">
        <v>45673</v>
      </c>
      <c r="AD72" s="206" t="s">
        <v>1029</v>
      </c>
      <c r="AE72" s="206" t="str">
        <f>IFERROR(VLOOKUP(Primary_Order[[#This Row],[AM]],SP!$E$19:$F$23,2,0),Primary_Order[[#This Row],[AM]])</f>
        <v>Central</v>
      </c>
      <c r="AF72" s="206" t="str">
        <f>VLOOKUP(Primary_Order[[#This Row],[Product ID]],SKU[],10,0)</f>
        <v>Mineral</v>
      </c>
      <c r="AG72" s="206" t="str">
        <f>VLOOKUP(Primary_Order[[#This Row],[Product ID]],SKU[],9,0)</f>
        <v>MCO</v>
      </c>
      <c r="AH72" s="206" t="str">
        <f>VLOOKUP(Primary_Order[[#This Row],[Product ID]],SKU[],12,0)</f>
        <v>10W30</v>
      </c>
      <c r="AI72" s="206" t="str">
        <f>VLOOKUP(Primary_Order[[#This Row],[Product ID]],SKU[],13,0)</f>
        <v>3000</v>
      </c>
      <c r="AJ72" s="233">
        <f>VLOOKUP(Primary_Order[[#This Row],[Product ID]],SKU[[SKU ID]:[Bottle Size(Ltr)]],6,0)*Primary_Order[[#This Row],[Free Quantity]]</f>
        <v>0</v>
      </c>
      <c r="AK72" s="206" t="str">
        <f>VLOOKUP(Primary_Order[[#This Row],[Product ID]],SKU[[SKU ID]:[Bottle Size(Ltr)]],4,0)</f>
        <v>20x1L</v>
      </c>
      <c r="AL72" s="231">
        <f>VLOOKUP(Primary_Order[[#This Row],[Product ID]],SKU[],14,0)*Primary_Order[[#This Row],[Total Qty]]</f>
        <v>37933</v>
      </c>
      <c r="AM72" s="231">
        <f>IF(Primary_Order[[#This Row],[Cost]]=0,0,Primary_Order[[#This Row],[Net Total(-15%)]]-Primary_Order[[#This Row],[Cost]])</f>
        <v>7980.0434782608718</v>
      </c>
      <c r="AN72" s="206" t="str">
        <f>"O-"&amp;Primary_Order[[#This Row],[Date]]&amp;"-"&amp;Primary_Order[[#This Row],[MMD ID]]</f>
        <v>O-45670-D-0006</v>
      </c>
      <c r="AO72" s="206" t="str" cm="1">
        <f t="array" ref="AO7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3" spans="1:41" x14ac:dyDescent="0.5">
      <c r="A73" s="206" t="s">
        <v>1055</v>
      </c>
      <c r="B73" s="230">
        <v>45670</v>
      </c>
      <c r="C73" s="206" t="s">
        <v>90</v>
      </c>
      <c r="D73" s="206" t="s">
        <v>91</v>
      </c>
      <c r="E73" s="206" t="s">
        <v>1027</v>
      </c>
      <c r="F73" s="206" t="s">
        <v>1028</v>
      </c>
      <c r="G73" s="206" t="s">
        <v>39</v>
      </c>
      <c r="H73" s="206" t="s">
        <v>40</v>
      </c>
      <c r="I73" s="206" t="s">
        <v>91</v>
      </c>
      <c r="J73" s="206" t="s">
        <v>93</v>
      </c>
      <c r="K73" s="206" t="s">
        <v>53</v>
      </c>
      <c r="L73" s="206" t="str">
        <f>VLOOKUP(Primary_Order[[#This Row],[Product ID]],SKU[],3,0)</f>
        <v>3000 4T PLUS 20W40</v>
      </c>
      <c r="M73" s="231">
        <v>100</v>
      </c>
      <c r="N73" s="231">
        <v>528</v>
      </c>
      <c r="O73" s="231">
        <v>100</v>
      </c>
      <c r="P73" s="232"/>
      <c r="Q73" s="231">
        <v>0</v>
      </c>
      <c r="R73" s="231">
        <v>528</v>
      </c>
      <c r="S73" s="231">
        <v>100</v>
      </c>
      <c r="T73" s="231">
        <v>100</v>
      </c>
      <c r="U73" s="231">
        <v>52800</v>
      </c>
      <c r="V73" s="231">
        <v>0</v>
      </c>
      <c r="W73" s="231">
        <v>52800</v>
      </c>
      <c r="X73" s="231">
        <v>6886.95652173913</v>
      </c>
      <c r="Y73" s="231">
        <v>45913.043478260872</v>
      </c>
      <c r="Z73" s="206" t="s">
        <v>882</v>
      </c>
      <c r="AA73" s="206">
        <v>592</v>
      </c>
      <c r="AB73" s="206" t="s">
        <v>641</v>
      </c>
      <c r="AC73" s="230">
        <v>45673</v>
      </c>
      <c r="AD73" s="206" t="s">
        <v>1029</v>
      </c>
      <c r="AE73" s="206" t="str">
        <f>IFERROR(VLOOKUP(Primary_Order[[#This Row],[AM]],SP!$E$19:$F$23,2,0),Primary_Order[[#This Row],[AM]])</f>
        <v>Central</v>
      </c>
      <c r="AF73" s="206" t="str">
        <f>VLOOKUP(Primary_Order[[#This Row],[Product ID]],SKU[],10,0)</f>
        <v>Mineral</v>
      </c>
      <c r="AG73" s="206" t="str">
        <f>VLOOKUP(Primary_Order[[#This Row],[Product ID]],SKU[],9,0)</f>
        <v>MCO</v>
      </c>
      <c r="AH73" s="206" t="str">
        <f>VLOOKUP(Primary_Order[[#This Row],[Product ID]],SKU[],12,0)</f>
        <v>20W40</v>
      </c>
      <c r="AI73" s="206" t="str">
        <f>VLOOKUP(Primary_Order[[#This Row],[Product ID]],SKU[],13,0)</f>
        <v>3000</v>
      </c>
      <c r="AJ73" s="233">
        <f>VLOOKUP(Primary_Order[[#This Row],[Product ID]],SKU[[SKU ID]:[Bottle Size(Ltr)]],6,0)*Primary_Order[[#This Row],[Free Quantity]]</f>
        <v>0</v>
      </c>
      <c r="AK73" s="206" t="str">
        <f>VLOOKUP(Primary_Order[[#This Row],[Product ID]],SKU[[SKU ID]:[Bottle Size(Ltr)]],4,0)</f>
        <v>20x1L</v>
      </c>
      <c r="AL73" s="231">
        <f>VLOOKUP(Primary_Order[[#This Row],[Product ID]],SKU[],14,0)*Primary_Order[[#This Row],[Total Qty]]</f>
        <v>41276</v>
      </c>
      <c r="AM73" s="231">
        <f>IF(Primary_Order[[#This Row],[Cost]]=0,0,Primary_Order[[#This Row],[Net Total(-15%)]]-Primary_Order[[#This Row],[Cost]])</f>
        <v>4637.0434782608718</v>
      </c>
      <c r="AN73" s="206" t="str">
        <f>"O-"&amp;Primary_Order[[#This Row],[Date]]&amp;"-"&amp;Primary_Order[[#This Row],[MMD ID]]</f>
        <v>O-45670-D-0006</v>
      </c>
      <c r="AO73" s="206" t="str" cm="1">
        <f t="array" ref="AO7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4" spans="1:41" x14ac:dyDescent="0.5">
      <c r="A74" s="206" t="s">
        <v>1055</v>
      </c>
      <c r="B74" s="230">
        <v>45670</v>
      </c>
      <c r="C74" s="206" t="s">
        <v>90</v>
      </c>
      <c r="D74" s="206" t="s">
        <v>91</v>
      </c>
      <c r="E74" s="206" t="s">
        <v>1027</v>
      </c>
      <c r="F74" s="206" t="s">
        <v>1028</v>
      </c>
      <c r="G74" s="206" t="s">
        <v>39</v>
      </c>
      <c r="H74" s="206" t="s">
        <v>40</v>
      </c>
      <c r="I74" s="206" t="s">
        <v>91</v>
      </c>
      <c r="J74" s="206" t="s">
        <v>93</v>
      </c>
      <c r="K74" s="206" t="s">
        <v>54</v>
      </c>
      <c r="L74" s="206" t="str">
        <f>VLOOKUP(Primary_Order[[#This Row],[Product ID]],SKU[],3,0)</f>
        <v>3000 4T PLUS 10W40</v>
      </c>
      <c r="M74" s="231">
        <v>800</v>
      </c>
      <c r="N74" s="231">
        <v>533</v>
      </c>
      <c r="O74" s="231">
        <v>800</v>
      </c>
      <c r="P74" s="232"/>
      <c r="Q74" s="231">
        <v>0</v>
      </c>
      <c r="R74" s="231">
        <v>533</v>
      </c>
      <c r="S74" s="231">
        <v>800</v>
      </c>
      <c r="T74" s="231">
        <v>800</v>
      </c>
      <c r="U74" s="231">
        <v>426400</v>
      </c>
      <c r="V74" s="231">
        <v>0</v>
      </c>
      <c r="W74" s="231">
        <v>426400</v>
      </c>
      <c r="X74" s="231">
        <v>55617.391304347824</v>
      </c>
      <c r="Y74" s="231">
        <v>370782.60869565216</v>
      </c>
      <c r="Z74" s="206" t="s">
        <v>882</v>
      </c>
      <c r="AA74" s="206">
        <v>592</v>
      </c>
      <c r="AB74" s="206" t="s">
        <v>641</v>
      </c>
      <c r="AC74" s="230">
        <v>45673</v>
      </c>
      <c r="AD74" s="206" t="s">
        <v>1029</v>
      </c>
      <c r="AE74" s="206" t="str">
        <f>IFERROR(VLOOKUP(Primary_Order[[#This Row],[AM]],SP!$E$19:$F$23,2,0),Primary_Order[[#This Row],[AM]])</f>
        <v>Central</v>
      </c>
      <c r="AF74" s="206" t="str">
        <f>VLOOKUP(Primary_Order[[#This Row],[Product ID]],SKU[],10,0)</f>
        <v>Mineral</v>
      </c>
      <c r="AG74" s="206" t="str">
        <f>VLOOKUP(Primary_Order[[#This Row],[Product ID]],SKU[],9,0)</f>
        <v>MCO</v>
      </c>
      <c r="AH74" s="206" t="str">
        <f>VLOOKUP(Primary_Order[[#This Row],[Product ID]],SKU[],12,0)</f>
        <v>10W40</v>
      </c>
      <c r="AI74" s="206" t="str">
        <f>VLOOKUP(Primary_Order[[#This Row],[Product ID]],SKU[],13,0)</f>
        <v>3000</v>
      </c>
      <c r="AJ74" s="233">
        <f>VLOOKUP(Primary_Order[[#This Row],[Product ID]],SKU[[SKU ID]:[Bottle Size(Ltr)]],6,0)*Primary_Order[[#This Row],[Free Quantity]]</f>
        <v>0</v>
      </c>
      <c r="AK74" s="206" t="str">
        <f>VLOOKUP(Primary_Order[[#This Row],[Product ID]],SKU[[SKU ID]:[Bottle Size(Ltr)]],4,0)</f>
        <v>20x1L</v>
      </c>
      <c r="AL74" s="231">
        <f>VLOOKUP(Primary_Order[[#This Row],[Product ID]],SKU[],14,0)*Primary_Order[[#This Row],[Total Qty]]</f>
        <v>307880</v>
      </c>
      <c r="AM74" s="231">
        <f>IF(Primary_Order[[#This Row],[Cost]]=0,0,Primary_Order[[#This Row],[Net Total(-15%)]]-Primary_Order[[#This Row],[Cost]])</f>
        <v>62902.608695652161</v>
      </c>
      <c r="AN74" s="206" t="str">
        <f>"O-"&amp;Primary_Order[[#This Row],[Date]]&amp;"-"&amp;Primary_Order[[#This Row],[MMD ID]]</f>
        <v>O-45670-D-0006</v>
      </c>
      <c r="AO74" s="206" t="str" cm="1">
        <f t="array" ref="AO7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5" spans="1:41" x14ac:dyDescent="0.5">
      <c r="A75" s="206" t="s">
        <v>1055</v>
      </c>
      <c r="B75" s="230">
        <v>45670</v>
      </c>
      <c r="C75" s="206" t="s">
        <v>90</v>
      </c>
      <c r="D75" s="206" t="s">
        <v>91</v>
      </c>
      <c r="E75" s="206" t="s">
        <v>1027</v>
      </c>
      <c r="F75" s="206" t="s">
        <v>1028</v>
      </c>
      <c r="G75" s="206" t="s">
        <v>39</v>
      </c>
      <c r="H75" s="206" t="s">
        <v>40</v>
      </c>
      <c r="I75" s="206" t="s">
        <v>91</v>
      </c>
      <c r="J75" s="206" t="s">
        <v>93</v>
      </c>
      <c r="K75" s="206" t="s">
        <v>81</v>
      </c>
      <c r="L75" s="206" t="str">
        <f>VLOOKUP(Primary_Order[[#This Row],[Product ID]],SKU[],3,0)</f>
        <v>3000 4T 20W50</v>
      </c>
      <c r="M75" s="231">
        <v>100</v>
      </c>
      <c r="N75" s="231">
        <v>493</v>
      </c>
      <c r="O75" s="231">
        <v>100</v>
      </c>
      <c r="P75" s="232"/>
      <c r="Q75" s="231">
        <v>0</v>
      </c>
      <c r="R75" s="231">
        <v>493</v>
      </c>
      <c r="S75" s="231">
        <v>100</v>
      </c>
      <c r="T75" s="231">
        <v>100</v>
      </c>
      <c r="U75" s="231">
        <v>49300</v>
      </c>
      <c r="V75" s="231">
        <v>0</v>
      </c>
      <c r="W75" s="231">
        <v>49300</v>
      </c>
      <c r="X75" s="231">
        <v>6430.434782608696</v>
      </c>
      <c r="Y75" s="231">
        <v>42869.565217391304</v>
      </c>
      <c r="Z75" s="206" t="s">
        <v>882</v>
      </c>
      <c r="AA75" s="206">
        <v>592</v>
      </c>
      <c r="AB75" s="206" t="s">
        <v>641</v>
      </c>
      <c r="AC75" s="230">
        <v>45673</v>
      </c>
      <c r="AD75" s="206" t="s">
        <v>1029</v>
      </c>
      <c r="AE75" s="206" t="str">
        <f>IFERROR(VLOOKUP(Primary_Order[[#This Row],[AM]],SP!$E$19:$F$23,2,0),Primary_Order[[#This Row],[AM]])</f>
        <v>Central</v>
      </c>
      <c r="AF75" s="206" t="str">
        <f>VLOOKUP(Primary_Order[[#This Row],[Product ID]],SKU[],10,0)</f>
        <v>Mineral</v>
      </c>
      <c r="AG75" s="206" t="str">
        <f>VLOOKUP(Primary_Order[[#This Row],[Product ID]],SKU[],9,0)</f>
        <v>MCO</v>
      </c>
      <c r="AH75" s="206" t="str">
        <f>VLOOKUP(Primary_Order[[#This Row],[Product ID]],SKU[],12,0)</f>
        <v>20W50</v>
      </c>
      <c r="AI75" s="206" t="str">
        <f>VLOOKUP(Primary_Order[[#This Row],[Product ID]],SKU[],13,0)</f>
        <v>3000</v>
      </c>
      <c r="AJ75" s="233">
        <f>VLOOKUP(Primary_Order[[#This Row],[Product ID]],SKU[[SKU ID]:[Bottle Size(Ltr)]],6,0)*Primary_Order[[#This Row],[Free Quantity]]</f>
        <v>0</v>
      </c>
      <c r="AK75" s="206" t="str">
        <f>VLOOKUP(Primary_Order[[#This Row],[Product ID]],SKU[[SKU ID]:[Bottle Size(Ltr)]],4,0)</f>
        <v>20x1L</v>
      </c>
      <c r="AL75" s="231">
        <f>VLOOKUP(Primary_Order[[#This Row],[Product ID]],SKU[],14,0)*Primary_Order[[#This Row],[Total Qty]]</f>
        <v>36492</v>
      </c>
      <c r="AM75" s="231">
        <f>IF(Primary_Order[[#This Row],[Cost]]=0,0,Primary_Order[[#This Row],[Net Total(-15%)]]-Primary_Order[[#This Row],[Cost]])</f>
        <v>6377.565217391304</v>
      </c>
      <c r="AN75" s="206" t="str">
        <f>"O-"&amp;Primary_Order[[#This Row],[Date]]&amp;"-"&amp;Primary_Order[[#This Row],[MMD ID]]</f>
        <v>O-45670-D-0006</v>
      </c>
      <c r="AO75" s="206" t="str" cm="1">
        <f t="array" ref="AO7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6" spans="1:41" x14ac:dyDescent="0.5">
      <c r="A76" s="206" t="s">
        <v>1056</v>
      </c>
      <c r="B76" s="230">
        <v>45673</v>
      </c>
      <c r="C76" s="206" t="s">
        <v>90</v>
      </c>
      <c r="D76" s="206" t="s">
        <v>1045</v>
      </c>
      <c r="E76" s="206" t="s">
        <v>42</v>
      </c>
      <c r="F76" s="206" t="s">
        <v>1046</v>
      </c>
      <c r="G76" s="206" t="s">
        <v>39</v>
      </c>
      <c r="H76" s="206" t="s">
        <v>40</v>
      </c>
      <c r="I76" s="206" t="s">
        <v>91</v>
      </c>
      <c r="J76" s="206" t="s">
        <v>93</v>
      </c>
      <c r="K76" s="206" t="s">
        <v>31</v>
      </c>
      <c r="L76" s="206" t="str">
        <f>VLOOKUP(Primary_Order[[#This Row],[Product ID]],SKU[],3,0)</f>
        <v>3000 4T PLUS 10W30</v>
      </c>
      <c r="M76" s="231">
        <v>60</v>
      </c>
      <c r="N76" s="231">
        <v>530</v>
      </c>
      <c r="O76" s="231">
        <v>60</v>
      </c>
      <c r="P76" s="232"/>
      <c r="Q76" s="231">
        <v>0</v>
      </c>
      <c r="R76" s="231">
        <v>530</v>
      </c>
      <c r="S76" s="231">
        <v>60</v>
      </c>
      <c r="T76" s="231">
        <v>60</v>
      </c>
      <c r="U76" s="231">
        <v>31800</v>
      </c>
      <c r="V76" s="231">
        <v>0</v>
      </c>
      <c r="W76" s="231">
        <v>31800</v>
      </c>
      <c r="X76" s="231">
        <v>4147.826086956522</v>
      </c>
      <c r="Y76" s="231">
        <v>27652.17391304348</v>
      </c>
      <c r="Z76" s="206" t="s">
        <v>882</v>
      </c>
      <c r="AA76" s="206">
        <v>593</v>
      </c>
      <c r="AB76" s="206" t="s">
        <v>641</v>
      </c>
      <c r="AC76" s="230">
        <v>45676</v>
      </c>
      <c r="AD76" s="206" t="s">
        <v>50</v>
      </c>
      <c r="AE76" s="206" t="str">
        <f>IFERROR(VLOOKUP(Primary_Order[[#This Row],[AM]],SP!$E$19:$F$23,2,0),Primary_Order[[#This Row],[AM]])</f>
        <v>Central</v>
      </c>
      <c r="AF76" s="206" t="str">
        <f>VLOOKUP(Primary_Order[[#This Row],[Product ID]],SKU[],10,0)</f>
        <v>Mineral</v>
      </c>
      <c r="AG76" s="206" t="str">
        <f>VLOOKUP(Primary_Order[[#This Row],[Product ID]],SKU[],9,0)</f>
        <v>MCO</v>
      </c>
      <c r="AH76" s="206" t="str">
        <f>VLOOKUP(Primary_Order[[#This Row],[Product ID]],SKU[],12,0)</f>
        <v>10W30</v>
      </c>
      <c r="AI76" s="206" t="str">
        <f>VLOOKUP(Primary_Order[[#This Row],[Product ID]],SKU[],13,0)</f>
        <v>3000</v>
      </c>
      <c r="AJ76" s="233">
        <f>VLOOKUP(Primary_Order[[#This Row],[Product ID]],SKU[[SKU ID]:[Bottle Size(Ltr)]],6,0)*Primary_Order[[#This Row],[Free Quantity]]</f>
        <v>0</v>
      </c>
      <c r="AK76" s="206" t="str">
        <f>VLOOKUP(Primary_Order[[#This Row],[Product ID]],SKU[[SKU ID]:[Bottle Size(Ltr)]],4,0)</f>
        <v>20x1L</v>
      </c>
      <c r="AL76" s="231">
        <f>VLOOKUP(Primary_Order[[#This Row],[Product ID]],SKU[],14,0)*Primary_Order[[#This Row],[Total Qty]]</f>
        <v>22759.8</v>
      </c>
      <c r="AM76" s="231">
        <f>IF(Primary_Order[[#This Row],[Cost]]=0,0,Primary_Order[[#This Row],[Net Total(-15%)]]-Primary_Order[[#This Row],[Cost]])</f>
        <v>4892.3739130434806</v>
      </c>
      <c r="AN76" s="206" t="str">
        <f>"O-"&amp;Primary_Order[[#This Row],[Date]]&amp;"-"&amp;Primary_Order[[#This Row],[MMD ID]]</f>
        <v>O-45673-D-0006</v>
      </c>
      <c r="AO76" s="206" t="str" cm="1">
        <f t="array" ref="AO7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7" spans="1:41" x14ac:dyDescent="0.5">
      <c r="A77" s="206" t="s">
        <v>1056</v>
      </c>
      <c r="B77" s="230">
        <v>45673</v>
      </c>
      <c r="C77" s="206" t="s">
        <v>90</v>
      </c>
      <c r="D77" s="206" t="s">
        <v>1045</v>
      </c>
      <c r="E77" s="206" t="s">
        <v>42</v>
      </c>
      <c r="F77" s="206" t="s">
        <v>1046</v>
      </c>
      <c r="G77" s="206" t="s">
        <v>39</v>
      </c>
      <c r="H77" s="206" t="s">
        <v>40</v>
      </c>
      <c r="I77" s="206" t="s">
        <v>91</v>
      </c>
      <c r="J77" s="206" t="s">
        <v>93</v>
      </c>
      <c r="K77" s="206" t="s">
        <v>54</v>
      </c>
      <c r="L77" s="206" t="str">
        <f>VLOOKUP(Primary_Order[[#This Row],[Product ID]],SKU[],3,0)</f>
        <v>3000 4T PLUS 10W40</v>
      </c>
      <c r="M77" s="231">
        <v>140</v>
      </c>
      <c r="N77" s="231">
        <v>535</v>
      </c>
      <c r="O77" s="231">
        <v>140</v>
      </c>
      <c r="P77" s="232"/>
      <c r="Q77" s="231">
        <v>0</v>
      </c>
      <c r="R77" s="231">
        <v>535</v>
      </c>
      <c r="S77" s="231">
        <v>140</v>
      </c>
      <c r="T77" s="231">
        <v>140</v>
      </c>
      <c r="U77" s="231">
        <v>74900</v>
      </c>
      <c r="V77" s="231">
        <v>0</v>
      </c>
      <c r="W77" s="231">
        <v>74900</v>
      </c>
      <c r="X77" s="231">
        <v>9769.565217391304</v>
      </c>
      <c r="Y77" s="231">
        <v>65130.434782608696</v>
      </c>
      <c r="Z77" s="206" t="s">
        <v>882</v>
      </c>
      <c r="AA77" s="206">
        <v>593</v>
      </c>
      <c r="AB77" s="206" t="s">
        <v>641</v>
      </c>
      <c r="AC77" s="230">
        <v>45676</v>
      </c>
      <c r="AD77" s="206" t="s">
        <v>50</v>
      </c>
      <c r="AE77" s="206" t="str">
        <f>IFERROR(VLOOKUP(Primary_Order[[#This Row],[AM]],SP!$E$19:$F$23,2,0),Primary_Order[[#This Row],[AM]])</f>
        <v>Central</v>
      </c>
      <c r="AF77" s="206" t="str">
        <f>VLOOKUP(Primary_Order[[#This Row],[Product ID]],SKU[],10,0)</f>
        <v>Mineral</v>
      </c>
      <c r="AG77" s="206" t="str">
        <f>VLOOKUP(Primary_Order[[#This Row],[Product ID]],SKU[],9,0)</f>
        <v>MCO</v>
      </c>
      <c r="AH77" s="206" t="str">
        <f>VLOOKUP(Primary_Order[[#This Row],[Product ID]],SKU[],12,0)</f>
        <v>10W40</v>
      </c>
      <c r="AI77" s="206" t="str">
        <f>VLOOKUP(Primary_Order[[#This Row],[Product ID]],SKU[],13,0)</f>
        <v>3000</v>
      </c>
      <c r="AJ77" s="233">
        <f>VLOOKUP(Primary_Order[[#This Row],[Product ID]],SKU[[SKU ID]:[Bottle Size(Ltr)]],6,0)*Primary_Order[[#This Row],[Free Quantity]]</f>
        <v>0</v>
      </c>
      <c r="AK77" s="206" t="str">
        <f>VLOOKUP(Primary_Order[[#This Row],[Product ID]],SKU[[SKU ID]:[Bottle Size(Ltr)]],4,0)</f>
        <v>20x1L</v>
      </c>
      <c r="AL77" s="231">
        <f>VLOOKUP(Primary_Order[[#This Row],[Product ID]],SKU[],14,0)*Primary_Order[[#This Row],[Total Qty]]</f>
        <v>53879</v>
      </c>
      <c r="AM77" s="231">
        <f>IF(Primary_Order[[#This Row],[Cost]]=0,0,Primary_Order[[#This Row],[Net Total(-15%)]]-Primary_Order[[#This Row],[Cost]])</f>
        <v>11251.434782608696</v>
      </c>
      <c r="AN77" s="206" t="str">
        <f>"O-"&amp;Primary_Order[[#This Row],[Date]]&amp;"-"&amp;Primary_Order[[#This Row],[MMD ID]]</f>
        <v>O-45673-D-0006</v>
      </c>
      <c r="AO77" s="206" t="str" cm="1">
        <f t="array" ref="AO7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8" spans="1:41" x14ac:dyDescent="0.5">
      <c r="A78" s="206" t="s">
        <v>1056</v>
      </c>
      <c r="B78" s="230">
        <v>45673</v>
      </c>
      <c r="C78" s="206" t="s">
        <v>90</v>
      </c>
      <c r="D78" s="206" t="s">
        <v>1045</v>
      </c>
      <c r="E78" s="206" t="s">
        <v>42</v>
      </c>
      <c r="F78" s="206" t="s">
        <v>1046</v>
      </c>
      <c r="G78" s="206" t="s">
        <v>39</v>
      </c>
      <c r="H78" s="206" t="s">
        <v>40</v>
      </c>
      <c r="I78" s="206" t="s">
        <v>91</v>
      </c>
      <c r="J78" s="206" t="s">
        <v>93</v>
      </c>
      <c r="K78" s="206" t="s">
        <v>32</v>
      </c>
      <c r="L78" s="206" t="str">
        <f>VLOOKUP(Primary_Order[[#This Row],[Product ID]],SKU[],3,0)</f>
        <v>3000 4T PLUS 10W30</v>
      </c>
      <c r="M78" s="231">
        <v>40</v>
      </c>
      <c r="N78" s="231">
        <v>640</v>
      </c>
      <c r="O78" s="231">
        <v>48</v>
      </c>
      <c r="P78" s="232"/>
      <c r="Q78" s="231">
        <v>0</v>
      </c>
      <c r="R78" s="231">
        <v>640</v>
      </c>
      <c r="S78" s="231">
        <v>40</v>
      </c>
      <c r="T78" s="231">
        <v>48</v>
      </c>
      <c r="U78" s="231">
        <v>25600</v>
      </c>
      <c r="V78" s="231">
        <v>0</v>
      </c>
      <c r="W78" s="231">
        <v>25600</v>
      </c>
      <c r="X78" s="231">
        <v>3339.1304347826085</v>
      </c>
      <c r="Y78" s="231">
        <v>22260.869565217392</v>
      </c>
      <c r="Z78" s="206" t="s">
        <v>882</v>
      </c>
      <c r="AA78" s="206">
        <v>593</v>
      </c>
      <c r="AB78" s="206" t="s">
        <v>641</v>
      </c>
      <c r="AC78" s="230">
        <v>45676</v>
      </c>
      <c r="AD78" s="206" t="s">
        <v>50</v>
      </c>
      <c r="AE78" s="206" t="str">
        <f>IFERROR(VLOOKUP(Primary_Order[[#This Row],[AM]],SP!$E$19:$F$23,2,0),Primary_Order[[#This Row],[AM]])</f>
        <v>Central</v>
      </c>
      <c r="AF78" s="206" t="str">
        <f>VLOOKUP(Primary_Order[[#This Row],[Product ID]],SKU[],10,0)</f>
        <v>Mineral</v>
      </c>
      <c r="AG78" s="206" t="str">
        <f>VLOOKUP(Primary_Order[[#This Row],[Product ID]],SKU[],9,0)</f>
        <v>MCO</v>
      </c>
      <c r="AH78" s="206" t="str">
        <f>VLOOKUP(Primary_Order[[#This Row],[Product ID]],SKU[],12,0)</f>
        <v>10W30</v>
      </c>
      <c r="AI78" s="206" t="str">
        <f>VLOOKUP(Primary_Order[[#This Row],[Product ID]],SKU[],13,0)</f>
        <v>3000</v>
      </c>
      <c r="AJ78" s="233">
        <f>VLOOKUP(Primary_Order[[#This Row],[Product ID]],SKU[[SKU ID]:[Bottle Size(Ltr)]],6,0)*Primary_Order[[#This Row],[Free Quantity]]</f>
        <v>0</v>
      </c>
      <c r="AK78" s="206" t="str">
        <f>VLOOKUP(Primary_Order[[#This Row],[Product ID]],SKU[[SKU ID]:[Bottle Size(Ltr)]],4,0)</f>
        <v>20x1.2L</v>
      </c>
      <c r="AL78" s="231">
        <f>VLOOKUP(Primary_Order[[#This Row],[Product ID]],SKU[],14,0)*Primary_Order[[#This Row],[Total Qty]]</f>
        <v>17556</v>
      </c>
      <c r="AM78" s="231">
        <f>IF(Primary_Order[[#This Row],[Cost]]=0,0,Primary_Order[[#This Row],[Net Total(-15%)]]-Primary_Order[[#This Row],[Cost]])</f>
        <v>4704.8695652173919</v>
      </c>
      <c r="AN78" s="206" t="str">
        <f>"O-"&amp;Primary_Order[[#This Row],[Date]]&amp;"-"&amp;Primary_Order[[#This Row],[MMD ID]]</f>
        <v>O-45673-D-0006</v>
      </c>
      <c r="AO78" s="206" t="str" cm="1">
        <f t="array" ref="AO7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79" spans="1:41" x14ac:dyDescent="0.5">
      <c r="A79" s="206" t="s">
        <v>1056</v>
      </c>
      <c r="B79" s="230">
        <v>45673</v>
      </c>
      <c r="C79" s="206" t="s">
        <v>90</v>
      </c>
      <c r="D79" s="206" t="s">
        <v>1045</v>
      </c>
      <c r="E79" s="206" t="s">
        <v>42</v>
      </c>
      <c r="F79" s="206" t="s">
        <v>1046</v>
      </c>
      <c r="G79" s="206" t="s">
        <v>39</v>
      </c>
      <c r="H79" s="206" t="s">
        <v>40</v>
      </c>
      <c r="I79" s="206" t="s">
        <v>91</v>
      </c>
      <c r="J79" s="206" t="s">
        <v>93</v>
      </c>
      <c r="K79" s="206" t="s">
        <v>33</v>
      </c>
      <c r="L79" s="206" t="str">
        <f>VLOOKUP(Primary_Order[[#This Row],[Product ID]],SKU[],3,0)</f>
        <v>3000 4T PLUS 20W40</v>
      </c>
      <c r="M79" s="231">
        <v>20</v>
      </c>
      <c r="N79" s="231">
        <v>640</v>
      </c>
      <c r="O79" s="231">
        <v>24</v>
      </c>
      <c r="P79" s="232"/>
      <c r="Q79" s="231">
        <v>0</v>
      </c>
      <c r="R79" s="231">
        <v>640</v>
      </c>
      <c r="S79" s="231">
        <v>20</v>
      </c>
      <c r="T79" s="231">
        <v>24</v>
      </c>
      <c r="U79" s="231">
        <v>12800</v>
      </c>
      <c r="V79" s="231">
        <v>0</v>
      </c>
      <c r="W79" s="231">
        <v>12800</v>
      </c>
      <c r="X79" s="231">
        <v>1669.5652173913043</v>
      </c>
      <c r="Y79" s="231">
        <v>11130.434782608696</v>
      </c>
      <c r="Z79" s="206" t="s">
        <v>882</v>
      </c>
      <c r="AA79" s="206">
        <v>593</v>
      </c>
      <c r="AB79" s="206" t="s">
        <v>641</v>
      </c>
      <c r="AC79" s="230">
        <v>45676</v>
      </c>
      <c r="AD79" s="206" t="s">
        <v>50</v>
      </c>
      <c r="AE79" s="206" t="str">
        <f>IFERROR(VLOOKUP(Primary_Order[[#This Row],[AM]],SP!$E$19:$F$23,2,0),Primary_Order[[#This Row],[AM]])</f>
        <v>Central</v>
      </c>
      <c r="AF79" s="206" t="str">
        <f>VLOOKUP(Primary_Order[[#This Row],[Product ID]],SKU[],10,0)</f>
        <v>Mineral</v>
      </c>
      <c r="AG79" s="206" t="str">
        <f>VLOOKUP(Primary_Order[[#This Row],[Product ID]],SKU[],9,0)</f>
        <v>MCO</v>
      </c>
      <c r="AH79" s="206" t="str">
        <f>VLOOKUP(Primary_Order[[#This Row],[Product ID]],SKU[],12,0)</f>
        <v>20W40</v>
      </c>
      <c r="AI79" s="206" t="str">
        <f>VLOOKUP(Primary_Order[[#This Row],[Product ID]],SKU[],13,0)</f>
        <v>3000</v>
      </c>
      <c r="AJ79" s="233">
        <f>VLOOKUP(Primary_Order[[#This Row],[Product ID]],SKU[[SKU ID]:[Bottle Size(Ltr)]],6,0)*Primary_Order[[#This Row],[Free Quantity]]</f>
        <v>0</v>
      </c>
      <c r="AK79" s="206" t="str">
        <f>VLOOKUP(Primary_Order[[#This Row],[Product ID]],SKU[[SKU ID]:[Bottle Size(Ltr)]],4,0)</f>
        <v>20x1.2L</v>
      </c>
      <c r="AL79" s="231">
        <f>VLOOKUP(Primary_Order[[#This Row],[Product ID]],SKU[],14,0)*Primary_Order[[#This Row],[Total Qty]]</f>
        <v>9397.9559070121941</v>
      </c>
      <c r="AM79" s="231">
        <f>IF(Primary_Order[[#This Row],[Cost]]=0,0,Primary_Order[[#This Row],[Net Total(-15%)]]-Primary_Order[[#This Row],[Cost]])</f>
        <v>1732.4788755965019</v>
      </c>
      <c r="AN79" s="206" t="str">
        <f>"O-"&amp;Primary_Order[[#This Row],[Date]]&amp;"-"&amp;Primary_Order[[#This Row],[MMD ID]]</f>
        <v>O-45673-D-0006</v>
      </c>
      <c r="AO79" s="206" t="str" cm="1">
        <f t="array" ref="AO7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0" spans="1:41" x14ac:dyDescent="0.5">
      <c r="A80" s="206" t="s">
        <v>1056</v>
      </c>
      <c r="B80" s="230">
        <v>45673</v>
      </c>
      <c r="C80" s="206" t="s">
        <v>90</v>
      </c>
      <c r="D80" s="206" t="s">
        <v>1045</v>
      </c>
      <c r="E80" s="206" t="s">
        <v>42</v>
      </c>
      <c r="F80" s="206" t="s">
        <v>1046</v>
      </c>
      <c r="G80" s="206" t="s">
        <v>39</v>
      </c>
      <c r="H80" s="206" t="s">
        <v>40</v>
      </c>
      <c r="I80" s="206" t="s">
        <v>91</v>
      </c>
      <c r="J80" s="206" t="s">
        <v>93</v>
      </c>
      <c r="K80" s="206" t="s">
        <v>75</v>
      </c>
      <c r="L80" s="206" t="str">
        <f>VLOOKUP(Primary_Order[[#This Row],[Product ID]],SKU[],3,0)</f>
        <v>31004T GOLD 20W50</v>
      </c>
      <c r="M80" s="231">
        <v>60</v>
      </c>
      <c r="N80" s="231">
        <v>600</v>
      </c>
      <c r="O80" s="231">
        <v>60</v>
      </c>
      <c r="P80" s="232"/>
      <c r="Q80" s="231">
        <v>0</v>
      </c>
      <c r="R80" s="231">
        <v>600</v>
      </c>
      <c r="S80" s="231">
        <v>60</v>
      </c>
      <c r="T80" s="231">
        <v>60</v>
      </c>
      <c r="U80" s="231">
        <v>36000</v>
      </c>
      <c r="V80" s="231">
        <v>0</v>
      </c>
      <c r="W80" s="231">
        <v>36000</v>
      </c>
      <c r="X80" s="231">
        <v>4695.652173913043</v>
      </c>
      <c r="Y80" s="231">
        <v>31304.347826086956</v>
      </c>
      <c r="Z80" s="206" t="s">
        <v>882</v>
      </c>
      <c r="AA80" s="206">
        <v>593</v>
      </c>
      <c r="AB80" s="206" t="s">
        <v>641</v>
      </c>
      <c r="AC80" s="230">
        <v>45676</v>
      </c>
      <c r="AD80" s="206" t="s">
        <v>50</v>
      </c>
      <c r="AE80" s="206" t="str">
        <f>IFERROR(VLOOKUP(Primary_Order[[#This Row],[AM]],SP!$E$19:$F$23,2,0),Primary_Order[[#This Row],[AM]])</f>
        <v>Central</v>
      </c>
      <c r="AF80" s="206" t="str">
        <f>VLOOKUP(Primary_Order[[#This Row],[Product ID]],SKU[],10,0)</f>
        <v>Technosynthese</v>
      </c>
      <c r="AG80" s="206" t="str">
        <f>VLOOKUP(Primary_Order[[#This Row],[Product ID]],SKU[],9,0)</f>
        <v>MCO</v>
      </c>
      <c r="AH80" s="206" t="str">
        <f>VLOOKUP(Primary_Order[[#This Row],[Product ID]],SKU[],12,0)</f>
        <v>20W50</v>
      </c>
      <c r="AI80" s="206" t="str">
        <f>VLOOKUP(Primary_Order[[#This Row],[Product ID]],SKU[],13,0)</f>
        <v>3100</v>
      </c>
      <c r="AJ80" s="233">
        <f>VLOOKUP(Primary_Order[[#This Row],[Product ID]],SKU[[SKU ID]:[Bottle Size(Ltr)]],6,0)*Primary_Order[[#This Row],[Free Quantity]]</f>
        <v>0</v>
      </c>
      <c r="AK80" s="206" t="str">
        <f>VLOOKUP(Primary_Order[[#This Row],[Product ID]],SKU[[SKU ID]:[Bottle Size(Ltr)]],4,0)</f>
        <v>20x1L</v>
      </c>
      <c r="AL80" s="231">
        <f>VLOOKUP(Primary_Order[[#This Row],[Product ID]],SKU[],14,0)*Primary_Order[[#This Row],[Total Qty]]</f>
        <v>28163.399999999998</v>
      </c>
      <c r="AM80" s="231">
        <f>IF(Primary_Order[[#This Row],[Cost]]=0,0,Primary_Order[[#This Row],[Net Total(-15%)]]-Primary_Order[[#This Row],[Cost]])</f>
        <v>3140.9478260869582</v>
      </c>
      <c r="AN80" s="206" t="str">
        <f>"O-"&amp;Primary_Order[[#This Row],[Date]]&amp;"-"&amp;Primary_Order[[#This Row],[MMD ID]]</f>
        <v>O-45673-D-0006</v>
      </c>
      <c r="AO80" s="206" t="str" cm="1">
        <f t="array" ref="AO8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1" spans="1:41" x14ac:dyDescent="0.5">
      <c r="A81" s="206" t="s">
        <v>1056</v>
      </c>
      <c r="B81" s="230">
        <v>45673</v>
      </c>
      <c r="C81" s="206" t="s">
        <v>90</v>
      </c>
      <c r="D81" s="206" t="s">
        <v>1045</v>
      </c>
      <c r="E81" s="206" t="s">
        <v>42</v>
      </c>
      <c r="F81" s="206" t="s">
        <v>1046</v>
      </c>
      <c r="G81" s="206" t="s">
        <v>39</v>
      </c>
      <c r="H81" s="206" t="s">
        <v>40</v>
      </c>
      <c r="I81" s="206" t="s">
        <v>91</v>
      </c>
      <c r="J81" s="206" t="s">
        <v>93</v>
      </c>
      <c r="K81" s="206" t="s">
        <v>36</v>
      </c>
      <c r="L81" s="206" t="str">
        <f>VLOOKUP(Primary_Order[[#This Row],[Product ID]],SKU[],3,0)</f>
        <v>51004T 10W40 ESTER</v>
      </c>
      <c r="M81" s="231">
        <v>60</v>
      </c>
      <c r="N81" s="231">
        <v>860</v>
      </c>
      <c r="O81" s="231">
        <v>60</v>
      </c>
      <c r="P81" s="232"/>
      <c r="Q81" s="231">
        <v>0</v>
      </c>
      <c r="R81" s="231">
        <v>860</v>
      </c>
      <c r="S81" s="231">
        <v>60</v>
      </c>
      <c r="T81" s="231">
        <v>60</v>
      </c>
      <c r="U81" s="231">
        <v>51600</v>
      </c>
      <c r="V81" s="231">
        <v>0</v>
      </c>
      <c r="W81" s="231">
        <v>51600</v>
      </c>
      <c r="X81" s="231">
        <v>6730.434782608696</v>
      </c>
      <c r="Y81" s="231">
        <v>44869.565217391304</v>
      </c>
      <c r="Z81" s="206" t="s">
        <v>882</v>
      </c>
      <c r="AA81" s="206">
        <v>593</v>
      </c>
      <c r="AB81" s="206" t="s">
        <v>641</v>
      </c>
      <c r="AC81" s="230">
        <v>45676</v>
      </c>
      <c r="AD81" s="206" t="s">
        <v>50</v>
      </c>
      <c r="AE81" s="206" t="str">
        <f>IFERROR(VLOOKUP(Primary_Order[[#This Row],[AM]],SP!$E$19:$F$23,2,0),Primary_Order[[#This Row],[AM]])</f>
        <v>Central</v>
      </c>
      <c r="AF81" s="206" t="str">
        <f>VLOOKUP(Primary_Order[[#This Row],[Product ID]],SKU[],10,0)</f>
        <v>Technosynthese</v>
      </c>
      <c r="AG81" s="206" t="str">
        <f>VLOOKUP(Primary_Order[[#This Row],[Product ID]],SKU[],9,0)</f>
        <v>MCO</v>
      </c>
      <c r="AH81" s="206" t="str">
        <f>VLOOKUP(Primary_Order[[#This Row],[Product ID]],SKU[],12,0)</f>
        <v>10W40</v>
      </c>
      <c r="AI81" s="206" t="str">
        <f>VLOOKUP(Primary_Order[[#This Row],[Product ID]],SKU[],13,0)</f>
        <v>5100</v>
      </c>
      <c r="AJ81" s="233">
        <f>VLOOKUP(Primary_Order[[#This Row],[Product ID]],SKU[[SKU ID]:[Bottle Size(Ltr)]],6,0)*Primary_Order[[#This Row],[Free Quantity]]</f>
        <v>0</v>
      </c>
      <c r="AK81" s="206" t="str">
        <f>VLOOKUP(Primary_Order[[#This Row],[Product ID]],SKU[[SKU ID]:[Bottle Size(Ltr)]],4,0)</f>
        <v>12x1L</v>
      </c>
      <c r="AL81" s="231">
        <f>VLOOKUP(Primary_Order[[#This Row],[Product ID]],SKU[],14,0)*Primary_Order[[#This Row],[Total Qty]]</f>
        <v>36499.800000000003</v>
      </c>
      <c r="AM81" s="231">
        <f>IF(Primary_Order[[#This Row],[Cost]]=0,0,Primary_Order[[#This Row],[Net Total(-15%)]]-Primary_Order[[#This Row],[Cost]])</f>
        <v>8369.7652173913011</v>
      </c>
      <c r="AN81" s="206" t="str">
        <f>"O-"&amp;Primary_Order[[#This Row],[Date]]&amp;"-"&amp;Primary_Order[[#This Row],[MMD ID]]</f>
        <v>O-45673-D-0006</v>
      </c>
      <c r="AO81" s="206" t="str" cm="1">
        <f t="array" ref="AO8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2" spans="1:41" x14ac:dyDescent="0.5">
      <c r="A82" s="206" t="s">
        <v>1056</v>
      </c>
      <c r="B82" s="230">
        <v>45673</v>
      </c>
      <c r="C82" s="206" t="s">
        <v>90</v>
      </c>
      <c r="D82" s="206" t="s">
        <v>1045</v>
      </c>
      <c r="E82" s="206" t="s">
        <v>42</v>
      </c>
      <c r="F82" s="206" t="s">
        <v>1046</v>
      </c>
      <c r="G82" s="206" t="s">
        <v>39</v>
      </c>
      <c r="H82" s="206" t="s">
        <v>40</v>
      </c>
      <c r="I82" s="206" t="s">
        <v>91</v>
      </c>
      <c r="J82" s="206" t="s">
        <v>93</v>
      </c>
      <c r="K82" s="206" t="s">
        <v>56</v>
      </c>
      <c r="L82" s="206" t="str">
        <f>VLOOKUP(Primary_Order[[#This Row],[Product ID]],SKU[],3,0)</f>
        <v>7100 4T 10W30 ESTER CORE®</v>
      </c>
      <c r="M82" s="231">
        <v>36</v>
      </c>
      <c r="N82" s="231">
        <v>1060</v>
      </c>
      <c r="O82" s="231">
        <v>36</v>
      </c>
      <c r="P82" s="232"/>
      <c r="Q82" s="231">
        <v>0</v>
      </c>
      <c r="R82" s="231">
        <v>1060</v>
      </c>
      <c r="S82" s="231">
        <v>36</v>
      </c>
      <c r="T82" s="231">
        <v>36</v>
      </c>
      <c r="U82" s="231">
        <v>38160</v>
      </c>
      <c r="V82" s="231">
        <v>0</v>
      </c>
      <c r="W82" s="231">
        <v>38160</v>
      </c>
      <c r="X82" s="231">
        <v>4977.391304347826</v>
      </c>
      <c r="Y82" s="231">
        <v>33182.608695652176</v>
      </c>
      <c r="Z82" s="206" t="s">
        <v>882</v>
      </c>
      <c r="AA82" s="206">
        <v>593</v>
      </c>
      <c r="AB82" s="206" t="s">
        <v>641</v>
      </c>
      <c r="AC82" s="230">
        <v>45676</v>
      </c>
      <c r="AD82" s="206" t="s">
        <v>50</v>
      </c>
      <c r="AE82" s="206" t="str">
        <f>IFERROR(VLOOKUP(Primary_Order[[#This Row],[AM]],SP!$E$19:$F$23,2,0),Primary_Order[[#This Row],[AM]])</f>
        <v>Central</v>
      </c>
      <c r="AF82" s="206" t="str">
        <f>VLOOKUP(Primary_Order[[#This Row],[Product ID]],SKU[],10,0)</f>
        <v>Synthetic</v>
      </c>
      <c r="AG82" s="206" t="str">
        <f>VLOOKUP(Primary_Order[[#This Row],[Product ID]],SKU[],9,0)</f>
        <v>MCO</v>
      </c>
      <c r="AH82" s="206" t="str">
        <f>VLOOKUP(Primary_Order[[#This Row],[Product ID]],SKU[],12,0)</f>
        <v>10W30</v>
      </c>
      <c r="AI82" s="206" t="str">
        <f>VLOOKUP(Primary_Order[[#This Row],[Product ID]],SKU[],13,0)</f>
        <v>7100</v>
      </c>
      <c r="AJ82" s="233">
        <f>VLOOKUP(Primary_Order[[#This Row],[Product ID]],SKU[[SKU ID]:[Bottle Size(Ltr)]],6,0)*Primary_Order[[#This Row],[Free Quantity]]</f>
        <v>0</v>
      </c>
      <c r="AK82" s="206" t="str">
        <f>VLOOKUP(Primary_Order[[#This Row],[Product ID]],SKU[[SKU ID]:[Bottle Size(Ltr)]],4,0)</f>
        <v>12x1L</v>
      </c>
      <c r="AL82" s="231">
        <f>VLOOKUP(Primary_Order[[#This Row],[Product ID]],SKU[],14,0)*Primary_Order[[#This Row],[Total Qty]]</f>
        <v>24834.959999999999</v>
      </c>
      <c r="AM82" s="231">
        <f>IF(Primary_Order[[#This Row],[Cost]]=0,0,Primary_Order[[#This Row],[Net Total(-15%)]]-Primary_Order[[#This Row],[Cost]])</f>
        <v>8347.6486956521767</v>
      </c>
      <c r="AN82" s="206" t="str">
        <f>"O-"&amp;Primary_Order[[#This Row],[Date]]&amp;"-"&amp;Primary_Order[[#This Row],[MMD ID]]</f>
        <v>O-45673-D-0006</v>
      </c>
      <c r="AO82" s="206" t="str" cm="1">
        <f t="array" ref="AO8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3" spans="1:41" x14ac:dyDescent="0.5">
      <c r="A83" s="206" t="s">
        <v>1056</v>
      </c>
      <c r="B83" s="230">
        <v>45673</v>
      </c>
      <c r="C83" s="206" t="s">
        <v>90</v>
      </c>
      <c r="D83" s="206" t="s">
        <v>1045</v>
      </c>
      <c r="E83" s="206" t="s">
        <v>42</v>
      </c>
      <c r="F83" s="206" t="s">
        <v>1046</v>
      </c>
      <c r="G83" s="206" t="s">
        <v>39</v>
      </c>
      <c r="H83" s="206" t="s">
        <v>40</v>
      </c>
      <c r="I83" s="206" t="s">
        <v>91</v>
      </c>
      <c r="J83" s="206" t="s">
        <v>93</v>
      </c>
      <c r="K83" s="206" t="s">
        <v>43</v>
      </c>
      <c r="L83" s="206" t="str">
        <f>VLOOKUP(Primary_Order[[#This Row],[Product ID]],SKU[],3,0)</f>
        <v>7100 4T 10W30 ESTER CORE®</v>
      </c>
      <c r="M83" s="231">
        <v>40</v>
      </c>
      <c r="N83" s="231">
        <v>1260</v>
      </c>
      <c r="O83" s="231">
        <v>48</v>
      </c>
      <c r="P83" s="232"/>
      <c r="Q83" s="231">
        <v>0</v>
      </c>
      <c r="R83" s="231">
        <v>1260</v>
      </c>
      <c r="S83" s="231">
        <v>40</v>
      </c>
      <c r="T83" s="231">
        <v>48</v>
      </c>
      <c r="U83" s="231">
        <v>50400</v>
      </c>
      <c r="V83" s="231">
        <v>0</v>
      </c>
      <c r="W83" s="231">
        <v>50400</v>
      </c>
      <c r="X83" s="231">
        <v>6573.913043478261</v>
      </c>
      <c r="Y83" s="231">
        <v>43826.086956521736</v>
      </c>
      <c r="Z83" s="206" t="s">
        <v>882</v>
      </c>
      <c r="AA83" s="206">
        <v>593</v>
      </c>
      <c r="AB83" s="206" t="s">
        <v>641</v>
      </c>
      <c r="AC83" s="230">
        <v>45676</v>
      </c>
      <c r="AD83" s="206" t="s">
        <v>50</v>
      </c>
      <c r="AE83" s="206" t="str">
        <f>IFERROR(VLOOKUP(Primary_Order[[#This Row],[AM]],SP!$E$19:$F$23,2,0),Primary_Order[[#This Row],[AM]])</f>
        <v>Central</v>
      </c>
      <c r="AF83" s="206" t="str">
        <f>VLOOKUP(Primary_Order[[#This Row],[Product ID]],SKU[],10,0)</f>
        <v>Synthetic</v>
      </c>
      <c r="AG83" s="206" t="str">
        <f>VLOOKUP(Primary_Order[[#This Row],[Product ID]],SKU[],9,0)</f>
        <v>MCO</v>
      </c>
      <c r="AH83" s="206" t="str">
        <f>VLOOKUP(Primary_Order[[#This Row],[Product ID]],SKU[],12,0)</f>
        <v>10W30</v>
      </c>
      <c r="AI83" s="206" t="str">
        <f>VLOOKUP(Primary_Order[[#This Row],[Product ID]],SKU[],13,0)</f>
        <v>7100</v>
      </c>
      <c r="AJ83" s="233">
        <f>VLOOKUP(Primary_Order[[#This Row],[Product ID]],SKU[[SKU ID]:[Bottle Size(Ltr)]],6,0)*Primary_Order[[#This Row],[Free Quantity]]</f>
        <v>0</v>
      </c>
      <c r="AK83" s="206" t="str">
        <f>VLOOKUP(Primary_Order[[#This Row],[Product ID]],SKU[[SKU ID]:[Bottle Size(Ltr)]],4,0)</f>
        <v>20x1.2L</v>
      </c>
      <c r="AL83" s="231">
        <f>VLOOKUP(Primary_Order[[#This Row],[Product ID]],SKU[],14,0)*Primary_Order[[#This Row],[Total Qty]]</f>
        <v>31092</v>
      </c>
      <c r="AM83" s="231">
        <f>IF(Primary_Order[[#This Row],[Cost]]=0,0,Primary_Order[[#This Row],[Net Total(-15%)]]-Primary_Order[[#This Row],[Cost]])</f>
        <v>12734.086956521736</v>
      </c>
      <c r="AN83" s="206" t="str">
        <f>"O-"&amp;Primary_Order[[#This Row],[Date]]&amp;"-"&amp;Primary_Order[[#This Row],[MMD ID]]</f>
        <v>O-45673-D-0006</v>
      </c>
      <c r="AO83" s="206" t="str" cm="1">
        <f t="array" ref="AO8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4" spans="1:41" x14ac:dyDescent="0.5">
      <c r="A84" s="206" t="s">
        <v>1056</v>
      </c>
      <c r="B84" s="230">
        <v>45673</v>
      </c>
      <c r="C84" s="206" t="s">
        <v>90</v>
      </c>
      <c r="D84" s="206" t="s">
        <v>1045</v>
      </c>
      <c r="E84" s="206" t="s">
        <v>42</v>
      </c>
      <c r="F84" s="206" t="s">
        <v>1046</v>
      </c>
      <c r="G84" s="206" t="s">
        <v>39</v>
      </c>
      <c r="H84" s="206" t="s">
        <v>40</v>
      </c>
      <c r="I84" s="206" t="s">
        <v>91</v>
      </c>
      <c r="J84" s="206" t="s">
        <v>93</v>
      </c>
      <c r="K84" s="206" t="s">
        <v>81</v>
      </c>
      <c r="L84" s="206" t="str">
        <f>VLOOKUP(Primary_Order[[#This Row],[Product ID]],SKU[],3,0)</f>
        <v>3000 4T 20W50</v>
      </c>
      <c r="M84" s="231">
        <v>20</v>
      </c>
      <c r="N84" s="231">
        <v>495</v>
      </c>
      <c r="O84" s="231">
        <v>20</v>
      </c>
      <c r="P84" s="232"/>
      <c r="Q84" s="231">
        <v>0</v>
      </c>
      <c r="R84" s="231">
        <v>495</v>
      </c>
      <c r="S84" s="231">
        <v>20</v>
      </c>
      <c r="T84" s="231">
        <v>20</v>
      </c>
      <c r="U84" s="231">
        <v>9900</v>
      </c>
      <c r="V84" s="231">
        <v>0</v>
      </c>
      <c r="W84" s="231">
        <v>9900</v>
      </c>
      <c r="X84" s="231">
        <v>1291.304347826087</v>
      </c>
      <c r="Y84" s="231">
        <v>8608.6956521739139</v>
      </c>
      <c r="Z84" s="206" t="s">
        <v>882</v>
      </c>
      <c r="AA84" s="206">
        <v>593</v>
      </c>
      <c r="AB84" s="206" t="s">
        <v>641</v>
      </c>
      <c r="AC84" s="230">
        <v>45676</v>
      </c>
      <c r="AD84" s="206" t="s">
        <v>50</v>
      </c>
      <c r="AE84" s="206" t="str">
        <f>IFERROR(VLOOKUP(Primary_Order[[#This Row],[AM]],SP!$E$19:$F$23,2,0),Primary_Order[[#This Row],[AM]])</f>
        <v>Central</v>
      </c>
      <c r="AF84" s="206" t="str">
        <f>VLOOKUP(Primary_Order[[#This Row],[Product ID]],SKU[],10,0)</f>
        <v>Mineral</v>
      </c>
      <c r="AG84" s="206" t="str">
        <f>VLOOKUP(Primary_Order[[#This Row],[Product ID]],SKU[],9,0)</f>
        <v>MCO</v>
      </c>
      <c r="AH84" s="206" t="str">
        <f>VLOOKUP(Primary_Order[[#This Row],[Product ID]],SKU[],12,0)</f>
        <v>20W50</v>
      </c>
      <c r="AI84" s="206" t="str">
        <f>VLOOKUP(Primary_Order[[#This Row],[Product ID]],SKU[],13,0)</f>
        <v>3000</v>
      </c>
      <c r="AJ84" s="233">
        <f>VLOOKUP(Primary_Order[[#This Row],[Product ID]],SKU[[SKU ID]:[Bottle Size(Ltr)]],6,0)*Primary_Order[[#This Row],[Free Quantity]]</f>
        <v>0</v>
      </c>
      <c r="AK84" s="206" t="str">
        <f>VLOOKUP(Primary_Order[[#This Row],[Product ID]],SKU[[SKU ID]:[Bottle Size(Ltr)]],4,0)</f>
        <v>20x1L</v>
      </c>
      <c r="AL84" s="231">
        <f>VLOOKUP(Primary_Order[[#This Row],[Product ID]],SKU[],14,0)*Primary_Order[[#This Row],[Total Qty]]</f>
        <v>7298.4000000000005</v>
      </c>
      <c r="AM84" s="231">
        <f>IF(Primary_Order[[#This Row],[Cost]]=0,0,Primary_Order[[#This Row],[Net Total(-15%)]]-Primary_Order[[#This Row],[Cost]])</f>
        <v>1310.2956521739134</v>
      </c>
      <c r="AN84" s="206" t="str">
        <f>"O-"&amp;Primary_Order[[#This Row],[Date]]&amp;"-"&amp;Primary_Order[[#This Row],[MMD ID]]</f>
        <v>O-45673-D-0006</v>
      </c>
      <c r="AO84" s="206" t="str" cm="1">
        <f t="array" ref="AO8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5" spans="1:41" x14ac:dyDescent="0.5">
      <c r="A85" s="206" t="s">
        <v>1056</v>
      </c>
      <c r="B85" s="230">
        <v>45673</v>
      </c>
      <c r="C85" s="206" t="s">
        <v>90</v>
      </c>
      <c r="D85" s="206" t="s">
        <v>1045</v>
      </c>
      <c r="E85" s="206" t="s">
        <v>42</v>
      </c>
      <c r="F85" s="206" t="s">
        <v>1046</v>
      </c>
      <c r="G85" s="206" t="s">
        <v>39</v>
      </c>
      <c r="H85" s="206" t="s">
        <v>40</v>
      </c>
      <c r="I85" s="206" t="s">
        <v>91</v>
      </c>
      <c r="J85" s="206" t="s">
        <v>93</v>
      </c>
      <c r="K85" s="206" t="s">
        <v>99</v>
      </c>
      <c r="L85" s="206" t="str">
        <f>VLOOKUP(Primary_Order[[#This Row],[Product ID]],SKU[],3,0)</f>
        <v>3000 4T 20W50</v>
      </c>
      <c r="M85" s="231">
        <v>20</v>
      </c>
      <c r="N85" s="231">
        <v>595</v>
      </c>
      <c r="O85" s="231">
        <v>24</v>
      </c>
      <c r="P85" s="232"/>
      <c r="Q85" s="231">
        <v>0</v>
      </c>
      <c r="R85" s="231">
        <v>595</v>
      </c>
      <c r="S85" s="231">
        <v>20</v>
      </c>
      <c r="T85" s="231">
        <v>24</v>
      </c>
      <c r="U85" s="231">
        <v>11900</v>
      </c>
      <c r="V85" s="231">
        <v>0</v>
      </c>
      <c r="W85" s="231">
        <v>11900</v>
      </c>
      <c r="X85" s="231">
        <v>1552.1739130434783</v>
      </c>
      <c r="Y85" s="231">
        <v>10347.826086956522</v>
      </c>
      <c r="Z85" s="206" t="s">
        <v>882</v>
      </c>
      <c r="AA85" s="206">
        <v>593</v>
      </c>
      <c r="AB85" s="206" t="s">
        <v>641</v>
      </c>
      <c r="AC85" s="230">
        <v>45676</v>
      </c>
      <c r="AD85" s="206" t="s">
        <v>50</v>
      </c>
      <c r="AE85" s="206" t="str">
        <f>IFERROR(VLOOKUP(Primary_Order[[#This Row],[AM]],SP!$E$19:$F$23,2,0),Primary_Order[[#This Row],[AM]])</f>
        <v>Central</v>
      </c>
      <c r="AF85" s="206" t="str">
        <f>VLOOKUP(Primary_Order[[#This Row],[Product ID]],SKU[],10,0)</f>
        <v>Mineral</v>
      </c>
      <c r="AG85" s="206" t="str">
        <f>VLOOKUP(Primary_Order[[#This Row],[Product ID]],SKU[],9,0)</f>
        <v>MCO</v>
      </c>
      <c r="AH85" s="206" t="str">
        <f>VLOOKUP(Primary_Order[[#This Row],[Product ID]],SKU[],12,0)</f>
        <v>20W50</v>
      </c>
      <c r="AI85" s="206" t="str">
        <f>VLOOKUP(Primary_Order[[#This Row],[Product ID]],SKU[],13,0)</f>
        <v>3000</v>
      </c>
      <c r="AJ85" s="233">
        <f>VLOOKUP(Primary_Order[[#This Row],[Product ID]],SKU[[SKU ID]:[Bottle Size(Ltr)]],6,0)*Primary_Order[[#This Row],[Free Quantity]]</f>
        <v>0</v>
      </c>
      <c r="AK85" s="206" t="str">
        <f>VLOOKUP(Primary_Order[[#This Row],[Product ID]],SKU[[SKU ID]:[Bottle Size(Ltr)]],4,0)</f>
        <v>20x1.2L</v>
      </c>
      <c r="AL85" s="231">
        <f>VLOOKUP(Primary_Order[[#This Row],[Product ID]],SKU[],14,0)*Primary_Order[[#This Row],[Total Qty]]</f>
        <v>8692.2000000000007</v>
      </c>
      <c r="AM85" s="231">
        <f>IF(Primary_Order[[#This Row],[Cost]]=0,0,Primary_Order[[#This Row],[Net Total(-15%)]]-Primary_Order[[#This Row],[Cost]])</f>
        <v>1655.6260869565212</v>
      </c>
      <c r="AN85" s="206" t="str">
        <f>"O-"&amp;Primary_Order[[#This Row],[Date]]&amp;"-"&amp;Primary_Order[[#This Row],[MMD ID]]</f>
        <v>O-45673-D-0006</v>
      </c>
      <c r="AO85" s="206" t="str" cm="1">
        <f t="array" ref="AO8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6" spans="1:41" x14ac:dyDescent="0.5">
      <c r="A86" s="206" t="s">
        <v>1057</v>
      </c>
      <c r="B86" s="230">
        <v>45673</v>
      </c>
      <c r="C86" s="206" t="s">
        <v>102</v>
      </c>
      <c r="D86" s="206" t="s">
        <v>46</v>
      </c>
      <c r="E86" s="206" t="s">
        <v>1047</v>
      </c>
      <c r="F86" s="206" t="s">
        <v>1048</v>
      </c>
      <c r="G86" s="206" t="s">
        <v>45</v>
      </c>
      <c r="H86" s="206" t="s">
        <v>28</v>
      </c>
      <c r="I86" s="206" t="s">
        <v>46</v>
      </c>
      <c r="J86" s="206" t="s">
        <v>47</v>
      </c>
      <c r="K86" s="206" t="s">
        <v>152</v>
      </c>
      <c r="L86" s="206" t="str">
        <f>VLOOKUP(Primary_Order[[#This Row],[Product ID]],SKU[],3,0)</f>
        <v>Inugel Expert Coolant</v>
      </c>
      <c r="M86" s="231">
        <v>40</v>
      </c>
      <c r="N86" s="231">
        <v>425</v>
      </c>
      <c r="O86" s="231">
        <v>40</v>
      </c>
      <c r="P86" s="232"/>
      <c r="Q86" s="231">
        <v>0</v>
      </c>
      <c r="R86" s="231">
        <v>425</v>
      </c>
      <c r="S86" s="231">
        <v>40</v>
      </c>
      <c r="T86" s="231">
        <v>40</v>
      </c>
      <c r="U86" s="231">
        <v>17000</v>
      </c>
      <c r="V86" s="231">
        <v>0</v>
      </c>
      <c r="W86" s="231">
        <v>17000</v>
      </c>
      <c r="X86" s="231">
        <v>2217.391304347826</v>
      </c>
      <c r="Y86" s="231">
        <v>14782.608695652174</v>
      </c>
      <c r="Z86" s="206" t="s">
        <v>882</v>
      </c>
      <c r="AA86" s="206">
        <v>594</v>
      </c>
      <c r="AB86" s="206" t="s">
        <v>641</v>
      </c>
      <c r="AC86" s="230">
        <v>45676</v>
      </c>
      <c r="AD86" s="206" t="s">
        <v>50</v>
      </c>
      <c r="AE86" s="206" t="str">
        <f>IFERROR(VLOOKUP(Primary_Order[[#This Row],[AM]],SP!$E$19:$F$23,2,0),Primary_Order[[#This Row],[AM]])</f>
        <v>Eastern</v>
      </c>
      <c r="AF86" s="206" t="str">
        <f>VLOOKUP(Primary_Order[[#This Row],[Product ID]],SKU[],10,0)</f>
        <v>Care Products</v>
      </c>
      <c r="AG86" s="206" t="str">
        <f>VLOOKUP(Primary_Order[[#This Row],[Product ID]],SKU[],9,0)</f>
        <v>Care Products</v>
      </c>
      <c r="AH86" s="206" t="str">
        <f>VLOOKUP(Primary_Order[[#This Row],[Product ID]],SKU[],12,0)</f>
        <v>Care Products</v>
      </c>
      <c r="AI86" s="206" t="str">
        <f>VLOOKUP(Primary_Order[[#This Row],[Product ID]],SKU[],13,0)</f>
        <v>Coolant</v>
      </c>
      <c r="AJ86" s="233">
        <f>VLOOKUP(Primary_Order[[#This Row],[Product ID]],SKU[[SKU ID]:[Bottle Size(Ltr)]],6,0)*Primary_Order[[#This Row],[Free Quantity]]</f>
        <v>0</v>
      </c>
      <c r="AK86" s="206" t="str">
        <f>VLOOKUP(Primary_Order[[#This Row],[Product ID]],SKU[[SKU ID]:[Bottle Size(Ltr)]],4,0)</f>
        <v>20x1L</v>
      </c>
      <c r="AL86" s="231">
        <f>VLOOKUP(Primary_Order[[#This Row],[Product ID]],SKU[],14,0)*Primary_Order[[#This Row],[Total Qty]]</f>
        <v>9225.5999999999985</v>
      </c>
      <c r="AM86" s="231">
        <f>IF(Primary_Order[[#This Row],[Cost]]=0,0,Primary_Order[[#This Row],[Net Total(-15%)]]-Primary_Order[[#This Row],[Cost]])</f>
        <v>5557.0086956521754</v>
      </c>
      <c r="AN86" s="206" t="str">
        <f>"O-"&amp;Primary_Order[[#This Row],[Date]]&amp;"-"&amp;Primary_Order[[#This Row],[MMD ID]]</f>
        <v>O-45673-D-0003</v>
      </c>
      <c r="AO86" s="206" t="str" cm="1">
        <f t="array" ref="AO8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7" spans="1:41" x14ac:dyDescent="0.5">
      <c r="A87" s="206" t="s">
        <v>1057</v>
      </c>
      <c r="B87" s="230">
        <v>45673</v>
      </c>
      <c r="C87" s="206" t="s">
        <v>102</v>
      </c>
      <c r="D87" s="206" t="s">
        <v>46</v>
      </c>
      <c r="E87" s="206" t="s">
        <v>1047</v>
      </c>
      <c r="F87" s="206" t="s">
        <v>1048</v>
      </c>
      <c r="G87" s="206" t="s">
        <v>45</v>
      </c>
      <c r="H87" s="206" t="s">
        <v>28</v>
      </c>
      <c r="I87" s="206" t="s">
        <v>46</v>
      </c>
      <c r="J87" s="206" t="s">
        <v>47</v>
      </c>
      <c r="K87" s="206" t="s">
        <v>81</v>
      </c>
      <c r="L87" s="206" t="str">
        <f>VLOOKUP(Primary_Order[[#This Row],[Product ID]],SKU[],3,0)</f>
        <v>3000 4T 20W50</v>
      </c>
      <c r="M87" s="231">
        <v>500</v>
      </c>
      <c r="N87" s="231">
        <v>485</v>
      </c>
      <c r="O87" s="231">
        <v>500</v>
      </c>
      <c r="P87" s="232"/>
      <c r="Q87" s="231">
        <v>0</v>
      </c>
      <c r="R87" s="231">
        <v>485</v>
      </c>
      <c r="S87" s="231">
        <v>500</v>
      </c>
      <c r="T87" s="231">
        <v>500</v>
      </c>
      <c r="U87" s="231">
        <v>242500</v>
      </c>
      <c r="V87" s="231">
        <v>0</v>
      </c>
      <c r="W87" s="231">
        <v>242500</v>
      </c>
      <c r="X87" s="231">
        <v>31630.434782608696</v>
      </c>
      <c r="Y87" s="231">
        <v>210869.5652173913</v>
      </c>
      <c r="Z87" s="206" t="s">
        <v>882</v>
      </c>
      <c r="AA87" s="206">
        <v>594</v>
      </c>
      <c r="AB87" s="206" t="s">
        <v>641</v>
      </c>
      <c r="AC87" s="230">
        <v>45676</v>
      </c>
      <c r="AD87" s="206" t="s">
        <v>50</v>
      </c>
      <c r="AE87" s="206" t="str">
        <f>IFERROR(VLOOKUP(Primary_Order[[#This Row],[AM]],SP!$E$19:$F$23,2,0),Primary_Order[[#This Row],[AM]])</f>
        <v>Eastern</v>
      </c>
      <c r="AF87" s="206" t="str">
        <f>VLOOKUP(Primary_Order[[#This Row],[Product ID]],SKU[],10,0)</f>
        <v>Mineral</v>
      </c>
      <c r="AG87" s="206" t="str">
        <f>VLOOKUP(Primary_Order[[#This Row],[Product ID]],SKU[],9,0)</f>
        <v>MCO</v>
      </c>
      <c r="AH87" s="206" t="str">
        <f>VLOOKUP(Primary_Order[[#This Row],[Product ID]],SKU[],12,0)</f>
        <v>20W50</v>
      </c>
      <c r="AI87" s="206" t="str">
        <f>VLOOKUP(Primary_Order[[#This Row],[Product ID]],SKU[],13,0)</f>
        <v>3000</v>
      </c>
      <c r="AJ87" s="233">
        <f>VLOOKUP(Primary_Order[[#This Row],[Product ID]],SKU[[SKU ID]:[Bottle Size(Ltr)]],6,0)*Primary_Order[[#This Row],[Free Quantity]]</f>
        <v>0</v>
      </c>
      <c r="AK87" s="206" t="str">
        <f>VLOOKUP(Primary_Order[[#This Row],[Product ID]],SKU[[SKU ID]:[Bottle Size(Ltr)]],4,0)</f>
        <v>20x1L</v>
      </c>
      <c r="AL87" s="231">
        <f>VLOOKUP(Primary_Order[[#This Row],[Product ID]],SKU[],14,0)*Primary_Order[[#This Row],[Total Qty]]</f>
        <v>182460</v>
      </c>
      <c r="AM87" s="231">
        <f>IF(Primary_Order[[#This Row],[Cost]]=0,0,Primary_Order[[#This Row],[Net Total(-15%)]]-Primary_Order[[#This Row],[Cost]])</f>
        <v>28409.565217391297</v>
      </c>
      <c r="AN87" s="206" t="str">
        <f>"O-"&amp;Primary_Order[[#This Row],[Date]]&amp;"-"&amp;Primary_Order[[#This Row],[MMD ID]]</f>
        <v>O-45673-D-0003</v>
      </c>
      <c r="AO87" s="206" t="str" cm="1">
        <f t="array" ref="AO8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8" spans="1:41" x14ac:dyDescent="0.5">
      <c r="A88" s="206" t="s">
        <v>1058</v>
      </c>
      <c r="B88" s="230">
        <v>45673</v>
      </c>
      <c r="C88" s="206" t="s">
        <v>103</v>
      </c>
      <c r="D88" s="206" t="s">
        <v>1050</v>
      </c>
      <c r="E88" s="206" t="s">
        <v>1051</v>
      </c>
      <c r="F88" s="206" t="s">
        <v>1052</v>
      </c>
      <c r="G88" s="206" t="s">
        <v>83</v>
      </c>
      <c r="H88" s="206" t="s">
        <v>84</v>
      </c>
      <c r="I88" s="206" t="s">
        <v>85</v>
      </c>
      <c r="J88" s="206" t="s">
        <v>86</v>
      </c>
      <c r="K88" s="206" t="s">
        <v>31</v>
      </c>
      <c r="L88" s="206" t="str">
        <f>VLOOKUP(Primary_Order[[#This Row],[Product ID]],SKU[],3,0)</f>
        <v>3000 4T PLUS 10W30</v>
      </c>
      <c r="M88" s="231">
        <v>60</v>
      </c>
      <c r="N88" s="231">
        <v>530</v>
      </c>
      <c r="O88" s="231">
        <v>60</v>
      </c>
      <c r="P88" s="232"/>
      <c r="Q88" s="231">
        <v>0</v>
      </c>
      <c r="R88" s="231">
        <v>530</v>
      </c>
      <c r="S88" s="231">
        <v>60</v>
      </c>
      <c r="T88" s="231">
        <v>60</v>
      </c>
      <c r="U88" s="231">
        <v>31800</v>
      </c>
      <c r="V88" s="231">
        <v>0</v>
      </c>
      <c r="W88" s="231">
        <v>31800</v>
      </c>
      <c r="X88" s="231">
        <v>4147.826086956522</v>
      </c>
      <c r="Y88" s="231">
        <v>27652.17391304348</v>
      </c>
      <c r="Z88" s="206" t="s">
        <v>882</v>
      </c>
      <c r="AA88" s="206">
        <v>595</v>
      </c>
      <c r="AB88" s="206" t="s">
        <v>641</v>
      </c>
      <c r="AC88" s="230">
        <v>45676</v>
      </c>
      <c r="AD88" s="206" t="s">
        <v>50</v>
      </c>
      <c r="AE88" s="206" t="str">
        <f>IFERROR(VLOOKUP(Primary_Order[[#This Row],[AM]],SP!$E$19:$F$23,2,0),Primary_Order[[#This Row],[AM]])</f>
        <v>Northern</v>
      </c>
      <c r="AF88" s="206" t="str">
        <f>VLOOKUP(Primary_Order[[#This Row],[Product ID]],SKU[],10,0)</f>
        <v>Mineral</v>
      </c>
      <c r="AG88" s="206" t="str">
        <f>VLOOKUP(Primary_Order[[#This Row],[Product ID]],SKU[],9,0)</f>
        <v>MCO</v>
      </c>
      <c r="AH88" s="206" t="str">
        <f>VLOOKUP(Primary_Order[[#This Row],[Product ID]],SKU[],12,0)</f>
        <v>10W30</v>
      </c>
      <c r="AI88" s="206" t="str">
        <f>VLOOKUP(Primary_Order[[#This Row],[Product ID]],SKU[],13,0)</f>
        <v>3000</v>
      </c>
      <c r="AJ88" s="233">
        <f>VLOOKUP(Primary_Order[[#This Row],[Product ID]],SKU[[SKU ID]:[Bottle Size(Ltr)]],6,0)*Primary_Order[[#This Row],[Free Quantity]]</f>
        <v>0</v>
      </c>
      <c r="AK88" s="206" t="str">
        <f>VLOOKUP(Primary_Order[[#This Row],[Product ID]],SKU[[SKU ID]:[Bottle Size(Ltr)]],4,0)</f>
        <v>20x1L</v>
      </c>
      <c r="AL88" s="231">
        <f>VLOOKUP(Primary_Order[[#This Row],[Product ID]],SKU[],14,0)*Primary_Order[[#This Row],[Total Qty]]</f>
        <v>22759.8</v>
      </c>
      <c r="AM88" s="231">
        <f>IF(Primary_Order[[#This Row],[Cost]]=0,0,Primary_Order[[#This Row],[Net Total(-15%)]]-Primary_Order[[#This Row],[Cost]])</f>
        <v>4892.3739130434806</v>
      </c>
      <c r="AN88" s="206" t="str">
        <f>"O-"&amp;Primary_Order[[#This Row],[Date]]&amp;"-"&amp;Primary_Order[[#This Row],[MMD ID]]</f>
        <v>O-45673-D-0011</v>
      </c>
      <c r="AO88" s="206" t="str" cm="1">
        <f t="array" ref="AO8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89" spans="1:41" x14ac:dyDescent="0.5">
      <c r="A89" s="206" t="s">
        <v>1058</v>
      </c>
      <c r="B89" s="230">
        <v>45673</v>
      </c>
      <c r="C89" s="206" t="s">
        <v>103</v>
      </c>
      <c r="D89" s="206" t="s">
        <v>1050</v>
      </c>
      <c r="E89" s="206" t="s">
        <v>1051</v>
      </c>
      <c r="F89" s="206" t="s">
        <v>1052</v>
      </c>
      <c r="G89" s="206" t="s">
        <v>83</v>
      </c>
      <c r="H89" s="206" t="s">
        <v>84</v>
      </c>
      <c r="I89" s="206" t="s">
        <v>85</v>
      </c>
      <c r="J89" s="206" t="s">
        <v>86</v>
      </c>
      <c r="K89" s="206" t="s">
        <v>53</v>
      </c>
      <c r="L89" s="206" t="str">
        <f>VLOOKUP(Primary_Order[[#This Row],[Product ID]],SKU[],3,0)</f>
        <v>3000 4T PLUS 20W40</v>
      </c>
      <c r="M89" s="231">
        <v>40</v>
      </c>
      <c r="N89" s="231">
        <v>530</v>
      </c>
      <c r="O89" s="231">
        <v>40</v>
      </c>
      <c r="P89" s="232"/>
      <c r="Q89" s="231">
        <v>0</v>
      </c>
      <c r="R89" s="231">
        <v>530</v>
      </c>
      <c r="S89" s="231">
        <v>40</v>
      </c>
      <c r="T89" s="231">
        <v>40</v>
      </c>
      <c r="U89" s="231">
        <v>21200</v>
      </c>
      <c r="V89" s="231">
        <v>0</v>
      </c>
      <c r="W89" s="231">
        <v>21200</v>
      </c>
      <c r="X89" s="231">
        <v>2765.217391304348</v>
      </c>
      <c r="Y89" s="231">
        <v>18434.782608695652</v>
      </c>
      <c r="Z89" s="206" t="s">
        <v>882</v>
      </c>
      <c r="AA89" s="206">
        <v>595</v>
      </c>
      <c r="AB89" s="206" t="s">
        <v>641</v>
      </c>
      <c r="AC89" s="230">
        <v>45676</v>
      </c>
      <c r="AD89" s="206" t="s">
        <v>50</v>
      </c>
      <c r="AE89" s="206" t="str">
        <f>IFERROR(VLOOKUP(Primary_Order[[#This Row],[AM]],SP!$E$19:$F$23,2,0),Primary_Order[[#This Row],[AM]])</f>
        <v>Northern</v>
      </c>
      <c r="AF89" s="206" t="str">
        <f>VLOOKUP(Primary_Order[[#This Row],[Product ID]],SKU[],10,0)</f>
        <v>Mineral</v>
      </c>
      <c r="AG89" s="206" t="str">
        <f>VLOOKUP(Primary_Order[[#This Row],[Product ID]],SKU[],9,0)</f>
        <v>MCO</v>
      </c>
      <c r="AH89" s="206" t="str">
        <f>VLOOKUP(Primary_Order[[#This Row],[Product ID]],SKU[],12,0)</f>
        <v>20W40</v>
      </c>
      <c r="AI89" s="206" t="str">
        <f>VLOOKUP(Primary_Order[[#This Row],[Product ID]],SKU[],13,0)</f>
        <v>3000</v>
      </c>
      <c r="AJ89" s="233">
        <f>VLOOKUP(Primary_Order[[#This Row],[Product ID]],SKU[[SKU ID]:[Bottle Size(Ltr)]],6,0)*Primary_Order[[#This Row],[Free Quantity]]</f>
        <v>0</v>
      </c>
      <c r="AK89" s="206" t="str">
        <f>VLOOKUP(Primary_Order[[#This Row],[Product ID]],SKU[[SKU ID]:[Bottle Size(Ltr)]],4,0)</f>
        <v>20x1L</v>
      </c>
      <c r="AL89" s="231">
        <f>VLOOKUP(Primary_Order[[#This Row],[Product ID]],SKU[],14,0)*Primary_Order[[#This Row],[Total Qty]]</f>
        <v>16510.400000000001</v>
      </c>
      <c r="AM89" s="231">
        <f>IF(Primary_Order[[#This Row],[Cost]]=0,0,Primary_Order[[#This Row],[Net Total(-15%)]]-Primary_Order[[#This Row],[Cost]])</f>
        <v>1924.3826086956506</v>
      </c>
      <c r="AN89" s="206" t="str">
        <f>"O-"&amp;Primary_Order[[#This Row],[Date]]&amp;"-"&amp;Primary_Order[[#This Row],[MMD ID]]</f>
        <v>O-45673-D-0011</v>
      </c>
      <c r="AO89" s="206" t="str" cm="1">
        <f t="array" ref="AO8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0" spans="1:41" x14ac:dyDescent="0.5">
      <c r="A90" s="206" t="s">
        <v>1058</v>
      </c>
      <c r="B90" s="230">
        <v>45673</v>
      </c>
      <c r="C90" s="206" t="s">
        <v>103</v>
      </c>
      <c r="D90" s="206" t="s">
        <v>1050</v>
      </c>
      <c r="E90" s="206" t="s">
        <v>1051</v>
      </c>
      <c r="F90" s="206" t="s">
        <v>1052</v>
      </c>
      <c r="G90" s="206" t="s">
        <v>83</v>
      </c>
      <c r="H90" s="206" t="s">
        <v>84</v>
      </c>
      <c r="I90" s="206" t="s">
        <v>85</v>
      </c>
      <c r="J90" s="206" t="s">
        <v>86</v>
      </c>
      <c r="K90" s="206" t="s">
        <v>54</v>
      </c>
      <c r="L90" s="206" t="str">
        <f>VLOOKUP(Primary_Order[[#This Row],[Product ID]],SKU[],3,0)</f>
        <v>3000 4T PLUS 10W40</v>
      </c>
      <c r="M90" s="231">
        <v>100</v>
      </c>
      <c r="N90" s="231">
        <v>535</v>
      </c>
      <c r="O90" s="231">
        <v>100</v>
      </c>
      <c r="P90" s="232"/>
      <c r="Q90" s="231">
        <v>0</v>
      </c>
      <c r="R90" s="231">
        <v>535</v>
      </c>
      <c r="S90" s="231">
        <v>100</v>
      </c>
      <c r="T90" s="231">
        <v>100</v>
      </c>
      <c r="U90" s="231">
        <v>53500</v>
      </c>
      <c r="V90" s="231">
        <v>0</v>
      </c>
      <c r="W90" s="231">
        <v>53500</v>
      </c>
      <c r="X90" s="231">
        <v>6978.260869565217</v>
      </c>
      <c r="Y90" s="231">
        <v>46521.739130434784</v>
      </c>
      <c r="Z90" s="206" t="s">
        <v>882</v>
      </c>
      <c r="AA90" s="206">
        <v>595</v>
      </c>
      <c r="AB90" s="206" t="s">
        <v>641</v>
      </c>
      <c r="AC90" s="230">
        <v>45676</v>
      </c>
      <c r="AD90" s="206" t="s">
        <v>50</v>
      </c>
      <c r="AE90" s="206" t="str">
        <f>IFERROR(VLOOKUP(Primary_Order[[#This Row],[AM]],SP!$E$19:$F$23,2,0),Primary_Order[[#This Row],[AM]])</f>
        <v>Northern</v>
      </c>
      <c r="AF90" s="206" t="str">
        <f>VLOOKUP(Primary_Order[[#This Row],[Product ID]],SKU[],10,0)</f>
        <v>Mineral</v>
      </c>
      <c r="AG90" s="206" t="str">
        <f>VLOOKUP(Primary_Order[[#This Row],[Product ID]],SKU[],9,0)</f>
        <v>MCO</v>
      </c>
      <c r="AH90" s="206" t="str">
        <f>VLOOKUP(Primary_Order[[#This Row],[Product ID]],SKU[],12,0)</f>
        <v>10W40</v>
      </c>
      <c r="AI90" s="206" t="str">
        <f>VLOOKUP(Primary_Order[[#This Row],[Product ID]],SKU[],13,0)</f>
        <v>3000</v>
      </c>
      <c r="AJ90" s="233">
        <f>VLOOKUP(Primary_Order[[#This Row],[Product ID]],SKU[[SKU ID]:[Bottle Size(Ltr)]],6,0)*Primary_Order[[#This Row],[Free Quantity]]</f>
        <v>0</v>
      </c>
      <c r="AK90" s="206" t="str">
        <f>VLOOKUP(Primary_Order[[#This Row],[Product ID]],SKU[[SKU ID]:[Bottle Size(Ltr)]],4,0)</f>
        <v>20x1L</v>
      </c>
      <c r="AL90" s="231">
        <f>VLOOKUP(Primary_Order[[#This Row],[Product ID]],SKU[],14,0)*Primary_Order[[#This Row],[Total Qty]]</f>
        <v>38485</v>
      </c>
      <c r="AM90" s="231">
        <f>IF(Primary_Order[[#This Row],[Cost]]=0,0,Primary_Order[[#This Row],[Net Total(-15%)]]-Primary_Order[[#This Row],[Cost]])</f>
        <v>8036.7391304347839</v>
      </c>
      <c r="AN90" s="206" t="str">
        <f>"O-"&amp;Primary_Order[[#This Row],[Date]]&amp;"-"&amp;Primary_Order[[#This Row],[MMD ID]]</f>
        <v>O-45673-D-0011</v>
      </c>
      <c r="AO90" s="206" t="str" cm="1">
        <f t="array" ref="AO9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1" spans="1:41" x14ac:dyDescent="0.5">
      <c r="A91" s="206" t="s">
        <v>1058</v>
      </c>
      <c r="B91" s="230">
        <v>45673</v>
      </c>
      <c r="C91" s="206" t="s">
        <v>103</v>
      </c>
      <c r="D91" s="206" t="s">
        <v>1050</v>
      </c>
      <c r="E91" s="206" t="s">
        <v>1051</v>
      </c>
      <c r="F91" s="206" t="s">
        <v>1052</v>
      </c>
      <c r="G91" s="206" t="s">
        <v>83</v>
      </c>
      <c r="H91" s="206" t="s">
        <v>84</v>
      </c>
      <c r="I91" s="206" t="s">
        <v>85</v>
      </c>
      <c r="J91" s="206" t="s">
        <v>86</v>
      </c>
      <c r="K91" s="206" t="s">
        <v>32</v>
      </c>
      <c r="L91" s="206" t="str">
        <f>VLOOKUP(Primary_Order[[#This Row],[Product ID]],SKU[],3,0)</f>
        <v>3000 4T PLUS 10W30</v>
      </c>
      <c r="M91" s="231">
        <v>40</v>
      </c>
      <c r="N91" s="231">
        <v>640</v>
      </c>
      <c r="O91" s="231">
        <v>48</v>
      </c>
      <c r="P91" s="232"/>
      <c r="Q91" s="231">
        <v>0</v>
      </c>
      <c r="R91" s="231">
        <v>640</v>
      </c>
      <c r="S91" s="231">
        <v>40</v>
      </c>
      <c r="T91" s="231">
        <v>48</v>
      </c>
      <c r="U91" s="231">
        <v>25600</v>
      </c>
      <c r="V91" s="231">
        <v>0</v>
      </c>
      <c r="W91" s="231">
        <v>25600</v>
      </c>
      <c r="X91" s="231">
        <v>3339.1304347826085</v>
      </c>
      <c r="Y91" s="231">
        <v>22260.869565217392</v>
      </c>
      <c r="Z91" s="206" t="s">
        <v>882</v>
      </c>
      <c r="AA91" s="206">
        <v>595</v>
      </c>
      <c r="AB91" s="206" t="s">
        <v>641</v>
      </c>
      <c r="AC91" s="230">
        <v>45676</v>
      </c>
      <c r="AD91" s="206" t="s">
        <v>50</v>
      </c>
      <c r="AE91" s="206" t="str">
        <f>IFERROR(VLOOKUP(Primary_Order[[#This Row],[AM]],SP!$E$19:$F$23,2,0),Primary_Order[[#This Row],[AM]])</f>
        <v>Northern</v>
      </c>
      <c r="AF91" s="206" t="str">
        <f>VLOOKUP(Primary_Order[[#This Row],[Product ID]],SKU[],10,0)</f>
        <v>Mineral</v>
      </c>
      <c r="AG91" s="206" t="str">
        <f>VLOOKUP(Primary_Order[[#This Row],[Product ID]],SKU[],9,0)</f>
        <v>MCO</v>
      </c>
      <c r="AH91" s="206" t="str">
        <f>VLOOKUP(Primary_Order[[#This Row],[Product ID]],SKU[],12,0)</f>
        <v>10W30</v>
      </c>
      <c r="AI91" s="206" t="str">
        <f>VLOOKUP(Primary_Order[[#This Row],[Product ID]],SKU[],13,0)</f>
        <v>3000</v>
      </c>
      <c r="AJ91" s="233">
        <f>VLOOKUP(Primary_Order[[#This Row],[Product ID]],SKU[[SKU ID]:[Bottle Size(Ltr)]],6,0)*Primary_Order[[#This Row],[Free Quantity]]</f>
        <v>0</v>
      </c>
      <c r="AK91" s="206" t="str">
        <f>VLOOKUP(Primary_Order[[#This Row],[Product ID]],SKU[[SKU ID]:[Bottle Size(Ltr)]],4,0)</f>
        <v>20x1.2L</v>
      </c>
      <c r="AL91" s="231">
        <f>VLOOKUP(Primary_Order[[#This Row],[Product ID]],SKU[],14,0)*Primary_Order[[#This Row],[Total Qty]]</f>
        <v>17556</v>
      </c>
      <c r="AM91" s="231">
        <f>IF(Primary_Order[[#This Row],[Cost]]=0,0,Primary_Order[[#This Row],[Net Total(-15%)]]-Primary_Order[[#This Row],[Cost]])</f>
        <v>4704.8695652173919</v>
      </c>
      <c r="AN91" s="206" t="str">
        <f>"O-"&amp;Primary_Order[[#This Row],[Date]]&amp;"-"&amp;Primary_Order[[#This Row],[MMD ID]]</f>
        <v>O-45673-D-0011</v>
      </c>
      <c r="AO91" s="206" t="str" cm="1">
        <f t="array" ref="AO9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2" spans="1:41" x14ac:dyDescent="0.5">
      <c r="A92" s="206" t="s">
        <v>1058</v>
      </c>
      <c r="B92" s="230">
        <v>45673</v>
      </c>
      <c r="C92" s="206" t="s">
        <v>103</v>
      </c>
      <c r="D92" s="206" t="s">
        <v>1050</v>
      </c>
      <c r="E92" s="206" t="s">
        <v>1051</v>
      </c>
      <c r="F92" s="206" t="s">
        <v>1052</v>
      </c>
      <c r="G92" s="206" t="s">
        <v>83</v>
      </c>
      <c r="H92" s="206" t="s">
        <v>84</v>
      </c>
      <c r="I92" s="206" t="s">
        <v>85</v>
      </c>
      <c r="J92" s="206" t="s">
        <v>86</v>
      </c>
      <c r="K92" s="206" t="s">
        <v>33</v>
      </c>
      <c r="L92" s="206" t="str">
        <f>VLOOKUP(Primary_Order[[#This Row],[Product ID]],SKU[],3,0)</f>
        <v>3000 4T PLUS 20W40</v>
      </c>
      <c r="M92" s="231">
        <v>20</v>
      </c>
      <c r="N92" s="231">
        <v>640</v>
      </c>
      <c r="O92" s="231">
        <v>24</v>
      </c>
      <c r="P92" s="232"/>
      <c r="Q92" s="231">
        <v>0</v>
      </c>
      <c r="R92" s="231">
        <v>640</v>
      </c>
      <c r="S92" s="231">
        <v>20</v>
      </c>
      <c r="T92" s="231">
        <v>24</v>
      </c>
      <c r="U92" s="231">
        <v>12800</v>
      </c>
      <c r="V92" s="231">
        <v>0</v>
      </c>
      <c r="W92" s="231">
        <v>12800</v>
      </c>
      <c r="X92" s="231">
        <v>1669.5652173913043</v>
      </c>
      <c r="Y92" s="231">
        <v>11130.434782608696</v>
      </c>
      <c r="Z92" s="206" t="s">
        <v>882</v>
      </c>
      <c r="AA92" s="206">
        <v>595</v>
      </c>
      <c r="AB92" s="206" t="s">
        <v>641</v>
      </c>
      <c r="AC92" s="230">
        <v>45676</v>
      </c>
      <c r="AD92" s="206" t="s">
        <v>50</v>
      </c>
      <c r="AE92" s="206" t="str">
        <f>IFERROR(VLOOKUP(Primary_Order[[#This Row],[AM]],SP!$E$19:$F$23,2,0),Primary_Order[[#This Row],[AM]])</f>
        <v>Northern</v>
      </c>
      <c r="AF92" s="206" t="str">
        <f>VLOOKUP(Primary_Order[[#This Row],[Product ID]],SKU[],10,0)</f>
        <v>Mineral</v>
      </c>
      <c r="AG92" s="206" t="str">
        <f>VLOOKUP(Primary_Order[[#This Row],[Product ID]],SKU[],9,0)</f>
        <v>MCO</v>
      </c>
      <c r="AH92" s="206" t="str">
        <f>VLOOKUP(Primary_Order[[#This Row],[Product ID]],SKU[],12,0)</f>
        <v>20W40</v>
      </c>
      <c r="AI92" s="206" t="str">
        <f>VLOOKUP(Primary_Order[[#This Row],[Product ID]],SKU[],13,0)</f>
        <v>3000</v>
      </c>
      <c r="AJ92" s="233">
        <f>VLOOKUP(Primary_Order[[#This Row],[Product ID]],SKU[[SKU ID]:[Bottle Size(Ltr)]],6,0)*Primary_Order[[#This Row],[Free Quantity]]</f>
        <v>0</v>
      </c>
      <c r="AK92" s="206" t="str">
        <f>VLOOKUP(Primary_Order[[#This Row],[Product ID]],SKU[[SKU ID]:[Bottle Size(Ltr)]],4,0)</f>
        <v>20x1.2L</v>
      </c>
      <c r="AL92" s="231">
        <f>VLOOKUP(Primary_Order[[#This Row],[Product ID]],SKU[],14,0)*Primary_Order[[#This Row],[Total Qty]]</f>
        <v>9397.9559070121941</v>
      </c>
      <c r="AM92" s="231">
        <f>IF(Primary_Order[[#This Row],[Cost]]=0,0,Primary_Order[[#This Row],[Net Total(-15%)]]-Primary_Order[[#This Row],[Cost]])</f>
        <v>1732.4788755965019</v>
      </c>
      <c r="AN92" s="206" t="str">
        <f>"O-"&amp;Primary_Order[[#This Row],[Date]]&amp;"-"&amp;Primary_Order[[#This Row],[MMD ID]]</f>
        <v>O-45673-D-0011</v>
      </c>
      <c r="AO92" s="206" t="str" cm="1">
        <f t="array" ref="AO9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3" spans="1:41" x14ac:dyDescent="0.5">
      <c r="A93" s="206" t="s">
        <v>1058</v>
      </c>
      <c r="B93" s="230">
        <v>45673</v>
      </c>
      <c r="C93" s="206" t="s">
        <v>103</v>
      </c>
      <c r="D93" s="206" t="s">
        <v>1050</v>
      </c>
      <c r="E93" s="206" t="s">
        <v>1051</v>
      </c>
      <c r="F93" s="206" t="s">
        <v>1052</v>
      </c>
      <c r="G93" s="206" t="s">
        <v>83</v>
      </c>
      <c r="H93" s="206" t="s">
        <v>84</v>
      </c>
      <c r="I93" s="206" t="s">
        <v>85</v>
      </c>
      <c r="J93" s="206" t="s">
        <v>86</v>
      </c>
      <c r="K93" s="206" t="s">
        <v>75</v>
      </c>
      <c r="L93" s="206" t="str">
        <f>VLOOKUP(Primary_Order[[#This Row],[Product ID]],SKU[],3,0)</f>
        <v>31004T GOLD 20W50</v>
      </c>
      <c r="M93" s="231">
        <v>20</v>
      </c>
      <c r="N93" s="231">
        <v>600</v>
      </c>
      <c r="O93" s="231">
        <v>20</v>
      </c>
      <c r="P93" s="232"/>
      <c r="Q93" s="231">
        <v>0</v>
      </c>
      <c r="R93" s="231">
        <v>600</v>
      </c>
      <c r="S93" s="231">
        <v>20</v>
      </c>
      <c r="T93" s="231">
        <v>20</v>
      </c>
      <c r="U93" s="231">
        <v>12000</v>
      </c>
      <c r="V93" s="231">
        <v>0</v>
      </c>
      <c r="W93" s="231">
        <v>12000</v>
      </c>
      <c r="X93" s="231">
        <v>1565.2173913043478</v>
      </c>
      <c r="Y93" s="231">
        <v>10434.782608695652</v>
      </c>
      <c r="Z93" s="206" t="s">
        <v>882</v>
      </c>
      <c r="AA93" s="206">
        <v>595</v>
      </c>
      <c r="AB93" s="206" t="s">
        <v>641</v>
      </c>
      <c r="AC93" s="230">
        <v>45676</v>
      </c>
      <c r="AD93" s="206" t="s">
        <v>50</v>
      </c>
      <c r="AE93" s="206" t="str">
        <f>IFERROR(VLOOKUP(Primary_Order[[#This Row],[AM]],SP!$E$19:$F$23,2,0),Primary_Order[[#This Row],[AM]])</f>
        <v>Northern</v>
      </c>
      <c r="AF93" s="206" t="str">
        <f>VLOOKUP(Primary_Order[[#This Row],[Product ID]],SKU[],10,0)</f>
        <v>Technosynthese</v>
      </c>
      <c r="AG93" s="206" t="str">
        <f>VLOOKUP(Primary_Order[[#This Row],[Product ID]],SKU[],9,0)</f>
        <v>MCO</v>
      </c>
      <c r="AH93" s="206" t="str">
        <f>VLOOKUP(Primary_Order[[#This Row],[Product ID]],SKU[],12,0)</f>
        <v>20W50</v>
      </c>
      <c r="AI93" s="206" t="str">
        <f>VLOOKUP(Primary_Order[[#This Row],[Product ID]],SKU[],13,0)</f>
        <v>3100</v>
      </c>
      <c r="AJ93" s="233">
        <f>VLOOKUP(Primary_Order[[#This Row],[Product ID]],SKU[[SKU ID]:[Bottle Size(Ltr)]],6,0)*Primary_Order[[#This Row],[Free Quantity]]</f>
        <v>0</v>
      </c>
      <c r="AK93" s="206" t="str">
        <f>VLOOKUP(Primary_Order[[#This Row],[Product ID]],SKU[[SKU ID]:[Bottle Size(Ltr)]],4,0)</f>
        <v>20x1L</v>
      </c>
      <c r="AL93" s="231">
        <f>VLOOKUP(Primary_Order[[#This Row],[Product ID]],SKU[],14,0)*Primary_Order[[#This Row],[Total Qty]]</f>
        <v>9387.7999999999993</v>
      </c>
      <c r="AM93" s="231">
        <f>IF(Primary_Order[[#This Row],[Cost]]=0,0,Primary_Order[[#This Row],[Net Total(-15%)]]-Primary_Order[[#This Row],[Cost]])</f>
        <v>1046.9826086956527</v>
      </c>
      <c r="AN93" s="206" t="str">
        <f>"O-"&amp;Primary_Order[[#This Row],[Date]]&amp;"-"&amp;Primary_Order[[#This Row],[MMD ID]]</f>
        <v>O-45673-D-0011</v>
      </c>
      <c r="AO93" s="206" t="str" cm="1">
        <f t="array" ref="AO9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4" spans="1:41" x14ac:dyDescent="0.5">
      <c r="A94" s="206" t="s">
        <v>1058</v>
      </c>
      <c r="B94" s="230">
        <v>45673</v>
      </c>
      <c r="C94" s="206" t="s">
        <v>103</v>
      </c>
      <c r="D94" s="206" t="s">
        <v>1050</v>
      </c>
      <c r="E94" s="206" t="s">
        <v>1051</v>
      </c>
      <c r="F94" s="206" t="s">
        <v>1052</v>
      </c>
      <c r="G94" s="206" t="s">
        <v>83</v>
      </c>
      <c r="H94" s="206" t="s">
        <v>84</v>
      </c>
      <c r="I94" s="206" t="s">
        <v>85</v>
      </c>
      <c r="J94" s="206" t="s">
        <v>86</v>
      </c>
      <c r="K94" s="206" t="s">
        <v>35</v>
      </c>
      <c r="L94" s="206" t="str">
        <f>VLOOKUP(Primary_Order[[#This Row],[Product ID]],SKU[],3,0)</f>
        <v>51004T 10W30 ESTER</v>
      </c>
      <c r="M94" s="231">
        <v>12</v>
      </c>
      <c r="N94" s="231">
        <v>860</v>
      </c>
      <c r="O94" s="231">
        <v>12</v>
      </c>
      <c r="P94" s="232"/>
      <c r="Q94" s="231">
        <v>0</v>
      </c>
      <c r="R94" s="231">
        <v>860</v>
      </c>
      <c r="S94" s="231">
        <v>12</v>
      </c>
      <c r="T94" s="231">
        <v>12</v>
      </c>
      <c r="U94" s="231">
        <v>10320</v>
      </c>
      <c r="V94" s="231">
        <v>0</v>
      </c>
      <c r="W94" s="231">
        <v>10320</v>
      </c>
      <c r="X94" s="231">
        <v>1346.0869565217392</v>
      </c>
      <c r="Y94" s="231">
        <v>8973.9130434782601</v>
      </c>
      <c r="Z94" s="206" t="s">
        <v>882</v>
      </c>
      <c r="AA94" s="206">
        <v>595</v>
      </c>
      <c r="AB94" s="206" t="s">
        <v>641</v>
      </c>
      <c r="AC94" s="230">
        <v>45676</v>
      </c>
      <c r="AD94" s="206" t="s">
        <v>50</v>
      </c>
      <c r="AE94" s="206" t="str">
        <f>IFERROR(VLOOKUP(Primary_Order[[#This Row],[AM]],SP!$E$19:$F$23,2,0),Primary_Order[[#This Row],[AM]])</f>
        <v>Northern</v>
      </c>
      <c r="AF94" s="206" t="str">
        <f>VLOOKUP(Primary_Order[[#This Row],[Product ID]],SKU[],10,0)</f>
        <v>Technosynthese</v>
      </c>
      <c r="AG94" s="206" t="str">
        <f>VLOOKUP(Primary_Order[[#This Row],[Product ID]],SKU[],9,0)</f>
        <v>MCO</v>
      </c>
      <c r="AH94" s="206" t="str">
        <f>VLOOKUP(Primary_Order[[#This Row],[Product ID]],SKU[],12,0)</f>
        <v>10W30</v>
      </c>
      <c r="AI94" s="206" t="str">
        <f>VLOOKUP(Primary_Order[[#This Row],[Product ID]],SKU[],13,0)</f>
        <v>5100</v>
      </c>
      <c r="AJ94" s="233">
        <f>VLOOKUP(Primary_Order[[#This Row],[Product ID]],SKU[[SKU ID]:[Bottle Size(Ltr)]],6,0)*Primary_Order[[#This Row],[Free Quantity]]</f>
        <v>0</v>
      </c>
      <c r="AK94" s="206" t="str">
        <f>VLOOKUP(Primary_Order[[#This Row],[Product ID]],SKU[[SKU ID]:[Bottle Size(Ltr)]],4,0)</f>
        <v>12x1L</v>
      </c>
      <c r="AL94" s="231">
        <f>VLOOKUP(Primary_Order[[#This Row],[Product ID]],SKU[],14,0)*Primary_Order[[#This Row],[Total Qty]]</f>
        <v>7231.68</v>
      </c>
      <c r="AM94" s="231">
        <f>IF(Primary_Order[[#This Row],[Cost]]=0,0,Primary_Order[[#This Row],[Net Total(-15%)]]-Primary_Order[[#This Row],[Cost]])</f>
        <v>1742.2330434782598</v>
      </c>
      <c r="AN94" s="206" t="str">
        <f>"O-"&amp;Primary_Order[[#This Row],[Date]]&amp;"-"&amp;Primary_Order[[#This Row],[MMD ID]]</f>
        <v>O-45673-D-0011</v>
      </c>
      <c r="AO94" s="206" t="str" cm="1">
        <f t="array" ref="AO9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5" spans="1:41" x14ac:dyDescent="0.5">
      <c r="A95" s="206" t="s">
        <v>1058</v>
      </c>
      <c r="B95" s="230">
        <v>45673</v>
      </c>
      <c r="C95" s="206" t="s">
        <v>103</v>
      </c>
      <c r="D95" s="206" t="s">
        <v>1050</v>
      </c>
      <c r="E95" s="206" t="s">
        <v>1051</v>
      </c>
      <c r="F95" s="206" t="s">
        <v>1052</v>
      </c>
      <c r="G95" s="206" t="s">
        <v>83</v>
      </c>
      <c r="H95" s="206" t="s">
        <v>84</v>
      </c>
      <c r="I95" s="206" t="s">
        <v>85</v>
      </c>
      <c r="J95" s="206" t="s">
        <v>86</v>
      </c>
      <c r="K95" s="206" t="s">
        <v>36</v>
      </c>
      <c r="L95" s="206" t="str">
        <f>VLOOKUP(Primary_Order[[#This Row],[Product ID]],SKU[],3,0)</f>
        <v>51004T 10W40 ESTER</v>
      </c>
      <c r="M95" s="231">
        <v>12</v>
      </c>
      <c r="N95" s="231">
        <v>860</v>
      </c>
      <c r="O95" s="231">
        <v>12</v>
      </c>
      <c r="P95" s="232"/>
      <c r="Q95" s="231">
        <v>0</v>
      </c>
      <c r="R95" s="231">
        <v>860</v>
      </c>
      <c r="S95" s="231">
        <v>12</v>
      </c>
      <c r="T95" s="231">
        <v>12</v>
      </c>
      <c r="U95" s="231">
        <v>10320</v>
      </c>
      <c r="V95" s="231">
        <v>0</v>
      </c>
      <c r="W95" s="231">
        <v>10320</v>
      </c>
      <c r="X95" s="231">
        <v>1346.0869565217392</v>
      </c>
      <c r="Y95" s="231">
        <v>8973.9130434782601</v>
      </c>
      <c r="Z95" s="206" t="s">
        <v>882</v>
      </c>
      <c r="AA95" s="206">
        <v>595</v>
      </c>
      <c r="AB95" s="206" t="s">
        <v>641</v>
      </c>
      <c r="AC95" s="230">
        <v>45676</v>
      </c>
      <c r="AD95" s="206" t="s">
        <v>50</v>
      </c>
      <c r="AE95" s="206" t="str">
        <f>IFERROR(VLOOKUP(Primary_Order[[#This Row],[AM]],SP!$E$19:$F$23,2,0),Primary_Order[[#This Row],[AM]])</f>
        <v>Northern</v>
      </c>
      <c r="AF95" s="206" t="str">
        <f>VLOOKUP(Primary_Order[[#This Row],[Product ID]],SKU[],10,0)</f>
        <v>Technosynthese</v>
      </c>
      <c r="AG95" s="206" t="str">
        <f>VLOOKUP(Primary_Order[[#This Row],[Product ID]],SKU[],9,0)</f>
        <v>MCO</v>
      </c>
      <c r="AH95" s="206" t="str">
        <f>VLOOKUP(Primary_Order[[#This Row],[Product ID]],SKU[],12,0)</f>
        <v>10W40</v>
      </c>
      <c r="AI95" s="206" t="str">
        <f>VLOOKUP(Primary_Order[[#This Row],[Product ID]],SKU[],13,0)</f>
        <v>5100</v>
      </c>
      <c r="AJ95" s="233">
        <f>VLOOKUP(Primary_Order[[#This Row],[Product ID]],SKU[[SKU ID]:[Bottle Size(Ltr)]],6,0)*Primary_Order[[#This Row],[Free Quantity]]</f>
        <v>0</v>
      </c>
      <c r="AK95" s="206" t="str">
        <f>VLOOKUP(Primary_Order[[#This Row],[Product ID]],SKU[[SKU ID]:[Bottle Size(Ltr)]],4,0)</f>
        <v>12x1L</v>
      </c>
      <c r="AL95" s="231">
        <f>VLOOKUP(Primary_Order[[#This Row],[Product ID]],SKU[],14,0)*Primary_Order[[#This Row],[Total Qty]]</f>
        <v>7299.9600000000009</v>
      </c>
      <c r="AM95" s="231">
        <f>IF(Primary_Order[[#This Row],[Cost]]=0,0,Primary_Order[[#This Row],[Net Total(-15%)]]-Primary_Order[[#This Row],[Cost]])</f>
        <v>1673.9530434782591</v>
      </c>
      <c r="AN95" s="206" t="str">
        <f>"O-"&amp;Primary_Order[[#This Row],[Date]]&amp;"-"&amp;Primary_Order[[#This Row],[MMD ID]]</f>
        <v>O-45673-D-0011</v>
      </c>
      <c r="AO95" s="206" t="str" cm="1">
        <f t="array" ref="AO9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6" spans="1:41" x14ac:dyDescent="0.5">
      <c r="A96" s="206" t="s">
        <v>1058</v>
      </c>
      <c r="B96" s="230">
        <v>45673</v>
      </c>
      <c r="C96" s="206" t="s">
        <v>103</v>
      </c>
      <c r="D96" s="206" t="s">
        <v>1050</v>
      </c>
      <c r="E96" s="206" t="s">
        <v>1051</v>
      </c>
      <c r="F96" s="206" t="s">
        <v>1052</v>
      </c>
      <c r="G96" s="206" t="s">
        <v>83</v>
      </c>
      <c r="H96" s="206" t="s">
        <v>84</v>
      </c>
      <c r="I96" s="206" t="s">
        <v>85</v>
      </c>
      <c r="J96" s="206" t="s">
        <v>86</v>
      </c>
      <c r="K96" s="206" t="s">
        <v>56</v>
      </c>
      <c r="L96" s="206" t="str">
        <f>VLOOKUP(Primary_Order[[#This Row],[Product ID]],SKU[],3,0)</f>
        <v>7100 4T 10W30 ESTER CORE®</v>
      </c>
      <c r="M96" s="231">
        <v>12</v>
      </c>
      <c r="N96" s="231">
        <v>1060</v>
      </c>
      <c r="O96" s="231">
        <v>12</v>
      </c>
      <c r="P96" s="232"/>
      <c r="Q96" s="231">
        <v>0</v>
      </c>
      <c r="R96" s="231">
        <v>1060</v>
      </c>
      <c r="S96" s="231">
        <v>12</v>
      </c>
      <c r="T96" s="231">
        <v>12</v>
      </c>
      <c r="U96" s="231">
        <v>12720</v>
      </c>
      <c r="V96" s="231">
        <v>0</v>
      </c>
      <c r="W96" s="231">
        <v>12720</v>
      </c>
      <c r="X96" s="231">
        <v>1659.1304347826087</v>
      </c>
      <c r="Y96" s="231">
        <v>11060.869565217392</v>
      </c>
      <c r="Z96" s="206" t="s">
        <v>882</v>
      </c>
      <c r="AA96" s="206">
        <v>595</v>
      </c>
      <c r="AB96" s="206" t="s">
        <v>641</v>
      </c>
      <c r="AC96" s="230">
        <v>45676</v>
      </c>
      <c r="AD96" s="206" t="s">
        <v>50</v>
      </c>
      <c r="AE96" s="206" t="str">
        <f>IFERROR(VLOOKUP(Primary_Order[[#This Row],[AM]],SP!$E$19:$F$23,2,0),Primary_Order[[#This Row],[AM]])</f>
        <v>Northern</v>
      </c>
      <c r="AF96" s="206" t="str">
        <f>VLOOKUP(Primary_Order[[#This Row],[Product ID]],SKU[],10,0)</f>
        <v>Synthetic</v>
      </c>
      <c r="AG96" s="206" t="str">
        <f>VLOOKUP(Primary_Order[[#This Row],[Product ID]],SKU[],9,0)</f>
        <v>MCO</v>
      </c>
      <c r="AH96" s="206" t="str">
        <f>VLOOKUP(Primary_Order[[#This Row],[Product ID]],SKU[],12,0)</f>
        <v>10W30</v>
      </c>
      <c r="AI96" s="206" t="str">
        <f>VLOOKUP(Primary_Order[[#This Row],[Product ID]],SKU[],13,0)</f>
        <v>7100</v>
      </c>
      <c r="AJ96" s="233">
        <f>VLOOKUP(Primary_Order[[#This Row],[Product ID]],SKU[[SKU ID]:[Bottle Size(Ltr)]],6,0)*Primary_Order[[#This Row],[Free Quantity]]</f>
        <v>0</v>
      </c>
      <c r="AK96" s="206" t="str">
        <f>VLOOKUP(Primary_Order[[#This Row],[Product ID]],SKU[[SKU ID]:[Bottle Size(Ltr)]],4,0)</f>
        <v>12x1L</v>
      </c>
      <c r="AL96" s="231">
        <f>VLOOKUP(Primary_Order[[#This Row],[Product ID]],SKU[],14,0)*Primary_Order[[#This Row],[Total Qty]]</f>
        <v>8278.32</v>
      </c>
      <c r="AM96" s="231">
        <f>IF(Primary_Order[[#This Row],[Cost]]=0,0,Primary_Order[[#This Row],[Net Total(-15%)]]-Primary_Order[[#This Row],[Cost]])</f>
        <v>2782.5495652173922</v>
      </c>
      <c r="AN96" s="206" t="str">
        <f>"O-"&amp;Primary_Order[[#This Row],[Date]]&amp;"-"&amp;Primary_Order[[#This Row],[MMD ID]]</f>
        <v>O-45673-D-0011</v>
      </c>
      <c r="AO96" s="206" t="str" cm="1">
        <f t="array" ref="AO9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7" spans="1:41" x14ac:dyDescent="0.5">
      <c r="A97" s="206" t="s">
        <v>1058</v>
      </c>
      <c r="B97" s="230">
        <v>45673</v>
      </c>
      <c r="C97" s="206" t="s">
        <v>103</v>
      </c>
      <c r="D97" s="206" t="s">
        <v>1050</v>
      </c>
      <c r="E97" s="206" t="s">
        <v>1051</v>
      </c>
      <c r="F97" s="206" t="s">
        <v>1052</v>
      </c>
      <c r="G97" s="206" t="s">
        <v>83</v>
      </c>
      <c r="H97" s="206" t="s">
        <v>84</v>
      </c>
      <c r="I97" s="206" t="s">
        <v>85</v>
      </c>
      <c r="J97" s="206" t="s">
        <v>86</v>
      </c>
      <c r="K97" s="206" t="s">
        <v>58</v>
      </c>
      <c r="L97" s="206" t="str">
        <f>VLOOKUP(Primary_Order[[#This Row],[Product ID]],SKU[],3,0)</f>
        <v>7100 4T 20W50 ESTER CORE®</v>
      </c>
      <c r="M97" s="231">
        <v>12</v>
      </c>
      <c r="N97" s="231">
        <v>1070</v>
      </c>
      <c r="O97" s="231">
        <v>12</v>
      </c>
      <c r="P97" s="232"/>
      <c r="Q97" s="231">
        <v>0</v>
      </c>
      <c r="R97" s="231">
        <v>1070</v>
      </c>
      <c r="S97" s="231">
        <v>12</v>
      </c>
      <c r="T97" s="231">
        <v>12</v>
      </c>
      <c r="U97" s="231">
        <v>12840</v>
      </c>
      <c r="V97" s="231">
        <v>0</v>
      </c>
      <c r="W97" s="231">
        <v>12840</v>
      </c>
      <c r="X97" s="231">
        <v>1674.7826086956522</v>
      </c>
      <c r="Y97" s="231">
        <v>11165.217391304348</v>
      </c>
      <c r="Z97" s="206" t="s">
        <v>882</v>
      </c>
      <c r="AA97" s="206">
        <v>595</v>
      </c>
      <c r="AB97" s="206" t="s">
        <v>641</v>
      </c>
      <c r="AC97" s="230">
        <v>45676</v>
      </c>
      <c r="AD97" s="206" t="s">
        <v>50</v>
      </c>
      <c r="AE97" s="206" t="str">
        <f>IFERROR(VLOOKUP(Primary_Order[[#This Row],[AM]],SP!$E$19:$F$23,2,0),Primary_Order[[#This Row],[AM]])</f>
        <v>Northern</v>
      </c>
      <c r="AF97" s="206" t="str">
        <f>VLOOKUP(Primary_Order[[#This Row],[Product ID]],SKU[],10,0)</f>
        <v>Synthetic</v>
      </c>
      <c r="AG97" s="206" t="str">
        <f>VLOOKUP(Primary_Order[[#This Row],[Product ID]],SKU[],9,0)</f>
        <v>MCO</v>
      </c>
      <c r="AH97" s="206" t="str">
        <f>VLOOKUP(Primary_Order[[#This Row],[Product ID]],SKU[],12,0)</f>
        <v>20W50</v>
      </c>
      <c r="AI97" s="206" t="str">
        <f>VLOOKUP(Primary_Order[[#This Row],[Product ID]],SKU[],13,0)</f>
        <v>7100</v>
      </c>
      <c r="AJ97" s="233">
        <f>VLOOKUP(Primary_Order[[#This Row],[Product ID]],SKU[[SKU ID]:[Bottle Size(Ltr)]],6,0)*Primary_Order[[#This Row],[Free Quantity]]</f>
        <v>0</v>
      </c>
      <c r="AK97" s="206" t="str">
        <f>VLOOKUP(Primary_Order[[#This Row],[Product ID]],SKU[[SKU ID]:[Bottle Size(Ltr)]],4,0)</f>
        <v>12x1L</v>
      </c>
      <c r="AL97" s="231">
        <f>VLOOKUP(Primary_Order[[#This Row],[Product ID]],SKU[],14,0)*Primary_Order[[#This Row],[Total Qty]]</f>
        <v>9164.380799999999</v>
      </c>
      <c r="AM97" s="231">
        <f>IF(Primary_Order[[#This Row],[Cost]]=0,0,Primary_Order[[#This Row],[Net Total(-15%)]]-Primary_Order[[#This Row],[Cost]])</f>
        <v>2000.836591304349</v>
      </c>
      <c r="AN97" s="206" t="str">
        <f>"O-"&amp;Primary_Order[[#This Row],[Date]]&amp;"-"&amp;Primary_Order[[#This Row],[MMD ID]]</f>
        <v>O-45673-D-0011</v>
      </c>
      <c r="AO97" s="206" t="str" cm="1">
        <f t="array" ref="AO9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8" spans="1:41" x14ac:dyDescent="0.5">
      <c r="A98" s="206" t="s">
        <v>1058</v>
      </c>
      <c r="B98" s="230">
        <v>45673</v>
      </c>
      <c r="C98" s="206" t="s">
        <v>103</v>
      </c>
      <c r="D98" s="206" t="s">
        <v>1050</v>
      </c>
      <c r="E98" s="206" t="s">
        <v>1051</v>
      </c>
      <c r="F98" s="206" t="s">
        <v>1052</v>
      </c>
      <c r="G98" s="206" t="s">
        <v>83</v>
      </c>
      <c r="H98" s="206" t="s">
        <v>84</v>
      </c>
      <c r="I98" s="206" t="s">
        <v>85</v>
      </c>
      <c r="J98" s="206" t="s">
        <v>86</v>
      </c>
      <c r="K98" s="206" t="s">
        <v>43</v>
      </c>
      <c r="L98" s="206" t="str">
        <f>VLOOKUP(Primary_Order[[#This Row],[Product ID]],SKU[],3,0)</f>
        <v>7100 4T 10W30 ESTER CORE®</v>
      </c>
      <c r="M98" s="231">
        <v>20</v>
      </c>
      <c r="N98" s="231">
        <v>1260</v>
      </c>
      <c r="O98" s="231">
        <v>24</v>
      </c>
      <c r="P98" s="232"/>
      <c r="Q98" s="231">
        <v>0</v>
      </c>
      <c r="R98" s="231">
        <v>1260</v>
      </c>
      <c r="S98" s="231">
        <v>20</v>
      </c>
      <c r="T98" s="231">
        <v>24</v>
      </c>
      <c r="U98" s="231">
        <v>25200</v>
      </c>
      <c r="V98" s="231">
        <v>0</v>
      </c>
      <c r="W98" s="231">
        <v>25200</v>
      </c>
      <c r="X98" s="231">
        <v>3286.9565217391305</v>
      </c>
      <c r="Y98" s="231">
        <v>21913.043478260868</v>
      </c>
      <c r="Z98" s="206" t="s">
        <v>882</v>
      </c>
      <c r="AA98" s="206">
        <v>595</v>
      </c>
      <c r="AB98" s="206" t="s">
        <v>641</v>
      </c>
      <c r="AC98" s="230">
        <v>45676</v>
      </c>
      <c r="AD98" s="206" t="s">
        <v>50</v>
      </c>
      <c r="AE98" s="206" t="str">
        <f>IFERROR(VLOOKUP(Primary_Order[[#This Row],[AM]],SP!$E$19:$F$23,2,0),Primary_Order[[#This Row],[AM]])</f>
        <v>Northern</v>
      </c>
      <c r="AF98" s="206" t="str">
        <f>VLOOKUP(Primary_Order[[#This Row],[Product ID]],SKU[],10,0)</f>
        <v>Synthetic</v>
      </c>
      <c r="AG98" s="206" t="str">
        <f>VLOOKUP(Primary_Order[[#This Row],[Product ID]],SKU[],9,0)</f>
        <v>MCO</v>
      </c>
      <c r="AH98" s="206" t="str">
        <f>VLOOKUP(Primary_Order[[#This Row],[Product ID]],SKU[],12,0)</f>
        <v>10W30</v>
      </c>
      <c r="AI98" s="206" t="str">
        <f>VLOOKUP(Primary_Order[[#This Row],[Product ID]],SKU[],13,0)</f>
        <v>7100</v>
      </c>
      <c r="AJ98" s="233">
        <f>VLOOKUP(Primary_Order[[#This Row],[Product ID]],SKU[[SKU ID]:[Bottle Size(Ltr)]],6,0)*Primary_Order[[#This Row],[Free Quantity]]</f>
        <v>0</v>
      </c>
      <c r="AK98" s="206" t="str">
        <f>VLOOKUP(Primary_Order[[#This Row],[Product ID]],SKU[[SKU ID]:[Bottle Size(Ltr)]],4,0)</f>
        <v>20x1.2L</v>
      </c>
      <c r="AL98" s="231">
        <f>VLOOKUP(Primary_Order[[#This Row],[Product ID]],SKU[],14,0)*Primary_Order[[#This Row],[Total Qty]]</f>
        <v>15546</v>
      </c>
      <c r="AM98" s="231">
        <f>IF(Primary_Order[[#This Row],[Cost]]=0,0,Primary_Order[[#This Row],[Net Total(-15%)]]-Primary_Order[[#This Row],[Cost]])</f>
        <v>6367.0434782608681</v>
      </c>
      <c r="AN98" s="206" t="str">
        <f>"O-"&amp;Primary_Order[[#This Row],[Date]]&amp;"-"&amp;Primary_Order[[#This Row],[MMD ID]]</f>
        <v>O-45673-D-0011</v>
      </c>
      <c r="AO98" s="206" t="str" cm="1">
        <f t="array" ref="AO9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99" spans="1:41" x14ac:dyDescent="0.5">
      <c r="A99" s="206" t="s">
        <v>1058</v>
      </c>
      <c r="B99" s="230">
        <v>45673</v>
      </c>
      <c r="C99" s="206" t="s">
        <v>103</v>
      </c>
      <c r="D99" s="206" t="s">
        <v>1050</v>
      </c>
      <c r="E99" s="206" t="s">
        <v>1051</v>
      </c>
      <c r="F99" s="206" t="s">
        <v>1052</v>
      </c>
      <c r="G99" s="206" t="s">
        <v>83</v>
      </c>
      <c r="H99" s="206" t="s">
        <v>84</v>
      </c>
      <c r="I99" s="206" t="s">
        <v>85</v>
      </c>
      <c r="J99" s="206" t="s">
        <v>86</v>
      </c>
      <c r="K99" s="206" t="s">
        <v>81</v>
      </c>
      <c r="L99" s="206" t="str">
        <f>VLOOKUP(Primary_Order[[#This Row],[Product ID]],SKU[],3,0)</f>
        <v>3000 4T 20W50</v>
      </c>
      <c r="M99" s="231">
        <v>80</v>
      </c>
      <c r="N99" s="231">
        <v>487.72</v>
      </c>
      <c r="O99" s="231">
        <v>80</v>
      </c>
      <c r="P99" s="232"/>
      <c r="Q99" s="231">
        <v>0</v>
      </c>
      <c r="R99" s="231">
        <v>487.72</v>
      </c>
      <c r="S99" s="231">
        <v>80</v>
      </c>
      <c r="T99" s="231">
        <v>80</v>
      </c>
      <c r="U99" s="231">
        <v>39017.600000000006</v>
      </c>
      <c r="V99" s="231">
        <v>0</v>
      </c>
      <c r="W99" s="231">
        <v>39017.600000000006</v>
      </c>
      <c r="X99" s="231">
        <v>5089.2521739130443</v>
      </c>
      <c r="Y99" s="231">
        <v>33928.34782608696</v>
      </c>
      <c r="Z99" s="206" t="s">
        <v>882</v>
      </c>
      <c r="AA99" s="206">
        <v>595</v>
      </c>
      <c r="AB99" s="206" t="s">
        <v>641</v>
      </c>
      <c r="AC99" s="230">
        <v>45676</v>
      </c>
      <c r="AD99" s="206" t="s">
        <v>50</v>
      </c>
      <c r="AE99" s="206" t="str">
        <f>IFERROR(VLOOKUP(Primary_Order[[#This Row],[AM]],SP!$E$19:$F$23,2,0),Primary_Order[[#This Row],[AM]])</f>
        <v>Northern</v>
      </c>
      <c r="AF99" s="206" t="str">
        <f>VLOOKUP(Primary_Order[[#This Row],[Product ID]],SKU[],10,0)</f>
        <v>Mineral</v>
      </c>
      <c r="AG99" s="206" t="str">
        <f>VLOOKUP(Primary_Order[[#This Row],[Product ID]],SKU[],9,0)</f>
        <v>MCO</v>
      </c>
      <c r="AH99" s="206" t="str">
        <f>VLOOKUP(Primary_Order[[#This Row],[Product ID]],SKU[],12,0)</f>
        <v>20W50</v>
      </c>
      <c r="AI99" s="206" t="str">
        <f>VLOOKUP(Primary_Order[[#This Row],[Product ID]],SKU[],13,0)</f>
        <v>3000</v>
      </c>
      <c r="AJ99" s="233">
        <f>VLOOKUP(Primary_Order[[#This Row],[Product ID]],SKU[[SKU ID]:[Bottle Size(Ltr)]],6,0)*Primary_Order[[#This Row],[Free Quantity]]</f>
        <v>0</v>
      </c>
      <c r="AK99" s="206" t="str">
        <f>VLOOKUP(Primary_Order[[#This Row],[Product ID]],SKU[[SKU ID]:[Bottle Size(Ltr)]],4,0)</f>
        <v>20x1L</v>
      </c>
      <c r="AL99" s="231">
        <f>VLOOKUP(Primary_Order[[#This Row],[Product ID]],SKU[],14,0)*Primary_Order[[#This Row],[Total Qty]]</f>
        <v>29193.600000000002</v>
      </c>
      <c r="AM99" s="231">
        <f>IF(Primary_Order[[#This Row],[Cost]]=0,0,Primary_Order[[#This Row],[Net Total(-15%)]]-Primary_Order[[#This Row],[Cost]])</f>
        <v>4734.7478260869575</v>
      </c>
      <c r="AN99" s="206" t="str">
        <f>"O-"&amp;Primary_Order[[#This Row],[Date]]&amp;"-"&amp;Primary_Order[[#This Row],[MMD ID]]</f>
        <v>O-45673-D-0011</v>
      </c>
      <c r="AO99" s="206" t="str" cm="1">
        <f t="array" ref="AO9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0" spans="1:41" x14ac:dyDescent="0.5">
      <c r="A100" s="206" t="s">
        <v>1058</v>
      </c>
      <c r="B100" s="230">
        <v>45673</v>
      </c>
      <c r="C100" s="206" t="s">
        <v>103</v>
      </c>
      <c r="D100" s="206" t="s">
        <v>1050</v>
      </c>
      <c r="E100" s="206" t="s">
        <v>1051</v>
      </c>
      <c r="F100" s="206" t="s">
        <v>1052</v>
      </c>
      <c r="G100" s="206" t="s">
        <v>83</v>
      </c>
      <c r="H100" s="206" t="s">
        <v>84</v>
      </c>
      <c r="I100" s="206" t="s">
        <v>85</v>
      </c>
      <c r="J100" s="206" t="s">
        <v>86</v>
      </c>
      <c r="K100" s="206" t="s">
        <v>99</v>
      </c>
      <c r="L100" s="206" t="str">
        <f>VLOOKUP(Primary_Order[[#This Row],[Product ID]],SKU[],3,0)</f>
        <v>3000 4T 20W50</v>
      </c>
      <c r="M100" s="231">
        <v>20</v>
      </c>
      <c r="N100" s="231">
        <v>587.72</v>
      </c>
      <c r="O100" s="231">
        <v>24</v>
      </c>
      <c r="P100" s="232"/>
      <c r="Q100" s="231">
        <v>0</v>
      </c>
      <c r="R100" s="231">
        <v>587.72</v>
      </c>
      <c r="S100" s="231">
        <v>20</v>
      </c>
      <c r="T100" s="231">
        <v>24</v>
      </c>
      <c r="U100" s="231">
        <v>11754.400000000001</v>
      </c>
      <c r="V100" s="231">
        <v>0</v>
      </c>
      <c r="W100" s="231">
        <v>11754.400000000001</v>
      </c>
      <c r="X100" s="231">
        <v>1533.1826086956523</v>
      </c>
      <c r="Y100" s="231">
        <v>10221.21739130435</v>
      </c>
      <c r="Z100" s="206" t="s">
        <v>882</v>
      </c>
      <c r="AA100" s="206">
        <v>595</v>
      </c>
      <c r="AB100" s="206" t="s">
        <v>641</v>
      </c>
      <c r="AC100" s="230">
        <v>45676</v>
      </c>
      <c r="AD100" s="206" t="s">
        <v>50</v>
      </c>
      <c r="AE100" s="206" t="str">
        <f>IFERROR(VLOOKUP(Primary_Order[[#This Row],[AM]],SP!$E$19:$F$23,2,0),Primary_Order[[#This Row],[AM]])</f>
        <v>Northern</v>
      </c>
      <c r="AF100" s="206" t="str">
        <f>VLOOKUP(Primary_Order[[#This Row],[Product ID]],SKU[],10,0)</f>
        <v>Mineral</v>
      </c>
      <c r="AG100" s="206" t="str">
        <f>VLOOKUP(Primary_Order[[#This Row],[Product ID]],SKU[],9,0)</f>
        <v>MCO</v>
      </c>
      <c r="AH100" s="206" t="str">
        <f>VLOOKUP(Primary_Order[[#This Row],[Product ID]],SKU[],12,0)</f>
        <v>20W50</v>
      </c>
      <c r="AI100" s="206" t="str">
        <f>VLOOKUP(Primary_Order[[#This Row],[Product ID]],SKU[],13,0)</f>
        <v>3000</v>
      </c>
      <c r="AJ100" s="233">
        <f>VLOOKUP(Primary_Order[[#This Row],[Product ID]],SKU[[SKU ID]:[Bottle Size(Ltr)]],6,0)*Primary_Order[[#This Row],[Free Quantity]]</f>
        <v>0</v>
      </c>
      <c r="AK100" s="206" t="str">
        <f>VLOOKUP(Primary_Order[[#This Row],[Product ID]],SKU[[SKU ID]:[Bottle Size(Ltr)]],4,0)</f>
        <v>20x1.2L</v>
      </c>
      <c r="AL100" s="231">
        <f>VLOOKUP(Primary_Order[[#This Row],[Product ID]],SKU[],14,0)*Primary_Order[[#This Row],[Total Qty]]</f>
        <v>8692.2000000000007</v>
      </c>
      <c r="AM100" s="231">
        <f>IF(Primary_Order[[#This Row],[Cost]]=0,0,Primary_Order[[#This Row],[Net Total(-15%)]]-Primary_Order[[#This Row],[Cost]])</f>
        <v>1529.0173913043491</v>
      </c>
      <c r="AN100" s="206" t="str">
        <f>"O-"&amp;Primary_Order[[#This Row],[Date]]&amp;"-"&amp;Primary_Order[[#This Row],[MMD ID]]</f>
        <v>O-45673-D-0011</v>
      </c>
      <c r="AO100" s="206" t="str" cm="1">
        <f t="array" ref="AO10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1" spans="1:41" x14ac:dyDescent="0.5">
      <c r="A101" s="206" t="s">
        <v>1059</v>
      </c>
      <c r="B101" s="230">
        <v>45672</v>
      </c>
      <c r="C101" s="206" t="s">
        <v>108</v>
      </c>
      <c r="D101" s="206" t="s">
        <v>1038</v>
      </c>
      <c r="E101" s="206" t="s">
        <v>1039</v>
      </c>
      <c r="F101" s="206">
        <v>1712284667</v>
      </c>
      <c r="G101" s="206" t="s">
        <v>280</v>
      </c>
      <c r="H101" s="206" t="s">
        <v>84</v>
      </c>
      <c r="I101" s="206" t="s">
        <v>109</v>
      </c>
      <c r="J101" s="206" t="s">
        <v>282</v>
      </c>
      <c r="K101" s="206" t="s">
        <v>31</v>
      </c>
      <c r="L101" s="206" t="str">
        <f>VLOOKUP(Primary_Order[[#This Row],[Product ID]],SKU[],3,0)</f>
        <v>3000 4T PLUS 10W30</v>
      </c>
      <c r="M101" s="231">
        <v>20</v>
      </c>
      <c r="N101" s="231">
        <v>530</v>
      </c>
      <c r="O101" s="231">
        <v>20</v>
      </c>
      <c r="P101" s="232"/>
      <c r="Q101" s="231">
        <v>0</v>
      </c>
      <c r="R101" s="231">
        <v>530</v>
      </c>
      <c r="S101" s="231">
        <v>20</v>
      </c>
      <c r="T101" s="231">
        <v>20</v>
      </c>
      <c r="U101" s="231">
        <v>10600</v>
      </c>
      <c r="V101" s="231">
        <v>0</v>
      </c>
      <c r="W101" s="231">
        <v>10600</v>
      </c>
      <c r="X101" s="231">
        <v>1382.608695652174</v>
      </c>
      <c r="Y101" s="231">
        <v>9217.391304347826</v>
      </c>
      <c r="Z101" s="206" t="s">
        <v>882</v>
      </c>
      <c r="AA101" s="206">
        <v>596</v>
      </c>
      <c r="AB101" s="206" t="s">
        <v>641</v>
      </c>
      <c r="AC101" s="230">
        <v>45676</v>
      </c>
      <c r="AD101" s="206" t="s">
        <v>50</v>
      </c>
      <c r="AE101" s="206" t="str">
        <f>IFERROR(VLOOKUP(Primary_Order[[#This Row],[AM]],SP!$E$19:$F$23,2,0),Primary_Order[[#This Row],[AM]])</f>
        <v>Northern</v>
      </c>
      <c r="AF101" s="206" t="str">
        <f>VLOOKUP(Primary_Order[[#This Row],[Product ID]],SKU[],10,0)</f>
        <v>Mineral</v>
      </c>
      <c r="AG101" s="206" t="str">
        <f>VLOOKUP(Primary_Order[[#This Row],[Product ID]],SKU[],9,0)</f>
        <v>MCO</v>
      </c>
      <c r="AH101" s="206" t="str">
        <f>VLOOKUP(Primary_Order[[#This Row],[Product ID]],SKU[],12,0)</f>
        <v>10W30</v>
      </c>
      <c r="AI101" s="206" t="str">
        <f>VLOOKUP(Primary_Order[[#This Row],[Product ID]],SKU[],13,0)</f>
        <v>3000</v>
      </c>
      <c r="AJ101" s="233">
        <f>VLOOKUP(Primary_Order[[#This Row],[Product ID]],SKU[[SKU ID]:[Bottle Size(Ltr)]],6,0)*Primary_Order[[#This Row],[Free Quantity]]</f>
        <v>0</v>
      </c>
      <c r="AK101" s="206" t="str">
        <f>VLOOKUP(Primary_Order[[#This Row],[Product ID]],SKU[[SKU ID]:[Bottle Size(Ltr)]],4,0)</f>
        <v>20x1L</v>
      </c>
      <c r="AL101" s="231">
        <f>VLOOKUP(Primary_Order[[#This Row],[Product ID]],SKU[],14,0)*Primary_Order[[#This Row],[Total Qty]]</f>
        <v>7586.5999999999995</v>
      </c>
      <c r="AM101" s="231">
        <f>IF(Primary_Order[[#This Row],[Cost]]=0,0,Primary_Order[[#This Row],[Net Total(-15%)]]-Primary_Order[[#This Row],[Cost]])</f>
        <v>1630.7913043478266</v>
      </c>
      <c r="AN101" s="206" t="str">
        <f>"O-"&amp;Primary_Order[[#This Row],[Date]]&amp;"-"&amp;Primary_Order[[#This Row],[MMD ID]]</f>
        <v>O-45672-D-0023</v>
      </c>
      <c r="AO101" s="206" t="str" cm="1">
        <f t="array" ref="AO10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2" spans="1:41" x14ac:dyDescent="0.5">
      <c r="A102" s="206" t="s">
        <v>1059</v>
      </c>
      <c r="B102" s="230">
        <v>45672</v>
      </c>
      <c r="C102" s="206" t="s">
        <v>108</v>
      </c>
      <c r="D102" s="206" t="s">
        <v>1038</v>
      </c>
      <c r="E102" s="206" t="s">
        <v>1039</v>
      </c>
      <c r="F102" s="206">
        <v>1712284667</v>
      </c>
      <c r="G102" s="206" t="s">
        <v>280</v>
      </c>
      <c r="H102" s="206" t="s">
        <v>84</v>
      </c>
      <c r="I102" s="206" t="s">
        <v>109</v>
      </c>
      <c r="J102" s="206" t="s">
        <v>282</v>
      </c>
      <c r="K102" s="206" t="s">
        <v>53</v>
      </c>
      <c r="L102" s="206" t="str">
        <f>VLOOKUP(Primary_Order[[#This Row],[Product ID]],SKU[],3,0)</f>
        <v>3000 4T PLUS 20W40</v>
      </c>
      <c r="M102" s="231">
        <v>60</v>
      </c>
      <c r="N102" s="231">
        <v>530</v>
      </c>
      <c r="O102" s="231">
        <v>60</v>
      </c>
      <c r="P102" s="232"/>
      <c r="Q102" s="231">
        <v>0</v>
      </c>
      <c r="R102" s="231">
        <v>530</v>
      </c>
      <c r="S102" s="231">
        <v>60</v>
      </c>
      <c r="T102" s="231">
        <v>60</v>
      </c>
      <c r="U102" s="231">
        <v>31800</v>
      </c>
      <c r="V102" s="231">
        <v>0</v>
      </c>
      <c r="W102" s="231">
        <v>31800</v>
      </c>
      <c r="X102" s="231">
        <v>4147.826086956522</v>
      </c>
      <c r="Y102" s="231">
        <v>27652.17391304348</v>
      </c>
      <c r="Z102" s="206" t="s">
        <v>882</v>
      </c>
      <c r="AA102" s="206">
        <v>596</v>
      </c>
      <c r="AB102" s="206" t="s">
        <v>641</v>
      </c>
      <c r="AC102" s="230">
        <v>45676</v>
      </c>
      <c r="AD102" s="206" t="s">
        <v>50</v>
      </c>
      <c r="AE102" s="206" t="str">
        <f>IFERROR(VLOOKUP(Primary_Order[[#This Row],[AM]],SP!$E$19:$F$23,2,0),Primary_Order[[#This Row],[AM]])</f>
        <v>Northern</v>
      </c>
      <c r="AF102" s="206" t="str">
        <f>VLOOKUP(Primary_Order[[#This Row],[Product ID]],SKU[],10,0)</f>
        <v>Mineral</v>
      </c>
      <c r="AG102" s="206" t="str">
        <f>VLOOKUP(Primary_Order[[#This Row],[Product ID]],SKU[],9,0)</f>
        <v>MCO</v>
      </c>
      <c r="AH102" s="206" t="str">
        <f>VLOOKUP(Primary_Order[[#This Row],[Product ID]],SKU[],12,0)</f>
        <v>20W40</v>
      </c>
      <c r="AI102" s="206" t="str">
        <f>VLOOKUP(Primary_Order[[#This Row],[Product ID]],SKU[],13,0)</f>
        <v>3000</v>
      </c>
      <c r="AJ102" s="233">
        <f>VLOOKUP(Primary_Order[[#This Row],[Product ID]],SKU[[SKU ID]:[Bottle Size(Ltr)]],6,0)*Primary_Order[[#This Row],[Free Quantity]]</f>
        <v>0</v>
      </c>
      <c r="AK102" s="206" t="str">
        <f>VLOOKUP(Primary_Order[[#This Row],[Product ID]],SKU[[SKU ID]:[Bottle Size(Ltr)]],4,0)</f>
        <v>20x1L</v>
      </c>
      <c r="AL102" s="231">
        <f>VLOOKUP(Primary_Order[[#This Row],[Product ID]],SKU[],14,0)*Primary_Order[[#This Row],[Total Qty]]</f>
        <v>24765.599999999999</v>
      </c>
      <c r="AM102" s="231">
        <f>IF(Primary_Order[[#This Row],[Cost]]=0,0,Primary_Order[[#This Row],[Net Total(-15%)]]-Primary_Order[[#This Row],[Cost]])</f>
        <v>2886.5739130434813</v>
      </c>
      <c r="AN102" s="206" t="str">
        <f>"O-"&amp;Primary_Order[[#This Row],[Date]]&amp;"-"&amp;Primary_Order[[#This Row],[MMD ID]]</f>
        <v>O-45672-D-0023</v>
      </c>
      <c r="AO102" s="206" t="str" cm="1">
        <f t="array" ref="AO10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3" spans="1:41" x14ac:dyDescent="0.5">
      <c r="A103" s="206" t="s">
        <v>1059</v>
      </c>
      <c r="B103" s="230">
        <v>45672</v>
      </c>
      <c r="C103" s="206" t="s">
        <v>108</v>
      </c>
      <c r="D103" s="206" t="s">
        <v>1038</v>
      </c>
      <c r="E103" s="206" t="s">
        <v>1039</v>
      </c>
      <c r="F103" s="206">
        <v>1712284667</v>
      </c>
      <c r="G103" s="206" t="s">
        <v>280</v>
      </c>
      <c r="H103" s="206" t="s">
        <v>84</v>
      </c>
      <c r="I103" s="206" t="s">
        <v>109</v>
      </c>
      <c r="J103" s="206" t="s">
        <v>282</v>
      </c>
      <c r="K103" s="206" t="s">
        <v>54</v>
      </c>
      <c r="L103" s="206" t="str">
        <f>VLOOKUP(Primary_Order[[#This Row],[Product ID]],SKU[],3,0)</f>
        <v>3000 4T PLUS 10W40</v>
      </c>
      <c r="M103" s="231">
        <v>60</v>
      </c>
      <c r="N103" s="231">
        <v>535</v>
      </c>
      <c r="O103" s="231">
        <v>60</v>
      </c>
      <c r="P103" s="232"/>
      <c r="Q103" s="231">
        <v>0</v>
      </c>
      <c r="R103" s="231">
        <v>535</v>
      </c>
      <c r="S103" s="231">
        <v>60</v>
      </c>
      <c r="T103" s="231">
        <v>60</v>
      </c>
      <c r="U103" s="231">
        <v>32100</v>
      </c>
      <c r="V103" s="231">
        <v>0</v>
      </c>
      <c r="W103" s="231">
        <v>32100</v>
      </c>
      <c r="X103" s="231">
        <v>4186.95652173913</v>
      </c>
      <c r="Y103" s="231">
        <v>27913.043478260868</v>
      </c>
      <c r="Z103" s="206" t="s">
        <v>882</v>
      </c>
      <c r="AA103" s="206">
        <v>596</v>
      </c>
      <c r="AB103" s="206" t="s">
        <v>641</v>
      </c>
      <c r="AC103" s="230">
        <v>45676</v>
      </c>
      <c r="AD103" s="206" t="s">
        <v>50</v>
      </c>
      <c r="AE103" s="206" t="str">
        <f>IFERROR(VLOOKUP(Primary_Order[[#This Row],[AM]],SP!$E$19:$F$23,2,0),Primary_Order[[#This Row],[AM]])</f>
        <v>Northern</v>
      </c>
      <c r="AF103" s="206" t="str">
        <f>VLOOKUP(Primary_Order[[#This Row],[Product ID]],SKU[],10,0)</f>
        <v>Mineral</v>
      </c>
      <c r="AG103" s="206" t="str">
        <f>VLOOKUP(Primary_Order[[#This Row],[Product ID]],SKU[],9,0)</f>
        <v>MCO</v>
      </c>
      <c r="AH103" s="206" t="str">
        <f>VLOOKUP(Primary_Order[[#This Row],[Product ID]],SKU[],12,0)</f>
        <v>10W40</v>
      </c>
      <c r="AI103" s="206" t="str">
        <f>VLOOKUP(Primary_Order[[#This Row],[Product ID]],SKU[],13,0)</f>
        <v>3000</v>
      </c>
      <c r="AJ103" s="233">
        <f>VLOOKUP(Primary_Order[[#This Row],[Product ID]],SKU[[SKU ID]:[Bottle Size(Ltr)]],6,0)*Primary_Order[[#This Row],[Free Quantity]]</f>
        <v>0</v>
      </c>
      <c r="AK103" s="206" t="str">
        <f>VLOOKUP(Primary_Order[[#This Row],[Product ID]],SKU[[SKU ID]:[Bottle Size(Ltr)]],4,0)</f>
        <v>20x1L</v>
      </c>
      <c r="AL103" s="231">
        <f>VLOOKUP(Primary_Order[[#This Row],[Product ID]],SKU[],14,0)*Primary_Order[[#This Row],[Total Qty]]</f>
        <v>23091</v>
      </c>
      <c r="AM103" s="231">
        <f>IF(Primary_Order[[#This Row],[Cost]]=0,0,Primary_Order[[#This Row],[Net Total(-15%)]]-Primary_Order[[#This Row],[Cost]])</f>
        <v>4822.0434782608681</v>
      </c>
      <c r="AN103" s="206" t="str">
        <f>"O-"&amp;Primary_Order[[#This Row],[Date]]&amp;"-"&amp;Primary_Order[[#This Row],[MMD ID]]</f>
        <v>O-45672-D-0023</v>
      </c>
      <c r="AO103" s="206" t="str" cm="1">
        <f t="array" ref="AO10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4" spans="1:41" x14ac:dyDescent="0.5">
      <c r="A104" s="206" t="s">
        <v>1060</v>
      </c>
      <c r="B104" s="230">
        <v>45670</v>
      </c>
      <c r="C104" s="206" t="s">
        <v>116</v>
      </c>
      <c r="D104" s="206" t="s">
        <v>1031</v>
      </c>
      <c r="E104" s="206" t="s">
        <v>1032</v>
      </c>
      <c r="F104" s="206" t="s">
        <v>283</v>
      </c>
      <c r="G104" s="206" t="s">
        <v>79</v>
      </c>
      <c r="H104" s="206" t="s">
        <v>40</v>
      </c>
      <c r="I104" s="206" t="s">
        <v>284</v>
      </c>
      <c r="J104" s="206" t="s">
        <v>285</v>
      </c>
      <c r="K104" s="206" t="s">
        <v>54</v>
      </c>
      <c r="L104" s="206" t="str">
        <f>VLOOKUP(Primary_Order[[#This Row],[Product ID]],SKU[],3,0)</f>
        <v>3000 4T PLUS 10W40</v>
      </c>
      <c r="M104" s="231">
        <v>3000</v>
      </c>
      <c r="N104" s="231">
        <v>535</v>
      </c>
      <c r="O104" s="231">
        <v>3000</v>
      </c>
      <c r="P104" s="232"/>
      <c r="Q104" s="231">
        <v>0</v>
      </c>
      <c r="R104" s="231">
        <v>535</v>
      </c>
      <c r="S104" s="231">
        <v>3000</v>
      </c>
      <c r="T104" s="231">
        <v>3000</v>
      </c>
      <c r="U104" s="231">
        <v>1605000</v>
      </c>
      <c r="V104" s="231">
        <v>0</v>
      </c>
      <c r="W104" s="231">
        <v>1605000</v>
      </c>
      <c r="X104" s="231">
        <v>209347.82608695651</v>
      </c>
      <c r="Y104" s="231">
        <v>1395652.1739130435</v>
      </c>
      <c r="Z104" s="206" t="s">
        <v>882</v>
      </c>
      <c r="AA104" s="206">
        <v>597</v>
      </c>
      <c r="AB104" s="206" t="s">
        <v>641</v>
      </c>
      <c r="AC104" s="230">
        <v>45676</v>
      </c>
      <c r="AD104" s="206" t="s">
        <v>1033</v>
      </c>
      <c r="AE104" s="206" t="str">
        <f>IFERROR(VLOOKUP(Primary_Order[[#This Row],[AM]],SP!$E$19:$F$23,2,0),Primary_Order[[#This Row],[AM]])</f>
        <v>Central</v>
      </c>
      <c r="AF104" s="206" t="str">
        <f>VLOOKUP(Primary_Order[[#This Row],[Product ID]],SKU[],10,0)</f>
        <v>Mineral</v>
      </c>
      <c r="AG104" s="206" t="str">
        <f>VLOOKUP(Primary_Order[[#This Row],[Product ID]],SKU[],9,0)</f>
        <v>MCO</v>
      </c>
      <c r="AH104" s="206" t="str">
        <f>VLOOKUP(Primary_Order[[#This Row],[Product ID]],SKU[],12,0)</f>
        <v>10W40</v>
      </c>
      <c r="AI104" s="206" t="str">
        <f>VLOOKUP(Primary_Order[[#This Row],[Product ID]],SKU[],13,0)</f>
        <v>3000</v>
      </c>
      <c r="AJ104" s="233">
        <f>VLOOKUP(Primary_Order[[#This Row],[Product ID]],SKU[[SKU ID]:[Bottle Size(Ltr)]],6,0)*Primary_Order[[#This Row],[Free Quantity]]</f>
        <v>0</v>
      </c>
      <c r="AK104" s="206" t="str">
        <f>VLOOKUP(Primary_Order[[#This Row],[Product ID]],SKU[[SKU ID]:[Bottle Size(Ltr)]],4,0)</f>
        <v>20x1L</v>
      </c>
      <c r="AL104" s="231">
        <f>VLOOKUP(Primary_Order[[#This Row],[Product ID]],SKU[],14,0)*Primary_Order[[#This Row],[Total Qty]]</f>
        <v>1154550</v>
      </c>
      <c r="AM104" s="231">
        <f>IF(Primary_Order[[#This Row],[Cost]]=0,0,Primary_Order[[#This Row],[Net Total(-15%)]]-Primary_Order[[#This Row],[Cost]])</f>
        <v>241102.17391304346</v>
      </c>
      <c r="AN104" s="206" t="str">
        <f>"O-"&amp;Primary_Order[[#This Row],[Date]]&amp;"-"&amp;Primary_Order[[#This Row],[MMD ID]]</f>
        <v>O-45670-D-0009</v>
      </c>
      <c r="AO104" s="206" t="str" cm="1">
        <f t="array" ref="AO10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5" spans="1:41" x14ac:dyDescent="0.5">
      <c r="A105" s="206" t="s">
        <v>1060</v>
      </c>
      <c r="B105" s="230">
        <v>45670</v>
      </c>
      <c r="C105" s="206" t="s">
        <v>116</v>
      </c>
      <c r="D105" s="206" t="s">
        <v>1031</v>
      </c>
      <c r="E105" s="206" t="s">
        <v>1032</v>
      </c>
      <c r="F105" s="206" t="s">
        <v>283</v>
      </c>
      <c r="G105" s="206" t="s">
        <v>79</v>
      </c>
      <c r="H105" s="206" t="s">
        <v>40</v>
      </c>
      <c r="I105" s="206" t="s">
        <v>284</v>
      </c>
      <c r="J105" s="206" t="s">
        <v>285</v>
      </c>
      <c r="K105" s="206" t="s">
        <v>32</v>
      </c>
      <c r="L105" s="206" t="str">
        <f>VLOOKUP(Primary_Order[[#This Row],[Product ID]],SKU[],3,0)</f>
        <v>3000 4T PLUS 10W30</v>
      </c>
      <c r="M105" s="231">
        <v>500</v>
      </c>
      <c r="N105" s="231">
        <v>640</v>
      </c>
      <c r="O105" s="231">
        <v>600</v>
      </c>
      <c r="P105" s="232"/>
      <c r="Q105" s="231">
        <v>0</v>
      </c>
      <c r="R105" s="231">
        <v>640</v>
      </c>
      <c r="S105" s="231">
        <v>500</v>
      </c>
      <c r="T105" s="231">
        <v>600</v>
      </c>
      <c r="U105" s="231">
        <v>320000</v>
      </c>
      <c r="V105" s="231">
        <v>0</v>
      </c>
      <c r="W105" s="231">
        <v>320000</v>
      </c>
      <c r="X105" s="231">
        <v>41739.130434782608</v>
      </c>
      <c r="Y105" s="231">
        <v>278260.86956521741</v>
      </c>
      <c r="Z105" s="206" t="s">
        <v>882</v>
      </c>
      <c r="AA105" s="206">
        <v>597</v>
      </c>
      <c r="AB105" s="206" t="s">
        <v>641</v>
      </c>
      <c r="AC105" s="230">
        <v>45676</v>
      </c>
      <c r="AD105" s="206" t="s">
        <v>1033</v>
      </c>
      <c r="AE105" s="206" t="str">
        <f>IFERROR(VLOOKUP(Primary_Order[[#This Row],[AM]],SP!$E$19:$F$23,2,0),Primary_Order[[#This Row],[AM]])</f>
        <v>Central</v>
      </c>
      <c r="AF105" s="206" t="str">
        <f>VLOOKUP(Primary_Order[[#This Row],[Product ID]],SKU[],10,0)</f>
        <v>Mineral</v>
      </c>
      <c r="AG105" s="206" t="str">
        <f>VLOOKUP(Primary_Order[[#This Row],[Product ID]],SKU[],9,0)</f>
        <v>MCO</v>
      </c>
      <c r="AH105" s="206" t="str">
        <f>VLOOKUP(Primary_Order[[#This Row],[Product ID]],SKU[],12,0)</f>
        <v>10W30</v>
      </c>
      <c r="AI105" s="206" t="str">
        <f>VLOOKUP(Primary_Order[[#This Row],[Product ID]],SKU[],13,0)</f>
        <v>3000</v>
      </c>
      <c r="AJ105" s="233">
        <f>VLOOKUP(Primary_Order[[#This Row],[Product ID]],SKU[[SKU ID]:[Bottle Size(Ltr)]],6,0)*Primary_Order[[#This Row],[Free Quantity]]</f>
        <v>0</v>
      </c>
      <c r="AK105" s="206" t="str">
        <f>VLOOKUP(Primary_Order[[#This Row],[Product ID]],SKU[[SKU ID]:[Bottle Size(Ltr)]],4,0)</f>
        <v>20x1.2L</v>
      </c>
      <c r="AL105" s="231">
        <f>VLOOKUP(Primary_Order[[#This Row],[Product ID]],SKU[],14,0)*Primary_Order[[#This Row],[Total Qty]]</f>
        <v>219450</v>
      </c>
      <c r="AM105" s="231">
        <f>IF(Primary_Order[[#This Row],[Cost]]=0,0,Primary_Order[[#This Row],[Net Total(-15%)]]-Primary_Order[[#This Row],[Cost]])</f>
        <v>58810.869565217406</v>
      </c>
      <c r="AN105" s="206" t="str">
        <f>"O-"&amp;Primary_Order[[#This Row],[Date]]&amp;"-"&amp;Primary_Order[[#This Row],[MMD ID]]</f>
        <v>O-45670-D-0009</v>
      </c>
      <c r="AO105" s="206" t="str" cm="1">
        <f t="array" ref="AO10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6" spans="1:41" x14ac:dyDescent="0.5">
      <c r="A106" s="206" t="s">
        <v>1060</v>
      </c>
      <c r="B106" s="230">
        <v>45670</v>
      </c>
      <c r="C106" s="206" t="s">
        <v>116</v>
      </c>
      <c r="D106" s="206" t="s">
        <v>1031</v>
      </c>
      <c r="E106" s="206" t="s">
        <v>1032</v>
      </c>
      <c r="F106" s="206" t="s">
        <v>283</v>
      </c>
      <c r="G106" s="206" t="s">
        <v>79</v>
      </c>
      <c r="H106" s="206" t="s">
        <v>40</v>
      </c>
      <c r="I106" s="206" t="s">
        <v>284</v>
      </c>
      <c r="J106" s="206" t="s">
        <v>285</v>
      </c>
      <c r="K106" s="206" t="s">
        <v>33</v>
      </c>
      <c r="L106" s="206" t="str">
        <f>VLOOKUP(Primary_Order[[#This Row],[Product ID]],SKU[],3,0)</f>
        <v>3000 4T PLUS 20W40</v>
      </c>
      <c r="M106" s="231">
        <v>300</v>
      </c>
      <c r="N106" s="231">
        <v>640</v>
      </c>
      <c r="O106" s="231">
        <v>360</v>
      </c>
      <c r="P106" s="232"/>
      <c r="Q106" s="231">
        <v>0</v>
      </c>
      <c r="R106" s="231">
        <v>640</v>
      </c>
      <c r="S106" s="231">
        <v>300</v>
      </c>
      <c r="T106" s="231">
        <v>360</v>
      </c>
      <c r="U106" s="231">
        <v>192000</v>
      </c>
      <c r="V106" s="231">
        <v>0</v>
      </c>
      <c r="W106" s="231">
        <v>192000</v>
      </c>
      <c r="X106" s="231">
        <v>25043.478260869564</v>
      </c>
      <c r="Y106" s="231">
        <v>166956.52173913043</v>
      </c>
      <c r="Z106" s="206" t="s">
        <v>882</v>
      </c>
      <c r="AA106" s="206">
        <v>597</v>
      </c>
      <c r="AB106" s="206" t="s">
        <v>641</v>
      </c>
      <c r="AC106" s="230">
        <v>45676</v>
      </c>
      <c r="AD106" s="206" t="s">
        <v>1033</v>
      </c>
      <c r="AE106" s="206" t="str">
        <f>IFERROR(VLOOKUP(Primary_Order[[#This Row],[AM]],SP!$E$19:$F$23,2,0),Primary_Order[[#This Row],[AM]])</f>
        <v>Central</v>
      </c>
      <c r="AF106" s="206" t="str">
        <f>VLOOKUP(Primary_Order[[#This Row],[Product ID]],SKU[],10,0)</f>
        <v>Mineral</v>
      </c>
      <c r="AG106" s="206" t="str">
        <f>VLOOKUP(Primary_Order[[#This Row],[Product ID]],SKU[],9,0)</f>
        <v>MCO</v>
      </c>
      <c r="AH106" s="206" t="str">
        <f>VLOOKUP(Primary_Order[[#This Row],[Product ID]],SKU[],12,0)</f>
        <v>20W40</v>
      </c>
      <c r="AI106" s="206" t="str">
        <f>VLOOKUP(Primary_Order[[#This Row],[Product ID]],SKU[],13,0)</f>
        <v>3000</v>
      </c>
      <c r="AJ106" s="233">
        <f>VLOOKUP(Primary_Order[[#This Row],[Product ID]],SKU[[SKU ID]:[Bottle Size(Ltr)]],6,0)*Primary_Order[[#This Row],[Free Quantity]]</f>
        <v>0</v>
      </c>
      <c r="AK106" s="206" t="str">
        <f>VLOOKUP(Primary_Order[[#This Row],[Product ID]],SKU[[SKU ID]:[Bottle Size(Ltr)]],4,0)</f>
        <v>20x1.2L</v>
      </c>
      <c r="AL106" s="231">
        <f>VLOOKUP(Primary_Order[[#This Row],[Product ID]],SKU[],14,0)*Primary_Order[[#This Row],[Total Qty]]</f>
        <v>140969.33860518291</v>
      </c>
      <c r="AM106" s="231">
        <f>IF(Primary_Order[[#This Row],[Cost]]=0,0,Primary_Order[[#This Row],[Net Total(-15%)]]-Primary_Order[[#This Row],[Cost]])</f>
        <v>25987.183133947517</v>
      </c>
      <c r="AN106" s="206" t="str">
        <f>"O-"&amp;Primary_Order[[#This Row],[Date]]&amp;"-"&amp;Primary_Order[[#This Row],[MMD ID]]</f>
        <v>O-45670-D-0009</v>
      </c>
      <c r="AO106" s="206" t="str" cm="1">
        <f t="array" ref="AO10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7" spans="1:41" x14ac:dyDescent="0.5">
      <c r="A107" s="206" t="s">
        <v>1060</v>
      </c>
      <c r="B107" s="230">
        <v>45670</v>
      </c>
      <c r="C107" s="206" t="s">
        <v>116</v>
      </c>
      <c r="D107" s="206" t="s">
        <v>1031</v>
      </c>
      <c r="E107" s="206" t="s">
        <v>1032</v>
      </c>
      <c r="F107" s="206" t="s">
        <v>283</v>
      </c>
      <c r="G107" s="206" t="s">
        <v>79</v>
      </c>
      <c r="H107" s="206" t="s">
        <v>40</v>
      </c>
      <c r="I107" s="206" t="s">
        <v>284</v>
      </c>
      <c r="J107" s="206" t="s">
        <v>285</v>
      </c>
      <c r="K107" s="206" t="s">
        <v>81</v>
      </c>
      <c r="L107" s="206" t="str">
        <f>VLOOKUP(Primary_Order[[#This Row],[Product ID]],SKU[],3,0)</f>
        <v>3000 4T 20W50</v>
      </c>
      <c r="M107" s="231">
        <v>280</v>
      </c>
      <c r="N107" s="231">
        <v>495</v>
      </c>
      <c r="O107" s="231">
        <v>280</v>
      </c>
      <c r="P107" s="232"/>
      <c r="Q107" s="231">
        <v>0</v>
      </c>
      <c r="R107" s="231">
        <v>495</v>
      </c>
      <c r="S107" s="231">
        <v>280</v>
      </c>
      <c r="T107" s="231">
        <v>280</v>
      </c>
      <c r="U107" s="231">
        <v>138600</v>
      </c>
      <c r="V107" s="231">
        <v>0</v>
      </c>
      <c r="W107" s="231">
        <v>138600</v>
      </c>
      <c r="X107" s="231">
        <v>18078.260869565216</v>
      </c>
      <c r="Y107" s="231">
        <v>120521.73913043478</v>
      </c>
      <c r="Z107" s="206" t="s">
        <v>882</v>
      </c>
      <c r="AA107" s="206">
        <v>597</v>
      </c>
      <c r="AB107" s="206" t="s">
        <v>641</v>
      </c>
      <c r="AC107" s="230">
        <v>45676</v>
      </c>
      <c r="AD107" s="206" t="s">
        <v>1033</v>
      </c>
      <c r="AE107" s="206" t="str">
        <f>IFERROR(VLOOKUP(Primary_Order[[#This Row],[AM]],SP!$E$19:$F$23,2,0),Primary_Order[[#This Row],[AM]])</f>
        <v>Central</v>
      </c>
      <c r="AF107" s="206" t="str">
        <f>VLOOKUP(Primary_Order[[#This Row],[Product ID]],SKU[],10,0)</f>
        <v>Mineral</v>
      </c>
      <c r="AG107" s="206" t="str">
        <f>VLOOKUP(Primary_Order[[#This Row],[Product ID]],SKU[],9,0)</f>
        <v>MCO</v>
      </c>
      <c r="AH107" s="206" t="str">
        <f>VLOOKUP(Primary_Order[[#This Row],[Product ID]],SKU[],12,0)</f>
        <v>20W50</v>
      </c>
      <c r="AI107" s="206" t="str">
        <f>VLOOKUP(Primary_Order[[#This Row],[Product ID]],SKU[],13,0)</f>
        <v>3000</v>
      </c>
      <c r="AJ107" s="233">
        <f>VLOOKUP(Primary_Order[[#This Row],[Product ID]],SKU[[SKU ID]:[Bottle Size(Ltr)]],6,0)*Primary_Order[[#This Row],[Free Quantity]]</f>
        <v>0</v>
      </c>
      <c r="AK107" s="206" t="str">
        <f>VLOOKUP(Primary_Order[[#This Row],[Product ID]],SKU[[SKU ID]:[Bottle Size(Ltr)]],4,0)</f>
        <v>20x1L</v>
      </c>
      <c r="AL107" s="231">
        <f>VLOOKUP(Primary_Order[[#This Row],[Product ID]],SKU[],14,0)*Primary_Order[[#This Row],[Total Qty]]</f>
        <v>102177.60000000001</v>
      </c>
      <c r="AM107" s="231">
        <f>IF(Primary_Order[[#This Row],[Cost]]=0,0,Primary_Order[[#This Row],[Net Total(-15%)]]-Primary_Order[[#This Row],[Cost]])</f>
        <v>18344.139130434778</v>
      </c>
      <c r="AN107" s="206" t="str">
        <f>"O-"&amp;Primary_Order[[#This Row],[Date]]&amp;"-"&amp;Primary_Order[[#This Row],[MMD ID]]</f>
        <v>O-45670-D-0009</v>
      </c>
      <c r="AO107" s="206" t="str" cm="1">
        <f t="array" ref="AO10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8" spans="1:41" x14ac:dyDescent="0.5">
      <c r="A108" s="206" t="s">
        <v>1061</v>
      </c>
      <c r="B108" s="230">
        <v>45669</v>
      </c>
      <c r="C108" s="206" t="s">
        <v>97</v>
      </c>
      <c r="D108" s="206" t="s">
        <v>1062</v>
      </c>
      <c r="E108" s="206" t="s">
        <v>1063</v>
      </c>
      <c r="F108" s="234">
        <v>8801711584594</v>
      </c>
      <c r="G108" s="206" t="s">
        <v>709</v>
      </c>
      <c r="H108" s="206" t="s">
        <v>40</v>
      </c>
      <c r="I108" s="206" t="s">
        <v>98</v>
      </c>
      <c r="J108" s="206" t="s">
        <v>452</v>
      </c>
      <c r="K108" s="206" t="s">
        <v>31</v>
      </c>
      <c r="L108" s="206" t="str">
        <f>VLOOKUP(Primary_Order[[#This Row],[Product ID]],SKU[],3,0)</f>
        <v>3000 4T PLUS 10W30</v>
      </c>
      <c r="M108" s="231">
        <v>100</v>
      </c>
      <c r="N108" s="231">
        <v>525</v>
      </c>
      <c r="O108" s="231">
        <v>100</v>
      </c>
      <c r="P108" s="232"/>
      <c r="Q108" s="231">
        <v>0</v>
      </c>
      <c r="R108" s="231">
        <v>525</v>
      </c>
      <c r="S108" s="231">
        <v>100</v>
      </c>
      <c r="T108" s="231">
        <v>100</v>
      </c>
      <c r="U108" s="231">
        <v>52500</v>
      </c>
      <c r="V108" s="231">
        <v>0</v>
      </c>
      <c r="W108" s="231">
        <v>52500</v>
      </c>
      <c r="X108" s="231">
        <v>6847.826086956522</v>
      </c>
      <c r="Y108" s="231">
        <v>45652.17391304348</v>
      </c>
      <c r="Z108" s="206" t="s">
        <v>882</v>
      </c>
      <c r="AA108" s="206">
        <v>598</v>
      </c>
      <c r="AB108" s="206" t="s">
        <v>641</v>
      </c>
      <c r="AC108" s="230">
        <v>45676</v>
      </c>
      <c r="AD108" s="206" t="s">
        <v>50</v>
      </c>
      <c r="AE108" s="206" t="str">
        <f>IFERROR(VLOOKUP(Primary_Order[[#This Row],[AM]],SP!$E$19:$F$23,2,0),Primary_Order[[#This Row],[AM]])</f>
        <v>Central</v>
      </c>
      <c r="AF108" s="206" t="str">
        <f>VLOOKUP(Primary_Order[[#This Row],[Product ID]],SKU[],10,0)</f>
        <v>Mineral</v>
      </c>
      <c r="AG108" s="206" t="str">
        <f>VLOOKUP(Primary_Order[[#This Row],[Product ID]],SKU[],9,0)</f>
        <v>MCO</v>
      </c>
      <c r="AH108" s="206" t="str">
        <f>VLOOKUP(Primary_Order[[#This Row],[Product ID]],SKU[],12,0)</f>
        <v>10W30</v>
      </c>
      <c r="AI108" s="206" t="str">
        <f>VLOOKUP(Primary_Order[[#This Row],[Product ID]],SKU[],13,0)</f>
        <v>3000</v>
      </c>
      <c r="AJ108" s="233">
        <f>VLOOKUP(Primary_Order[[#This Row],[Product ID]],SKU[[SKU ID]:[Bottle Size(Ltr)]],6,0)*Primary_Order[[#This Row],[Free Quantity]]</f>
        <v>0</v>
      </c>
      <c r="AK108" s="206" t="str">
        <f>VLOOKUP(Primary_Order[[#This Row],[Product ID]],SKU[[SKU ID]:[Bottle Size(Ltr)]],4,0)</f>
        <v>20x1L</v>
      </c>
      <c r="AL108" s="231">
        <f>VLOOKUP(Primary_Order[[#This Row],[Product ID]],SKU[],14,0)*Primary_Order[[#This Row],[Total Qty]]</f>
        <v>37933</v>
      </c>
      <c r="AM108" s="231">
        <f>IF(Primary_Order[[#This Row],[Cost]]=0,0,Primary_Order[[#This Row],[Net Total(-15%)]]-Primary_Order[[#This Row],[Cost]])</f>
        <v>7719.1739130434798</v>
      </c>
      <c r="AN108" s="206" t="str">
        <f>"O-"&amp;Primary_Order[[#This Row],[Date]]&amp;"-"&amp;Primary_Order[[#This Row],[MMD ID]]</f>
        <v>O-45669-D-0001</v>
      </c>
      <c r="AO108" s="206" t="str" cm="1">
        <f t="array" ref="AO10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09" spans="1:41" x14ac:dyDescent="0.5">
      <c r="A109" s="206" t="s">
        <v>1061</v>
      </c>
      <c r="B109" s="230">
        <v>45669</v>
      </c>
      <c r="C109" s="206" t="s">
        <v>97</v>
      </c>
      <c r="D109" s="206" t="s">
        <v>1062</v>
      </c>
      <c r="E109" s="206" t="s">
        <v>1063</v>
      </c>
      <c r="F109" s="234">
        <v>8801711584594</v>
      </c>
      <c r="G109" s="206" t="s">
        <v>709</v>
      </c>
      <c r="H109" s="206" t="s">
        <v>40</v>
      </c>
      <c r="I109" s="206" t="s">
        <v>98</v>
      </c>
      <c r="J109" s="206" t="s">
        <v>452</v>
      </c>
      <c r="K109" s="206" t="s">
        <v>53</v>
      </c>
      <c r="L109" s="206" t="str">
        <f>VLOOKUP(Primary_Order[[#This Row],[Product ID]],SKU[],3,0)</f>
        <v>3000 4T PLUS 20W40</v>
      </c>
      <c r="M109" s="231">
        <v>60</v>
      </c>
      <c r="N109" s="231">
        <v>525</v>
      </c>
      <c r="O109" s="231">
        <v>60</v>
      </c>
      <c r="P109" s="232"/>
      <c r="Q109" s="231">
        <v>0</v>
      </c>
      <c r="R109" s="231">
        <v>525</v>
      </c>
      <c r="S109" s="231">
        <v>60</v>
      </c>
      <c r="T109" s="231">
        <v>60</v>
      </c>
      <c r="U109" s="231">
        <v>31500</v>
      </c>
      <c r="V109" s="231">
        <v>0</v>
      </c>
      <c r="W109" s="231">
        <v>31500</v>
      </c>
      <c r="X109" s="231">
        <v>4108.695652173913</v>
      </c>
      <c r="Y109" s="231">
        <v>27391.304347826088</v>
      </c>
      <c r="Z109" s="206" t="s">
        <v>882</v>
      </c>
      <c r="AA109" s="206">
        <v>598</v>
      </c>
      <c r="AB109" s="206" t="s">
        <v>641</v>
      </c>
      <c r="AC109" s="230">
        <v>45676</v>
      </c>
      <c r="AD109" s="206" t="s">
        <v>50</v>
      </c>
      <c r="AE109" s="206" t="str">
        <f>IFERROR(VLOOKUP(Primary_Order[[#This Row],[AM]],SP!$E$19:$F$23,2,0),Primary_Order[[#This Row],[AM]])</f>
        <v>Central</v>
      </c>
      <c r="AF109" s="206" t="str">
        <f>VLOOKUP(Primary_Order[[#This Row],[Product ID]],SKU[],10,0)</f>
        <v>Mineral</v>
      </c>
      <c r="AG109" s="206" t="str">
        <f>VLOOKUP(Primary_Order[[#This Row],[Product ID]],SKU[],9,0)</f>
        <v>MCO</v>
      </c>
      <c r="AH109" s="206" t="str">
        <f>VLOOKUP(Primary_Order[[#This Row],[Product ID]],SKU[],12,0)</f>
        <v>20W40</v>
      </c>
      <c r="AI109" s="206" t="str">
        <f>VLOOKUP(Primary_Order[[#This Row],[Product ID]],SKU[],13,0)</f>
        <v>3000</v>
      </c>
      <c r="AJ109" s="233">
        <f>VLOOKUP(Primary_Order[[#This Row],[Product ID]],SKU[[SKU ID]:[Bottle Size(Ltr)]],6,0)*Primary_Order[[#This Row],[Free Quantity]]</f>
        <v>0</v>
      </c>
      <c r="AK109" s="206" t="str">
        <f>VLOOKUP(Primary_Order[[#This Row],[Product ID]],SKU[[SKU ID]:[Bottle Size(Ltr)]],4,0)</f>
        <v>20x1L</v>
      </c>
      <c r="AL109" s="231">
        <f>VLOOKUP(Primary_Order[[#This Row],[Product ID]],SKU[],14,0)*Primary_Order[[#This Row],[Total Qty]]</f>
        <v>24765.599999999999</v>
      </c>
      <c r="AM109" s="231">
        <f>IF(Primary_Order[[#This Row],[Cost]]=0,0,Primary_Order[[#This Row],[Net Total(-15%)]]-Primary_Order[[#This Row],[Cost]])</f>
        <v>2625.7043478260894</v>
      </c>
      <c r="AN109" s="206" t="str">
        <f>"O-"&amp;Primary_Order[[#This Row],[Date]]&amp;"-"&amp;Primary_Order[[#This Row],[MMD ID]]</f>
        <v>O-45669-D-0001</v>
      </c>
      <c r="AO109" s="206" t="str" cm="1">
        <f t="array" ref="AO10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0" spans="1:41" x14ac:dyDescent="0.5">
      <c r="A110" s="206" t="s">
        <v>1061</v>
      </c>
      <c r="B110" s="230">
        <v>45669</v>
      </c>
      <c r="C110" s="206" t="s">
        <v>97</v>
      </c>
      <c r="D110" s="206" t="s">
        <v>1062</v>
      </c>
      <c r="E110" s="206" t="s">
        <v>1063</v>
      </c>
      <c r="F110" s="234">
        <v>8801711584594</v>
      </c>
      <c r="G110" s="206" t="s">
        <v>709</v>
      </c>
      <c r="H110" s="206" t="s">
        <v>40</v>
      </c>
      <c r="I110" s="206" t="s">
        <v>98</v>
      </c>
      <c r="J110" s="206" t="s">
        <v>452</v>
      </c>
      <c r="K110" s="206" t="s">
        <v>54</v>
      </c>
      <c r="L110" s="206" t="str">
        <f>VLOOKUP(Primary_Order[[#This Row],[Product ID]],SKU[],3,0)</f>
        <v>3000 4T PLUS 10W40</v>
      </c>
      <c r="M110" s="231">
        <v>300</v>
      </c>
      <c r="N110" s="231">
        <v>525</v>
      </c>
      <c r="O110" s="231">
        <v>300</v>
      </c>
      <c r="P110" s="232"/>
      <c r="Q110" s="231">
        <v>0</v>
      </c>
      <c r="R110" s="231">
        <v>525</v>
      </c>
      <c r="S110" s="231">
        <v>300</v>
      </c>
      <c r="T110" s="231">
        <v>300</v>
      </c>
      <c r="U110" s="231">
        <v>157500</v>
      </c>
      <c r="V110" s="231">
        <v>0</v>
      </c>
      <c r="W110" s="231">
        <v>157500</v>
      </c>
      <c r="X110" s="231">
        <v>20543.478260869564</v>
      </c>
      <c r="Y110" s="231">
        <v>136956.52173913043</v>
      </c>
      <c r="Z110" s="206" t="s">
        <v>882</v>
      </c>
      <c r="AA110" s="206">
        <v>598</v>
      </c>
      <c r="AB110" s="206" t="s">
        <v>641</v>
      </c>
      <c r="AC110" s="230">
        <v>45676</v>
      </c>
      <c r="AD110" s="206" t="s">
        <v>50</v>
      </c>
      <c r="AE110" s="206" t="str">
        <f>IFERROR(VLOOKUP(Primary_Order[[#This Row],[AM]],SP!$E$19:$F$23,2,0),Primary_Order[[#This Row],[AM]])</f>
        <v>Central</v>
      </c>
      <c r="AF110" s="206" t="str">
        <f>VLOOKUP(Primary_Order[[#This Row],[Product ID]],SKU[],10,0)</f>
        <v>Mineral</v>
      </c>
      <c r="AG110" s="206" t="str">
        <f>VLOOKUP(Primary_Order[[#This Row],[Product ID]],SKU[],9,0)</f>
        <v>MCO</v>
      </c>
      <c r="AH110" s="206" t="str">
        <f>VLOOKUP(Primary_Order[[#This Row],[Product ID]],SKU[],12,0)</f>
        <v>10W40</v>
      </c>
      <c r="AI110" s="206" t="str">
        <f>VLOOKUP(Primary_Order[[#This Row],[Product ID]],SKU[],13,0)</f>
        <v>3000</v>
      </c>
      <c r="AJ110" s="233">
        <f>VLOOKUP(Primary_Order[[#This Row],[Product ID]],SKU[[SKU ID]:[Bottle Size(Ltr)]],6,0)*Primary_Order[[#This Row],[Free Quantity]]</f>
        <v>0</v>
      </c>
      <c r="AK110" s="206" t="str">
        <f>VLOOKUP(Primary_Order[[#This Row],[Product ID]],SKU[[SKU ID]:[Bottle Size(Ltr)]],4,0)</f>
        <v>20x1L</v>
      </c>
      <c r="AL110" s="231">
        <f>VLOOKUP(Primary_Order[[#This Row],[Product ID]],SKU[],14,0)*Primary_Order[[#This Row],[Total Qty]]</f>
        <v>115455</v>
      </c>
      <c r="AM110" s="231">
        <f>IF(Primary_Order[[#This Row],[Cost]]=0,0,Primary_Order[[#This Row],[Net Total(-15%)]]-Primary_Order[[#This Row],[Cost]])</f>
        <v>21501.521739130432</v>
      </c>
      <c r="AN110" s="206" t="str">
        <f>"O-"&amp;Primary_Order[[#This Row],[Date]]&amp;"-"&amp;Primary_Order[[#This Row],[MMD ID]]</f>
        <v>O-45669-D-0001</v>
      </c>
      <c r="AO110" s="206" t="str" cm="1">
        <f t="array" ref="AO11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1" spans="1:41" x14ac:dyDescent="0.5">
      <c r="A111" s="206" t="s">
        <v>1061</v>
      </c>
      <c r="B111" s="230">
        <v>45669</v>
      </c>
      <c r="C111" s="206" t="s">
        <v>97</v>
      </c>
      <c r="D111" s="206" t="s">
        <v>1062</v>
      </c>
      <c r="E111" s="206" t="s">
        <v>1063</v>
      </c>
      <c r="F111" s="234">
        <v>8801711584594</v>
      </c>
      <c r="G111" s="206" t="s">
        <v>709</v>
      </c>
      <c r="H111" s="206" t="s">
        <v>40</v>
      </c>
      <c r="I111" s="206" t="s">
        <v>98</v>
      </c>
      <c r="J111" s="206" t="s">
        <v>452</v>
      </c>
      <c r="K111" s="206" t="s">
        <v>32</v>
      </c>
      <c r="L111" s="206" t="str">
        <f>VLOOKUP(Primary_Order[[#This Row],[Product ID]],SKU[],3,0)</f>
        <v>3000 4T PLUS 10W30</v>
      </c>
      <c r="M111" s="231">
        <v>100</v>
      </c>
      <c r="N111" s="231">
        <v>640</v>
      </c>
      <c r="O111" s="231">
        <v>120</v>
      </c>
      <c r="P111" s="232"/>
      <c r="Q111" s="231">
        <v>0</v>
      </c>
      <c r="R111" s="231">
        <v>640</v>
      </c>
      <c r="S111" s="231">
        <v>100</v>
      </c>
      <c r="T111" s="231">
        <v>120</v>
      </c>
      <c r="U111" s="231">
        <v>64000</v>
      </c>
      <c r="V111" s="231">
        <v>0</v>
      </c>
      <c r="W111" s="231">
        <v>64000</v>
      </c>
      <c r="X111" s="231">
        <v>8347.826086956522</v>
      </c>
      <c r="Y111" s="231">
        <v>55652.17391304348</v>
      </c>
      <c r="Z111" s="206" t="s">
        <v>882</v>
      </c>
      <c r="AA111" s="206">
        <v>598</v>
      </c>
      <c r="AB111" s="206" t="s">
        <v>641</v>
      </c>
      <c r="AC111" s="230">
        <v>45676</v>
      </c>
      <c r="AD111" s="206" t="s">
        <v>50</v>
      </c>
      <c r="AE111" s="206" t="str">
        <f>IFERROR(VLOOKUP(Primary_Order[[#This Row],[AM]],SP!$E$19:$F$23,2,0),Primary_Order[[#This Row],[AM]])</f>
        <v>Central</v>
      </c>
      <c r="AF111" s="206" t="str">
        <f>VLOOKUP(Primary_Order[[#This Row],[Product ID]],SKU[],10,0)</f>
        <v>Mineral</v>
      </c>
      <c r="AG111" s="206" t="str">
        <f>VLOOKUP(Primary_Order[[#This Row],[Product ID]],SKU[],9,0)</f>
        <v>MCO</v>
      </c>
      <c r="AH111" s="206" t="str">
        <f>VLOOKUP(Primary_Order[[#This Row],[Product ID]],SKU[],12,0)</f>
        <v>10W30</v>
      </c>
      <c r="AI111" s="206" t="str">
        <f>VLOOKUP(Primary_Order[[#This Row],[Product ID]],SKU[],13,0)</f>
        <v>3000</v>
      </c>
      <c r="AJ111" s="233">
        <f>VLOOKUP(Primary_Order[[#This Row],[Product ID]],SKU[[SKU ID]:[Bottle Size(Ltr)]],6,0)*Primary_Order[[#This Row],[Free Quantity]]</f>
        <v>0</v>
      </c>
      <c r="AK111" s="206" t="str">
        <f>VLOOKUP(Primary_Order[[#This Row],[Product ID]],SKU[[SKU ID]:[Bottle Size(Ltr)]],4,0)</f>
        <v>20x1.2L</v>
      </c>
      <c r="AL111" s="231">
        <f>VLOOKUP(Primary_Order[[#This Row],[Product ID]],SKU[],14,0)*Primary_Order[[#This Row],[Total Qty]]</f>
        <v>43890</v>
      </c>
      <c r="AM111" s="231">
        <f>IF(Primary_Order[[#This Row],[Cost]]=0,0,Primary_Order[[#This Row],[Net Total(-15%)]]-Primary_Order[[#This Row],[Cost]])</f>
        <v>11762.17391304348</v>
      </c>
      <c r="AN111" s="206" t="str">
        <f>"O-"&amp;Primary_Order[[#This Row],[Date]]&amp;"-"&amp;Primary_Order[[#This Row],[MMD ID]]</f>
        <v>O-45669-D-0001</v>
      </c>
      <c r="AO111" s="206" t="str" cm="1">
        <f t="array" ref="AO11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2" spans="1:41" x14ac:dyDescent="0.5">
      <c r="A112" s="206" t="s">
        <v>1061</v>
      </c>
      <c r="B112" s="230">
        <v>45669</v>
      </c>
      <c r="C112" s="206" t="s">
        <v>97</v>
      </c>
      <c r="D112" s="206" t="s">
        <v>1062</v>
      </c>
      <c r="E112" s="206" t="s">
        <v>1063</v>
      </c>
      <c r="F112" s="234">
        <v>8801711584594</v>
      </c>
      <c r="G112" s="206" t="s">
        <v>709</v>
      </c>
      <c r="H112" s="206" t="s">
        <v>40</v>
      </c>
      <c r="I112" s="206" t="s">
        <v>98</v>
      </c>
      <c r="J112" s="206" t="s">
        <v>452</v>
      </c>
      <c r="K112" s="206" t="s">
        <v>33</v>
      </c>
      <c r="L112" s="206" t="str">
        <f>VLOOKUP(Primary_Order[[#This Row],[Product ID]],SKU[],3,0)</f>
        <v>3000 4T PLUS 20W40</v>
      </c>
      <c r="M112" s="231">
        <v>80</v>
      </c>
      <c r="N112" s="231">
        <v>640</v>
      </c>
      <c r="O112" s="231">
        <v>96</v>
      </c>
      <c r="P112" s="232"/>
      <c r="Q112" s="231">
        <v>0</v>
      </c>
      <c r="R112" s="231">
        <v>640</v>
      </c>
      <c r="S112" s="231">
        <v>80</v>
      </c>
      <c r="T112" s="231">
        <v>96</v>
      </c>
      <c r="U112" s="231">
        <v>51200</v>
      </c>
      <c r="V112" s="231">
        <v>0</v>
      </c>
      <c r="W112" s="231">
        <v>51200</v>
      </c>
      <c r="X112" s="231">
        <v>6678.260869565217</v>
      </c>
      <c r="Y112" s="231">
        <v>44521.739130434784</v>
      </c>
      <c r="Z112" s="206" t="s">
        <v>882</v>
      </c>
      <c r="AA112" s="206">
        <v>598</v>
      </c>
      <c r="AB112" s="206" t="s">
        <v>641</v>
      </c>
      <c r="AC112" s="230">
        <v>45676</v>
      </c>
      <c r="AD112" s="206" t="s">
        <v>50</v>
      </c>
      <c r="AE112" s="206" t="str">
        <f>IFERROR(VLOOKUP(Primary_Order[[#This Row],[AM]],SP!$E$19:$F$23,2,0),Primary_Order[[#This Row],[AM]])</f>
        <v>Central</v>
      </c>
      <c r="AF112" s="206" t="str">
        <f>VLOOKUP(Primary_Order[[#This Row],[Product ID]],SKU[],10,0)</f>
        <v>Mineral</v>
      </c>
      <c r="AG112" s="206" t="str">
        <f>VLOOKUP(Primary_Order[[#This Row],[Product ID]],SKU[],9,0)</f>
        <v>MCO</v>
      </c>
      <c r="AH112" s="206" t="str">
        <f>VLOOKUP(Primary_Order[[#This Row],[Product ID]],SKU[],12,0)</f>
        <v>20W40</v>
      </c>
      <c r="AI112" s="206" t="str">
        <f>VLOOKUP(Primary_Order[[#This Row],[Product ID]],SKU[],13,0)</f>
        <v>3000</v>
      </c>
      <c r="AJ112" s="233">
        <f>VLOOKUP(Primary_Order[[#This Row],[Product ID]],SKU[[SKU ID]:[Bottle Size(Ltr)]],6,0)*Primary_Order[[#This Row],[Free Quantity]]</f>
        <v>0</v>
      </c>
      <c r="AK112" s="206" t="str">
        <f>VLOOKUP(Primary_Order[[#This Row],[Product ID]],SKU[[SKU ID]:[Bottle Size(Ltr)]],4,0)</f>
        <v>20x1.2L</v>
      </c>
      <c r="AL112" s="231">
        <f>VLOOKUP(Primary_Order[[#This Row],[Product ID]],SKU[],14,0)*Primary_Order[[#This Row],[Total Qty]]</f>
        <v>37591.823628048776</v>
      </c>
      <c r="AM112" s="231">
        <f>IF(Primary_Order[[#This Row],[Cost]]=0,0,Primary_Order[[#This Row],[Net Total(-15%)]]-Primary_Order[[#This Row],[Cost]])</f>
        <v>6929.9155023860076</v>
      </c>
      <c r="AN112" s="206" t="str">
        <f>"O-"&amp;Primary_Order[[#This Row],[Date]]&amp;"-"&amp;Primary_Order[[#This Row],[MMD ID]]</f>
        <v>O-45669-D-0001</v>
      </c>
      <c r="AO112" s="206" t="str" cm="1">
        <f t="array" ref="AO11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3" spans="1:41" x14ac:dyDescent="0.5">
      <c r="A113" s="206" t="s">
        <v>1061</v>
      </c>
      <c r="B113" s="230">
        <v>45669</v>
      </c>
      <c r="C113" s="206" t="s">
        <v>97</v>
      </c>
      <c r="D113" s="206" t="s">
        <v>1062</v>
      </c>
      <c r="E113" s="206" t="s">
        <v>1063</v>
      </c>
      <c r="F113" s="234">
        <v>8801711584594</v>
      </c>
      <c r="G113" s="206" t="s">
        <v>709</v>
      </c>
      <c r="H113" s="206" t="s">
        <v>40</v>
      </c>
      <c r="I113" s="206" t="s">
        <v>98</v>
      </c>
      <c r="J113" s="206" t="s">
        <v>452</v>
      </c>
      <c r="K113" s="206" t="s">
        <v>56</v>
      </c>
      <c r="L113" s="206" t="str">
        <f>VLOOKUP(Primary_Order[[#This Row],[Product ID]],SKU[],3,0)</f>
        <v>7100 4T 10W30 ESTER CORE®</v>
      </c>
      <c r="M113" s="231">
        <v>24</v>
      </c>
      <c r="N113" s="231">
        <v>1050</v>
      </c>
      <c r="O113" s="231">
        <v>24</v>
      </c>
      <c r="P113" s="232"/>
      <c r="Q113" s="231">
        <v>0</v>
      </c>
      <c r="R113" s="231">
        <v>1050</v>
      </c>
      <c r="S113" s="231">
        <v>24</v>
      </c>
      <c r="T113" s="231">
        <v>24</v>
      </c>
      <c r="U113" s="231">
        <v>25200</v>
      </c>
      <c r="V113" s="231">
        <v>0</v>
      </c>
      <c r="W113" s="231">
        <v>25200</v>
      </c>
      <c r="X113" s="231">
        <v>3286.9565217391305</v>
      </c>
      <c r="Y113" s="231">
        <v>21913.043478260868</v>
      </c>
      <c r="Z113" s="206" t="s">
        <v>882</v>
      </c>
      <c r="AA113" s="206">
        <v>598</v>
      </c>
      <c r="AB113" s="206" t="s">
        <v>641</v>
      </c>
      <c r="AC113" s="230">
        <v>45676</v>
      </c>
      <c r="AD113" s="206" t="s">
        <v>50</v>
      </c>
      <c r="AE113" s="206" t="str">
        <f>IFERROR(VLOOKUP(Primary_Order[[#This Row],[AM]],SP!$E$19:$F$23,2,0),Primary_Order[[#This Row],[AM]])</f>
        <v>Central</v>
      </c>
      <c r="AF113" s="206" t="str">
        <f>VLOOKUP(Primary_Order[[#This Row],[Product ID]],SKU[],10,0)</f>
        <v>Synthetic</v>
      </c>
      <c r="AG113" s="206" t="str">
        <f>VLOOKUP(Primary_Order[[#This Row],[Product ID]],SKU[],9,0)</f>
        <v>MCO</v>
      </c>
      <c r="AH113" s="206" t="str">
        <f>VLOOKUP(Primary_Order[[#This Row],[Product ID]],SKU[],12,0)</f>
        <v>10W30</v>
      </c>
      <c r="AI113" s="206" t="str">
        <f>VLOOKUP(Primary_Order[[#This Row],[Product ID]],SKU[],13,0)</f>
        <v>7100</v>
      </c>
      <c r="AJ113" s="233">
        <f>VLOOKUP(Primary_Order[[#This Row],[Product ID]],SKU[[SKU ID]:[Bottle Size(Ltr)]],6,0)*Primary_Order[[#This Row],[Free Quantity]]</f>
        <v>0</v>
      </c>
      <c r="AK113" s="206" t="str">
        <f>VLOOKUP(Primary_Order[[#This Row],[Product ID]],SKU[[SKU ID]:[Bottle Size(Ltr)]],4,0)</f>
        <v>12x1L</v>
      </c>
      <c r="AL113" s="231">
        <f>VLOOKUP(Primary_Order[[#This Row],[Product ID]],SKU[],14,0)*Primary_Order[[#This Row],[Total Qty]]</f>
        <v>16556.64</v>
      </c>
      <c r="AM113" s="231">
        <f>IF(Primary_Order[[#This Row],[Cost]]=0,0,Primary_Order[[#This Row],[Net Total(-15%)]]-Primary_Order[[#This Row],[Cost]])</f>
        <v>5356.4034782608687</v>
      </c>
      <c r="AN113" s="206" t="str">
        <f>"O-"&amp;Primary_Order[[#This Row],[Date]]&amp;"-"&amp;Primary_Order[[#This Row],[MMD ID]]</f>
        <v>O-45669-D-0001</v>
      </c>
      <c r="AO113" s="206" t="str" cm="1">
        <f t="array" ref="AO11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4" spans="1:41" x14ac:dyDescent="0.5">
      <c r="A114" s="206" t="s">
        <v>1061</v>
      </c>
      <c r="B114" s="230">
        <v>45669</v>
      </c>
      <c r="C114" s="206" t="s">
        <v>97</v>
      </c>
      <c r="D114" s="206" t="s">
        <v>1062</v>
      </c>
      <c r="E114" s="206" t="s">
        <v>1063</v>
      </c>
      <c r="F114" s="234">
        <v>8801711584594</v>
      </c>
      <c r="G114" s="206" t="s">
        <v>709</v>
      </c>
      <c r="H114" s="206" t="s">
        <v>40</v>
      </c>
      <c r="I114" s="206" t="s">
        <v>98</v>
      </c>
      <c r="J114" s="206" t="s">
        <v>452</v>
      </c>
      <c r="K114" s="206" t="s">
        <v>58</v>
      </c>
      <c r="L114" s="206" t="str">
        <f>VLOOKUP(Primary_Order[[#This Row],[Product ID]],SKU[],3,0)</f>
        <v>7100 4T 20W50 ESTER CORE®</v>
      </c>
      <c r="M114" s="231">
        <v>24</v>
      </c>
      <c r="N114" s="231">
        <v>1050</v>
      </c>
      <c r="O114" s="231">
        <v>24</v>
      </c>
      <c r="P114" s="232"/>
      <c r="Q114" s="231">
        <v>0</v>
      </c>
      <c r="R114" s="231">
        <v>1050</v>
      </c>
      <c r="S114" s="231">
        <v>24</v>
      </c>
      <c r="T114" s="231">
        <v>24</v>
      </c>
      <c r="U114" s="231">
        <v>25200</v>
      </c>
      <c r="V114" s="231">
        <v>0</v>
      </c>
      <c r="W114" s="231">
        <v>25200</v>
      </c>
      <c r="X114" s="231">
        <v>3286.9565217391305</v>
      </c>
      <c r="Y114" s="231">
        <v>21913.043478260868</v>
      </c>
      <c r="Z114" s="206" t="s">
        <v>882</v>
      </c>
      <c r="AA114" s="206">
        <v>598</v>
      </c>
      <c r="AB114" s="206" t="s">
        <v>641</v>
      </c>
      <c r="AC114" s="230">
        <v>45676</v>
      </c>
      <c r="AD114" s="206" t="s">
        <v>50</v>
      </c>
      <c r="AE114" s="206" t="str">
        <f>IFERROR(VLOOKUP(Primary_Order[[#This Row],[AM]],SP!$E$19:$F$23,2,0),Primary_Order[[#This Row],[AM]])</f>
        <v>Central</v>
      </c>
      <c r="AF114" s="206" t="str">
        <f>VLOOKUP(Primary_Order[[#This Row],[Product ID]],SKU[],10,0)</f>
        <v>Synthetic</v>
      </c>
      <c r="AG114" s="206" t="str">
        <f>VLOOKUP(Primary_Order[[#This Row],[Product ID]],SKU[],9,0)</f>
        <v>MCO</v>
      </c>
      <c r="AH114" s="206" t="str">
        <f>VLOOKUP(Primary_Order[[#This Row],[Product ID]],SKU[],12,0)</f>
        <v>20W50</v>
      </c>
      <c r="AI114" s="206" t="str">
        <f>VLOOKUP(Primary_Order[[#This Row],[Product ID]],SKU[],13,0)</f>
        <v>7100</v>
      </c>
      <c r="AJ114" s="233">
        <f>VLOOKUP(Primary_Order[[#This Row],[Product ID]],SKU[[SKU ID]:[Bottle Size(Ltr)]],6,0)*Primary_Order[[#This Row],[Free Quantity]]</f>
        <v>0</v>
      </c>
      <c r="AK114" s="206" t="str">
        <f>VLOOKUP(Primary_Order[[#This Row],[Product ID]],SKU[[SKU ID]:[Bottle Size(Ltr)]],4,0)</f>
        <v>12x1L</v>
      </c>
      <c r="AL114" s="231">
        <f>VLOOKUP(Primary_Order[[#This Row],[Product ID]],SKU[],14,0)*Primary_Order[[#This Row],[Total Qty]]</f>
        <v>18328.761599999998</v>
      </c>
      <c r="AM114" s="231">
        <f>IF(Primary_Order[[#This Row],[Cost]]=0,0,Primary_Order[[#This Row],[Net Total(-15%)]]-Primary_Order[[#This Row],[Cost]])</f>
        <v>3584.2818782608701</v>
      </c>
      <c r="AN114" s="206" t="str">
        <f>"O-"&amp;Primary_Order[[#This Row],[Date]]&amp;"-"&amp;Primary_Order[[#This Row],[MMD ID]]</f>
        <v>O-45669-D-0001</v>
      </c>
      <c r="AO114" s="206" t="str" cm="1">
        <f t="array" ref="AO11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5" spans="1:41" x14ac:dyDescent="0.5">
      <c r="A115" s="206" t="s">
        <v>1072</v>
      </c>
      <c r="B115" s="230">
        <v>45677</v>
      </c>
      <c r="C115" s="206" t="s">
        <v>122</v>
      </c>
      <c r="D115" s="206" t="s">
        <v>431</v>
      </c>
      <c r="E115" s="206" t="s">
        <v>880</v>
      </c>
      <c r="F115" s="206" t="s">
        <v>432</v>
      </c>
      <c r="G115" s="206" t="s">
        <v>39</v>
      </c>
      <c r="H115" s="206" t="s">
        <v>40</v>
      </c>
      <c r="I115" s="206" t="s">
        <v>431</v>
      </c>
      <c r="J115" s="206" t="s">
        <v>276</v>
      </c>
      <c r="K115" s="206" t="s">
        <v>53</v>
      </c>
      <c r="L115" s="206" t="str">
        <f>VLOOKUP(Primary_Order[[#This Row],[Product ID]],SKU[],3,0)</f>
        <v>3000 4T PLUS 20W40</v>
      </c>
      <c r="M115" s="231">
        <v>100</v>
      </c>
      <c r="N115" s="231">
        <v>530</v>
      </c>
      <c r="O115" s="231">
        <v>100</v>
      </c>
      <c r="P115" s="232"/>
      <c r="Q115" s="231">
        <v>0</v>
      </c>
      <c r="R115" s="231">
        <v>530</v>
      </c>
      <c r="S115" s="231">
        <v>100</v>
      </c>
      <c r="T115" s="231">
        <v>100</v>
      </c>
      <c r="U115" s="231">
        <v>53000</v>
      </c>
      <c r="V115" s="231">
        <v>0</v>
      </c>
      <c r="W115" s="231">
        <v>53000</v>
      </c>
      <c r="X115" s="231">
        <v>6913.04347826087</v>
      </c>
      <c r="Y115" s="231">
        <v>46086.956521739128</v>
      </c>
      <c r="Z115" s="206" t="s">
        <v>882</v>
      </c>
      <c r="AA115" s="206">
        <v>599</v>
      </c>
      <c r="AB115" s="206" t="s">
        <v>641</v>
      </c>
      <c r="AC115" s="230">
        <v>45677</v>
      </c>
      <c r="AD115" s="206" t="s">
        <v>50</v>
      </c>
      <c r="AE115" s="206" t="str">
        <f>IFERROR(VLOOKUP(Primary_Order[[#This Row],[AM]],SP!$E$19:$F$23,2,0),Primary_Order[[#This Row],[AM]])</f>
        <v>Central</v>
      </c>
      <c r="AF115" s="206" t="str">
        <f>VLOOKUP(Primary_Order[[#This Row],[Product ID]],SKU[],10,0)</f>
        <v>Mineral</v>
      </c>
      <c r="AG115" s="206" t="str">
        <f>VLOOKUP(Primary_Order[[#This Row],[Product ID]],SKU[],9,0)</f>
        <v>MCO</v>
      </c>
      <c r="AH115" s="206" t="str">
        <f>VLOOKUP(Primary_Order[[#This Row],[Product ID]],SKU[],12,0)</f>
        <v>20W40</v>
      </c>
      <c r="AI115" s="206" t="str">
        <f>VLOOKUP(Primary_Order[[#This Row],[Product ID]],SKU[],13,0)</f>
        <v>3000</v>
      </c>
      <c r="AJ115" s="233">
        <f>VLOOKUP(Primary_Order[[#This Row],[Product ID]],SKU[[SKU ID]:[Bottle Size(Ltr)]],6,0)*Primary_Order[[#This Row],[Free Quantity]]</f>
        <v>0</v>
      </c>
      <c r="AK115" s="206" t="str">
        <f>VLOOKUP(Primary_Order[[#This Row],[Product ID]],SKU[[SKU ID]:[Bottle Size(Ltr)]],4,0)</f>
        <v>20x1L</v>
      </c>
      <c r="AL115" s="231">
        <f>VLOOKUP(Primary_Order[[#This Row],[Product ID]],SKU[],14,0)*Primary_Order[[#This Row],[Total Qty]]</f>
        <v>41276</v>
      </c>
      <c r="AM115" s="231">
        <f>IF(Primary_Order[[#This Row],[Cost]]=0,0,Primary_Order[[#This Row],[Net Total(-15%)]]-Primary_Order[[#This Row],[Cost]])</f>
        <v>4810.9565217391282</v>
      </c>
      <c r="AN115" s="206" t="str">
        <f>"O-"&amp;Primary_Order[[#This Row],[Date]]&amp;"-"&amp;Primary_Order[[#This Row],[MMD ID]]</f>
        <v>O-45677-D-0004</v>
      </c>
      <c r="AO115" s="206" t="str" cm="1">
        <f t="array" ref="AO11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6" spans="1:41" x14ac:dyDescent="0.5">
      <c r="A116" s="206" t="s">
        <v>1072</v>
      </c>
      <c r="B116" s="230">
        <v>45677</v>
      </c>
      <c r="C116" s="206" t="s">
        <v>122</v>
      </c>
      <c r="D116" s="206" t="s">
        <v>431</v>
      </c>
      <c r="E116" s="206" t="s">
        <v>880</v>
      </c>
      <c r="F116" s="206" t="s">
        <v>432</v>
      </c>
      <c r="G116" s="206" t="s">
        <v>39</v>
      </c>
      <c r="H116" s="206" t="s">
        <v>40</v>
      </c>
      <c r="I116" s="206" t="s">
        <v>431</v>
      </c>
      <c r="J116" s="206" t="s">
        <v>276</v>
      </c>
      <c r="K116" s="206" t="s">
        <v>32</v>
      </c>
      <c r="L116" s="206" t="str">
        <f>VLOOKUP(Primary_Order[[#This Row],[Product ID]],SKU[],3,0)</f>
        <v>3000 4T PLUS 10W30</v>
      </c>
      <c r="M116" s="231">
        <v>300</v>
      </c>
      <c r="N116" s="231">
        <v>640</v>
      </c>
      <c r="O116" s="231">
        <v>360</v>
      </c>
      <c r="P116" s="232"/>
      <c r="Q116" s="231">
        <v>0</v>
      </c>
      <c r="R116" s="231">
        <v>640</v>
      </c>
      <c r="S116" s="231">
        <v>300</v>
      </c>
      <c r="T116" s="231">
        <v>360</v>
      </c>
      <c r="U116" s="231">
        <v>192000</v>
      </c>
      <c r="V116" s="231">
        <v>0</v>
      </c>
      <c r="W116" s="231">
        <v>192000</v>
      </c>
      <c r="X116" s="231">
        <v>25043.478260869564</v>
      </c>
      <c r="Y116" s="231">
        <v>166956.52173913043</v>
      </c>
      <c r="Z116" s="206" t="s">
        <v>882</v>
      </c>
      <c r="AA116" s="206">
        <v>599</v>
      </c>
      <c r="AB116" s="206" t="s">
        <v>641</v>
      </c>
      <c r="AC116" s="230">
        <v>45677</v>
      </c>
      <c r="AD116" s="206" t="s">
        <v>50</v>
      </c>
      <c r="AE116" s="206" t="str">
        <f>IFERROR(VLOOKUP(Primary_Order[[#This Row],[AM]],SP!$E$19:$F$23,2,0),Primary_Order[[#This Row],[AM]])</f>
        <v>Central</v>
      </c>
      <c r="AF116" s="206" t="str">
        <f>VLOOKUP(Primary_Order[[#This Row],[Product ID]],SKU[],10,0)</f>
        <v>Mineral</v>
      </c>
      <c r="AG116" s="206" t="str">
        <f>VLOOKUP(Primary_Order[[#This Row],[Product ID]],SKU[],9,0)</f>
        <v>MCO</v>
      </c>
      <c r="AH116" s="206" t="str">
        <f>VLOOKUP(Primary_Order[[#This Row],[Product ID]],SKU[],12,0)</f>
        <v>10W30</v>
      </c>
      <c r="AI116" s="206" t="str">
        <f>VLOOKUP(Primary_Order[[#This Row],[Product ID]],SKU[],13,0)</f>
        <v>3000</v>
      </c>
      <c r="AJ116" s="233">
        <f>VLOOKUP(Primary_Order[[#This Row],[Product ID]],SKU[[SKU ID]:[Bottle Size(Ltr)]],6,0)*Primary_Order[[#This Row],[Free Quantity]]</f>
        <v>0</v>
      </c>
      <c r="AK116" s="206" t="str">
        <f>VLOOKUP(Primary_Order[[#This Row],[Product ID]],SKU[[SKU ID]:[Bottle Size(Ltr)]],4,0)</f>
        <v>20x1.2L</v>
      </c>
      <c r="AL116" s="231">
        <f>VLOOKUP(Primary_Order[[#This Row],[Product ID]],SKU[],14,0)*Primary_Order[[#This Row],[Total Qty]]</f>
        <v>131670</v>
      </c>
      <c r="AM116" s="231">
        <f>IF(Primary_Order[[#This Row],[Cost]]=0,0,Primary_Order[[#This Row],[Net Total(-15%)]]-Primary_Order[[#This Row],[Cost]])</f>
        <v>35286.521739130432</v>
      </c>
      <c r="AN116" s="206" t="str">
        <f>"O-"&amp;Primary_Order[[#This Row],[Date]]&amp;"-"&amp;Primary_Order[[#This Row],[MMD ID]]</f>
        <v>O-45677-D-0004</v>
      </c>
      <c r="AO116" s="206" t="str" cm="1">
        <f t="array" ref="AO11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7" spans="1:41" x14ac:dyDescent="0.5">
      <c r="A117" s="206" t="s">
        <v>1072</v>
      </c>
      <c r="B117" s="230">
        <v>45677</v>
      </c>
      <c r="C117" s="206" t="s">
        <v>122</v>
      </c>
      <c r="D117" s="206" t="s">
        <v>431</v>
      </c>
      <c r="E117" s="206" t="s">
        <v>880</v>
      </c>
      <c r="F117" s="206" t="s">
        <v>432</v>
      </c>
      <c r="G117" s="206" t="s">
        <v>39</v>
      </c>
      <c r="H117" s="206" t="s">
        <v>40</v>
      </c>
      <c r="I117" s="206" t="s">
        <v>431</v>
      </c>
      <c r="J117" s="206" t="s">
        <v>276</v>
      </c>
      <c r="K117" s="206" t="s">
        <v>73</v>
      </c>
      <c r="L117" s="206" t="str">
        <f>VLOOKUP(Primary_Order[[#This Row],[Product ID]],SKU[],3,0)</f>
        <v>31004T GOLD 10W40</v>
      </c>
      <c r="M117" s="231">
        <v>60</v>
      </c>
      <c r="N117" s="231">
        <v>590</v>
      </c>
      <c r="O117" s="231">
        <v>60</v>
      </c>
      <c r="P117" s="232"/>
      <c r="Q117" s="231">
        <v>0</v>
      </c>
      <c r="R117" s="231">
        <v>590</v>
      </c>
      <c r="S117" s="231">
        <v>60</v>
      </c>
      <c r="T117" s="231">
        <v>60</v>
      </c>
      <c r="U117" s="231">
        <v>35400</v>
      </c>
      <c r="V117" s="231">
        <v>0</v>
      </c>
      <c r="W117" s="231">
        <v>35400</v>
      </c>
      <c r="X117" s="231">
        <v>4617.391304347826</v>
      </c>
      <c r="Y117" s="231">
        <v>30782.608695652172</v>
      </c>
      <c r="Z117" s="206" t="s">
        <v>882</v>
      </c>
      <c r="AA117" s="206">
        <v>599</v>
      </c>
      <c r="AB117" s="206" t="s">
        <v>641</v>
      </c>
      <c r="AC117" s="230">
        <v>45677</v>
      </c>
      <c r="AD117" s="206" t="s">
        <v>50</v>
      </c>
      <c r="AE117" s="206" t="str">
        <f>IFERROR(VLOOKUP(Primary_Order[[#This Row],[AM]],SP!$E$19:$F$23,2,0),Primary_Order[[#This Row],[AM]])</f>
        <v>Central</v>
      </c>
      <c r="AF117" s="206" t="str">
        <f>VLOOKUP(Primary_Order[[#This Row],[Product ID]],SKU[],10,0)</f>
        <v>Technosynthese</v>
      </c>
      <c r="AG117" s="206" t="str">
        <f>VLOOKUP(Primary_Order[[#This Row],[Product ID]],SKU[],9,0)</f>
        <v>MCO</v>
      </c>
      <c r="AH117" s="206" t="str">
        <f>VLOOKUP(Primary_Order[[#This Row],[Product ID]],SKU[],12,0)</f>
        <v>10W40</v>
      </c>
      <c r="AI117" s="206" t="str">
        <f>VLOOKUP(Primary_Order[[#This Row],[Product ID]],SKU[],13,0)</f>
        <v>3100</v>
      </c>
      <c r="AJ117" s="233">
        <f>VLOOKUP(Primary_Order[[#This Row],[Product ID]],SKU[[SKU ID]:[Bottle Size(Ltr)]],6,0)*Primary_Order[[#This Row],[Free Quantity]]</f>
        <v>0</v>
      </c>
      <c r="AK117" s="206" t="str">
        <f>VLOOKUP(Primary_Order[[#This Row],[Product ID]],SKU[[SKU ID]:[Bottle Size(Ltr)]],4,0)</f>
        <v>20x1L</v>
      </c>
      <c r="AL117" s="231">
        <f>VLOOKUP(Primary_Order[[#This Row],[Product ID]],SKU[],14,0)*Primary_Order[[#This Row],[Total Qty]]</f>
        <v>25108.800000000003</v>
      </c>
      <c r="AM117" s="231">
        <f>IF(Primary_Order[[#This Row],[Cost]]=0,0,Primary_Order[[#This Row],[Net Total(-15%)]]-Primary_Order[[#This Row],[Cost]])</f>
        <v>5673.8086956521693</v>
      </c>
      <c r="AN117" s="206" t="str">
        <f>"O-"&amp;Primary_Order[[#This Row],[Date]]&amp;"-"&amp;Primary_Order[[#This Row],[MMD ID]]</f>
        <v>O-45677-D-0004</v>
      </c>
      <c r="AO117" s="206" t="str" cm="1">
        <f t="array" ref="AO11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8" spans="1:41" x14ac:dyDescent="0.5">
      <c r="A118" s="206" t="s">
        <v>1072</v>
      </c>
      <c r="B118" s="230">
        <v>45677</v>
      </c>
      <c r="C118" s="206" t="s">
        <v>122</v>
      </c>
      <c r="D118" s="206" t="s">
        <v>431</v>
      </c>
      <c r="E118" s="206" t="s">
        <v>880</v>
      </c>
      <c r="F118" s="206" t="s">
        <v>432</v>
      </c>
      <c r="G118" s="206" t="s">
        <v>39</v>
      </c>
      <c r="H118" s="206" t="s">
        <v>40</v>
      </c>
      <c r="I118" s="206" t="s">
        <v>431</v>
      </c>
      <c r="J118" s="206" t="s">
        <v>276</v>
      </c>
      <c r="K118" s="206" t="s">
        <v>36</v>
      </c>
      <c r="L118" s="206" t="str">
        <f>VLOOKUP(Primary_Order[[#This Row],[Product ID]],SKU[],3,0)</f>
        <v>51004T 10W40 ESTER</v>
      </c>
      <c r="M118" s="231">
        <v>60</v>
      </c>
      <c r="N118" s="231">
        <v>860</v>
      </c>
      <c r="O118" s="231">
        <v>60</v>
      </c>
      <c r="P118" s="232"/>
      <c r="Q118" s="231">
        <v>0</v>
      </c>
      <c r="R118" s="231">
        <v>860</v>
      </c>
      <c r="S118" s="231">
        <v>60</v>
      </c>
      <c r="T118" s="231">
        <v>60</v>
      </c>
      <c r="U118" s="231">
        <v>51600</v>
      </c>
      <c r="V118" s="231">
        <v>0</v>
      </c>
      <c r="W118" s="231">
        <v>51600</v>
      </c>
      <c r="X118" s="231">
        <v>6730.434782608696</v>
      </c>
      <c r="Y118" s="231">
        <v>44869.565217391304</v>
      </c>
      <c r="Z118" s="206" t="s">
        <v>882</v>
      </c>
      <c r="AA118" s="206">
        <v>599</v>
      </c>
      <c r="AB118" s="206" t="s">
        <v>641</v>
      </c>
      <c r="AC118" s="230">
        <v>45677</v>
      </c>
      <c r="AD118" s="206" t="s">
        <v>50</v>
      </c>
      <c r="AE118" s="206" t="str">
        <f>IFERROR(VLOOKUP(Primary_Order[[#This Row],[AM]],SP!$E$19:$F$23,2,0),Primary_Order[[#This Row],[AM]])</f>
        <v>Central</v>
      </c>
      <c r="AF118" s="206" t="str">
        <f>VLOOKUP(Primary_Order[[#This Row],[Product ID]],SKU[],10,0)</f>
        <v>Technosynthese</v>
      </c>
      <c r="AG118" s="206" t="str">
        <f>VLOOKUP(Primary_Order[[#This Row],[Product ID]],SKU[],9,0)</f>
        <v>MCO</v>
      </c>
      <c r="AH118" s="206" t="str">
        <f>VLOOKUP(Primary_Order[[#This Row],[Product ID]],SKU[],12,0)</f>
        <v>10W40</v>
      </c>
      <c r="AI118" s="206" t="str">
        <f>VLOOKUP(Primary_Order[[#This Row],[Product ID]],SKU[],13,0)</f>
        <v>5100</v>
      </c>
      <c r="AJ118" s="233">
        <f>VLOOKUP(Primary_Order[[#This Row],[Product ID]],SKU[[SKU ID]:[Bottle Size(Ltr)]],6,0)*Primary_Order[[#This Row],[Free Quantity]]</f>
        <v>0</v>
      </c>
      <c r="AK118" s="206" t="str">
        <f>VLOOKUP(Primary_Order[[#This Row],[Product ID]],SKU[[SKU ID]:[Bottle Size(Ltr)]],4,0)</f>
        <v>12x1L</v>
      </c>
      <c r="AL118" s="231">
        <f>VLOOKUP(Primary_Order[[#This Row],[Product ID]],SKU[],14,0)*Primary_Order[[#This Row],[Total Qty]]</f>
        <v>36499.800000000003</v>
      </c>
      <c r="AM118" s="231">
        <f>IF(Primary_Order[[#This Row],[Cost]]=0,0,Primary_Order[[#This Row],[Net Total(-15%)]]-Primary_Order[[#This Row],[Cost]])</f>
        <v>8369.7652173913011</v>
      </c>
      <c r="AN118" s="206" t="str">
        <f>"O-"&amp;Primary_Order[[#This Row],[Date]]&amp;"-"&amp;Primary_Order[[#This Row],[MMD ID]]</f>
        <v>O-45677-D-0004</v>
      </c>
      <c r="AO118" s="206" t="str" cm="1">
        <f t="array" ref="AO11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19" spans="1:41" x14ac:dyDescent="0.5">
      <c r="A119" s="206" t="s">
        <v>1072</v>
      </c>
      <c r="B119" s="230">
        <v>45677</v>
      </c>
      <c r="C119" s="206" t="s">
        <v>122</v>
      </c>
      <c r="D119" s="206" t="s">
        <v>431</v>
      </c>
      <c r="E119" s="206" t="s">
        <v>880</v>
      </c>
      <c r="F119" s="206" t="s">
        <v>432</v>
      </c>
      <c r="G119" s="206" t="s">
        <v>39</v>
      </c>
      <c r="H119" s="206" t="s">
        <v>40</v>
      </c>
      <c r="I119" s="206" t="s">
        <v>431</v>
      </c>
      <c r="J119" s="206" t="s">
        <v>276</v>
      </c>
      <c r="K119" s="206" t="s">
        <v>81</v>
      </c>
      <c r="L119" s="206" t="str">
        <f>VLOOKUP(Primary_Order[[#This Row],[Product ID]],SKU[],3,0)</f>
        <v>3000 4T 20W50</v>
      </c>
      <c r="M119" s="231">
        <v>240</v>
      </c>
      <c r="N119" s="231">
        <v>480</v>
      </c>
      <c r="O119" s="231">
        <v>240</v>
      </c>
      <c r="P119" s="232"/>
      <c r="Q119" s="231">
        <v>0</v>
      </c>
      <c r="R119" s="231">
        <v>480</v>
      </c>
      <c r="S119" s="231">
        <v>240</v>
      </c>
      <c r="T119" s="231">
        <v>240</v>
      </c>
      <c r="U119" s="231">
        <v>115200</v>
      </c>
      <c r="V119" s="231">
        <v>0</v>
      </c>
      <c r="W119" s="231">
        <v>115200</v>
      </c>
      <c r="X119" s="231">
        <v>15026.08695652174</v>
      </c>
      <c r="Y119" s="231">
        <v>100173.91304347826</v>
      </c>
      <c r="Z119" s="206" t="s">
        <v>882</v>
      </c>
      <c r="AA119" s="206">
        <v>599</v>
      </c>
      <c r="AB119" s="206" t="s">
        <v>641</v>
      </c>
      <c r="AC119" s="230">
        <v>45677</v>
      </c>
      <c r="AD119" s="206" t="s">
        <v>50</v>
      </c>
      <c r="AE119" s="206" t="str">
        <f>IFERROR(VLOOKUP(Primary_Order[[#This Row],[AM]],SP!$E$19:$F$23,2,0),Primary_Order[[#This Row],[AM]])</f>
        <v>Central</v>
      </c>
      <c r="AF119" s="206" t="str">
        <f>VLOOKUP(Primary_Order[[#This Row],[Product ID]],SKU[],10,0)</f>
        <v>Mineral</v>
      </c>
      <c r="AG119" s="206" t="str">
        <f>VLOOKUP(Primary_Order[[#This Row],[Product ID]],SKU[],9,0)</f>
        <v>MCO</v>
      </c>
      <c r="AH119" s="206" t="str">
        <f>VLOOKUP(Primary_Order[[#This Row],[Product ID]],SKU[],12,0)</f>
        <v>20W50</v>
      </c>
      <c r="AI119" s="206" t="str">
        <f>VLOOKUP(Primary_Order[[#This Row],[Product ID]],SKU[],13,0)</f>
        <v>3000</v>
      </c>
      <c r="AJ119" s="233">
        <f>VLOOKUP(Primary_Order[[#This Row],[Product ID]],SKU[[SKU ID]:[Bottle Size(Ltr)]],6,0)*Primary_Order[[#This Row],[Free Quantity]]</f>
        <v>0</v>
      </c>
      <c r="AK119" s="206" t="str">
        <f>VLOOKUP(Primary_Order[[#This Row],[Product ID]],SKU[[SKU ID]:[Bottle Size(Ltr)]],4,0)</f>
        <v>20x1L</v>
      </c>
      <c r="AL119" s="231">
        <f>VLOOKUP(Primary_Order[[#This Row],[Product ID]],SKU[],14,0)*Primary_Order[[#This Row],[Total Qty]]</f>
        <v>87580.800000000003</v>
      </c>
      <c r="AM119" s="231">
        <f>IF(Primary_Order[[#This Row],[Cost]]=0,0,Primary_Order[[#This Row],[Net Total(-15%)]]-Primary_Order[[#This Row],[Cost]])</f>
        <v>12593.113043478254</v>
      </c>
      <c r="AN119" s="206" t="str">
        <f>"O-"&amp;Primary_Order[[#This Row],[Date]]&amp;"-"&amp;Primary_Order[[#This Row],[MMD ID]]</f>
        <v>O-45677-D-0004</v>
      </c>
      <c r="AO119" s="206" t="str" cm="1">
        <f t="array" ref="AO11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0" spans="1:41" x14ac:dyDescent="0.5">
      <c r="A120" s="206" t="s">
        <v>1072</v>
      </c>
      <c r="B120" s="230">
        <v>45677</v>
      </c>
      <c r="C120" s="206" t="s">
        <v>122</v>
      </c>
      <c r="D120" s="206" t="s">
        <v>431</v>
      </c>
      <c r="E120" s="206" t="s">
        <v>880</v>
      </c>
      <c r="F120" s="206" t="s">
        <v>432</v>
      </c>
      <c r="G120" s="206" t="s">
        <v>39</v>
      </c>
      <c r="H120" s="206" t="s">
        <v>40</v>
      </c>
      <c r="I120" s="206" t="s">
        <v>431</v>
      </c>
      <c r="J120" s="206" t="s">
        <v>276</v>
      </c>
      <c r="K120" s="206" t="s">
        <v>99</v>
      </c>
      <c r="L120" s="206" t="str">
        <f>VLOOKUP(Primary_Order[[#This Row],[Product ID]],SKU[],3,0)</f>
        <v>3000 4T 20W50</v>
      </c>
      <c r="M120" s="231">
        <v>60</v>
      </c>
      <c r="N120" s="231">
        <v>570</v>
      </c>
      <c r="O120" s="231">
        <v>72</v>
      </c>
      <c r="P120" s="232"/>
      <c r="Q120" s="231">
        <v>0</v>
      </c>
      <c r="R120" s="231">
        <v>570</v>
      </c>
      <c r="S120" s="231">
        <v>60</v>
      </c>
      <c r="T120" s="231">
        <v>72</v>
      </c>
      <c r="U120" s="231">
        <v>34200</v>
      </c>
      <c r="V120" s="231">
        <v>0</v>
      </c>
      <c r="W120" s="231">
        <v>34200</v>
      </c>
      <c r="X120" s="231">
        <v>4460.869565217391</v>
      </c>
      <c r="Y120" s="231">
        <v>29739.130434782608</v>
      </c>
      <c r="Z120" s="206" t="s">
        <v>882</v>
      </c>
      <c r="AA120" s="206">
        <v>599</v>
      </c>
      <c r="AB120" s="206" t="s">
        <v>641</v>
      </c>
      <c r="AC120" s="230">
        <v>45677</v>
      </c>
      <c r="AD120" s="206" t="s">
        <v>50</v>
      </c>
      <c r="AE120" s="206" t="str">
        <f>IFERROR(VLOOKUP(Primary_Order[[#This Row],[AM]],SP!$E$19:$F$23,2,0),Primary_Order[[#This Row],[AM]])</f>
        <v>Central</v>
      </c>
      <c r="AF120" s="206" t="str">
        <f>VLOOKUP(Primary_Order[[#This Row],[Product ID]],SKU[],10,0)</f>
        <v>Mineral</v>
      </c>
      <c r="AG120" s="206" t="str">
        <f>VLOOKUP(Primary_Order[[#This Row],[Product ID]],SKU[],9,0)</f>
        <v>MCO</v>
      </c>
      <c r="AH120" s="206" t="str">
        <f>VLOOKUP(Primary_Order[[#This Row],[Product ID]],SKU[],12,0)</f>
        <v>20W50</v>
      </c>
      <c r="AI120" s="206" t="str">
        <f>VLOOKUP(Primary_Order[[#This Row],[Product ID]],SKU[],13,0)</f>
        <v>3000</v>
      </c>
      <c r="AJ120" s="233">
        <f>VLOOKUP(Primary_Order[[#This Row],[Product ID]],SKU[[SKU ID]:[Bottle Size(Ltr)]],6,0)*Primary_Order[[#This Row],[Free Quantity]]</f>
        <v>0</v>
      </c>
      <c r="AK120" s="206" t="str">
        <f>VLOOKUP(Primary_Order[[#This Row],[Product ID]],SKU[[SKU ID]:[Bottle Size(Ltr)]],4,0)</f>
        <v>20x1.2L</v>
      </c>
      <c r="AL120" s="231">
        <f>VLOOKUP(Primary_Order[[#This Row],[Product ID]],SKU[],14,0)*Primary_Order[[#This Row],[Total Qty]]</f>
        <v>26076.600000000002</v>
      </c>
      <c r="AM120" s="231">
        <f>IF(Primary_Order[[#This Row],[Cost]]=0,0,Primary_Order[[#This Row],[Net Total(-15%)]]-Primary_Order[[#This Row],[Cost]])</f>
        <v>3662.5304347826059</v>
      </c>
      <c r="AN120" s="206" t="str">
        <f>"O-"&amp;Primary_Order[[#This Row],[Date]]&amp;"-"&amp;Primary_Order[[#This Row],[MMD ID]]</f>
        <v>O-45677-D-0004</v>
      </c>
      <c r="AO120" s="206" t="str" cm="1">
        <f t="array" ref="AO12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1" spans="1:41" x14ac:dyDescent="0.5">
      <c r="A121" s="206" t="s">
        <v>1078</v>
      </c>
      <c r="B121" s="230">
        <v>45678</v>
      </c>
      <c r="C121" s="206" t="s">
        <v>110</v>
      </c>
      <c r="D121" s="206" t="s">
        <v>88</v>
      </c>
      <c r="E121" s="206" t="s">
        <v>52</v>
      </c>
      <c r="F121" s="206" t="s">
        <v>50</v>
      </c>
      <c r="G121" s="206" t="s">
        <v>87</v>
      </c>
      <c r="H121" s="206" t="s">
        <v>87</v>
      </c>
      <c r="I121" s="206" t="s">
        <v>88</v>
      </c>
      <c r="J121" s="206" t="s">
        <v>52</v>
      </c>
      <c r="K121" s="206" t="s">
        <v>57</v>
      </c>
      <c r="L121" s="206" t="str">
        <f>VLOOKUP(Primary_Order[[#This Row],[Product ID]],SKU[],3,0)</f>
        <v>7100 4T 10W40 ESTER CORE®</v>
      </c>
      <c r="M121" s="231">
        <v>100</v>
      </c>
      <c r="N121" s="231">
        <v>995</v>
      </c>
      <c r="O121" s="231">
        <v>100</v>
      </c>
      <c r="P121" s="232"/>
      <c r="Q121" s="231">
        <v>0</v>
      </c>
      <c r="R121" s="231">
        <v>995</v>
      </c>
      <c r="S121" s="231">
        <v>100</v>
      </c>
      <c r="T121" s="231">
        <v>100</v>
      </c>
      <c r="U121" s="231">
        <v>99500</v>
      </c>
      <c r="V121" s="231">
        <v>0</v>
      </c>
      <c r="W121" s="231">
        <v>99500</v>
      </c>
      <c r="X121" s="231">
        <v>12978.260869565218</v>
      </c>
      <c r="Y121" s="231">
        <v>86521.739130434784</v>
      </c>
      <c r="Z121" s="206" t="s">
        <v>882</v>
      </c>
      <c r="AA121" s="206">
        <v>600</v>
      </c>
      <c r="AB121" s="206" t="s">
        <v>641</v>
      </c>
      <c r="AC121" s="230">
        <v>45678</v>
      </c>
      <c r="AD121" s="206" t="s">
        <v>50</v>
      </c>
      <c r="AE121" s="206" t="str">
        <f>IFERROR(VLOOKUP(Primary_Order[[#This Row],[AM]],SP!$E$19:$F$23,2,0),Primary_Order[[#This Row],[AM]])</f>
        <v>Captive Sales</v>
      </c>
      <c r="AF121" s="206" t="str">
        <f>VLOOKUP(Primary_Order[[#This Row],[Product ID]],SKU[],10,0)</f>
        <v>Synthetic</v>
      </c>
      <c r="AG121" s="206" t="str">
        <f>VLOOKUP(Primary_Order[[#This Row],[Product ID]],SKU[],9,0)</f>
        <v>MCO</v>
      </c>
      <c r="AH121" s="206" t="str">
        <f>VLOOKUP(Primary_Order[[#This Row],[Product ID]],SKU[],12,0)</f>
        <v>10W40</v>
      </c>
      <c r="AI121" s="206" t="str">
        <f>VLOOKUP(Primary_Order[[#This Row],[Product ID]],SKU[],13,0)</f>
        <v>7100</v>
      </c>
      <c r="AJ121" s="233">
        <f>VLOOKUP(Primary_Order[[#This Row],[Product ID]],SKU[[SKU ID]:[Bottle Size(Ltr)]],6,0)*Primary_Order[[#This Row],[Free Quantity]]</f>
        <v>0</v>
      </c>
      <c r="AK121" s="206" t="str">
        <f>VLOOKUP(Primary_Order[[#This Row],[Product ID]],SKU[[SKU ID]:[Bottle Size(Ltr)]],4,0)</f>
        <v>12x1L</v>
      </c>
      <c r="AL121" s="231">
        <f>VLOOKUP(Primary_Order[[#This Row],[Product ID]],SKU[],14,0)*Primary_Order[[#This Row],[Total Qty]]</f>
        <v>69399</v>
      </c>
      <c r="AM121" s="231">
        <f>IF(Primary_Order[[#This Row],[Cost]]=0,0,Primary_Order[[#This Row],[Net Total(-15%)]]-Primary_Order[[#This Row],[Cost]])</f>
        <v>17122.739130434784</v>
      </c>
      <c r="AN121" s="206" t="str">
        <f>"O-"&amp;Primary_Order[[#This Row],[Date]]&amp;"-"&amp;Primary_Order[[#This Row],[MMD ID]]</f>
        <v>O-45678-D-0025</v>
      </c>
      <c r="AO121" s="206" t="str" cm="1">
        <f t="array" ref="AO12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2" spans="1:41" x14ac:dyDescent="0.5">
      <c r="A122" s="206" t="s">
        <v>1078</v>
      </c>
      <c r="B122" s="230">
        <v>45678</v>
      </c>
      <c r="C122" s="206" t="s">
        <v>110</v>
      </c>
      <c r="D122" s="206" t="s">
        <v>88</v>
      </c>
      <c r="E122" s="206" t="s">
        <v>52</v>
      </c>
      <c r="F122" s="206"/>
      <c r="G122" s="206" t="s">
        <v>87</v>
      </c>
      <c r="H122" s="206" t="s">
        <v>87</v>
      </c>
      <c r="I122" s="206" t="s">
        <v>88</v>
      </c>
      <c r="J122" s="206" t="s">
        <v>52</v>
      </c>
      <c r="K122" s="206" t="s">
        <v>152</v>
      </c>
      <c r="L122" s="206" t="str">
        <f>VLOOKUP(Primary_Order[[#This Row],[Product ID]],SKU[],3,0)</f>
        <v>Inugel Expert Coolant</v>
      </c>
      <c r="M122" s="231">
        <v>1000</v>
      </c>
      <c r="N122" s="231">
        <v>340</v>
      </c>
      <c r="O122" s="231">
        <v>1000</v>
      </c>
      <c r="P122" s="232"/>
      <c r="Q122" s="231">
        <v>0</v>
      </c>
      <c r="R122" s="231">
        <v>340</v>
      </c>
      <c r="S122" s="231">
        <v>1000</v>
      </c>
      <c r="T122" s="231">
        <v>1000</v>
      </c>
      <c r="U122" s="231">
        <v>340000</v>
      </c>
      <c r="V122" s="231">
        <v>0</v>
      </c>
      <c r="W122" s="231">
        <v>340000</v>
      </c>
      <c r="X122" s="231">
        <v>44347.82608695652</v>
      </c>
      <c r="Y122" s="231">
        <v>295652.17391304346</v>
      </c>
      <c r="Z122" s="206" t="s">
        <v>882</v>
      </c>
      <c r="AA122" s="206">
        <v>600</v>
      </c>
      <c r="AB122" s="206" t="s">
        <v>641</v>
      </c>
      <c r="AC122" s="230">
        <v>45678</v>
      </c>
      <c r="AD122" s="206" t="s">
        <v>50</v>
      </c>
      <c r="AE122" s="206" t="str">
        <f>IFERROR(VLOOKUP(Primary_Order[[#This Row],[AM]],SP!$E$19:$F$23,2,0),Primary_Order[[#This Row],[AM]])</f>
        <v>Captive Sales</v>
      </c>
      <c r="AF122" s="206" t="str">
        <f>VLOOKUP(Primary_Order[[#This Row],[Product ID]],SKU[],10,0)</f>
        <v>Care Products</v>
      </c>
      <c r="AG122" s="206" t="str">
        <f>VLOOKUP(Primary_Order[[#This Row],[Product ID]],SKU[],9,0)</f>
        <v>Care Products</v>
      </c>
      <c r="AH122" s="206" t="str">
        <f>VLOOKUP(Primary_Order[[#This Row],[Product ID]],SKU[],12,0)</f>
        <v>Care Products</v>
      </c>
      <c r="AI122" s="206" t="str">
        <f>VLOOKUP(Primary_Order[[#This Row],[Product ID]],SKU[],13,0)</f>
        <v>Coolant</v>
      </c>
      <c r="AJ122" s="233">
        <f>VLOOKUP(Primary_Order[[#This Row],[Product ID]],SKU[[SKU ID]:[Bottle Size(Ltr)]],6,0)*Primary_Order[[#This Row],[Free Quantity]]</f>
        <v>0</v>
      </c>
      <c r="AK122" s="206" t="str">
        <f>VLOOKUP(Primary_Order[[#This Row],[Product ID]],SKU[[SKU ID]:[Bottle Size(Ltr)]],4,0)</f>
        <v>20x1L</v>
      </c>
      <c r="AL122" s="231">
        <f>VLOOKUP(Primary_Order[[#This Row],[Product ID]],SKU[],14,0)*Primary_Order[[#This Row],[Total Qty]]</f>
        <v>230640</v>
      </c>
      <c r="AM122" s="231">
        <f>IF(Primary_Order[[#This Row],[Cost]]=0,0,Primary_Order[[#This Row],[Net Total(-15%)]]-Primary_Order[[#This Row],[Cost]])</f>
        <v>65012.173913043458</v>
      </c>
      <c r="AN122" s="206" t="str">
        <f>"O-"&amp;Primary_Order[[#This Row],[Date]]&amp;"-"&amp;Primary_Order[[#This Row],[MMD ID]]</f>
        <v>O-45678-D-0025</v>
      </c>
      <c r="AO122" s="206" t="str" cm="1">
        <f t="array" ref="AO12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3" spans="1:41" x14ac:dyDescent="0.5">
      <c r="A123" s="206" t="s">
        <v>1095</v>
      </c>
      <c r="B123" s="230">
        <v>45679</v>
      </c>
      <c r="C123" s="206" t="s">
        <v>90</v>
      </c>
      <c r="D123" s="206" t="s">
        <v>1079</v>
      </c>
      <c r="E123" s="206" t="s">
        <v>1080</v>
      </c>
      <c r="F123" s="206" t="s">
        <v>1081</v>
      </c>
      <c r="G123" s="206" t="s">
        <v>39</v>
      </c>
      <c r="H123" s="206" t="s">
        <v>40</v>
      </c>
      <c r="I123" s="206" t="s">
        <v>91</v>
      </c>
      <c r="J123" s="206" t="s">
        <v>93</v>
      </c>
      <c r="K123" s="206" t="s">
        <v>31</v>
      </c>
      <c r="L123" s="206" t="str">
        <f>VLOOKUP(Primary_Order[[#This Row],[Product ID]],SKU[],3,0)</f>
        <v>3000 4T PLUS 10W30</v>
      </c>
      <c r="M123" s="231">
        <v>100</v>
      </c>
      <c r="N123" s="231">
        <v>530</v>
      </c>
      <c r="O123" s="231">
        <v>100</v>
      </c>
      <c r="P123" s="232"/>
      <c r="Q123" s="231">
        <v>0</v>
      </c>
      <c r="R123" s="231">
        <v>530</v>
      </c>
      <c r="S123" s="231">
        <v>100</v>
      </c>
      <c r="T123" s="231">
        <v>100</v>
      </c>
      <c r="U123" s="231">
        <v>53000</v>
      </c>
      <c r="V123" s="231">
        <v>0</v>
      </c>
      <c r="W123" s="231">
        <v>53000</v>
      </c>
      <c r="X123" s="231">
        <v>6913.04347826087</v>
      </c>
      <c r="Y123" s="231">
        <v>46086.956521739128</v>
      </c>
      <c r="Z123" s="206" t="s">
        <v>882</v>
      </c>
      <c r="AA123" s="206">
        <v>605</v>
      </c>
      <c r="AB123" s="206" t="s">
        <v>641</v>
      </c>
      <c r="AC123" s="230">
        <v>45680</v>
      </c>
      <c r="AD123" s="206" t="s">
        <v>50</v>
      </c>
      <c r="AE123" s="206" t="str">
        <f>IFERROR(VLOOKUP(Primary_Order[[#This Row],[AM]],SP!$E$19:$F$23,2,0),Primary_Order[[#This Row],[AM]])</f>
        <v>Central</v>
      </c>
      <c r="AF123" s="206" t="str">
        <f>VLOOKUP(Primary_Order[[#This Row],[Product ID]],SKU[],10,0)</f>
        <v>Mineral</v>
      </c>
      <c r="AG123" s="206" t="str">
        <f>VLOOKUP(Primary_Order[[#This Row],[Product ID]],SKU[],9,0)</f>
        <v>MCO</v>
      </c>
      <c r="AH123" s="206" t="str">
        <f>VLOOKUP(Primary_Order[[#This Row],[Product ID]],SKU[],12,0)</f>
        <v>10W30</v>
      </c>
      <c r="AI123" s="206" t="str">
        <f>VLOOKUP(Primary_Order[[#This Row],[Product ID]],SKU[],13,0)</f>
        <v>3000</v>
      </c>
      <c r="AJ123" s="233">
        <f>VLOOKUP(Primary_Order[[#This Row],[Product ID]],SKU[[SKU ID]:[Bottle Size(Ltr)]],6,0)*Primary_Order[[#This Row],[Free Quantity]]</f>
        <v>0</v>
      </c>
      <c r="AK123" s="206" t="str">
        <f>VLOOKUP(Primary_Order[[#This Row],[Product ID]],SKU[[SKU ID]:[Bottle Size(Ltr)]],4,0)</f>
        <v>20x1L</v>
      </c>
      <c r="AL123" s="231">
        <f>VLOOKUP(Primary_Order[[#This Row],[Product ID]],SKU[],14,0)*Primary_Order[[#This Row],[Total Qty]]</f>
        <v>37933</v>
      </c>
      <c r="AM123" s="231">
        <f>IF(Primary_Order[[#This Row],[Cost]]=0,0,Primary_Order[[#This Row],[Net Total(-15%)]]-Primary_Order[[#This Row],[Cost]])</f>
        <v>8153.9565217391282</v>
      </c>
      <c r="AN123" s="206" t="str">
        <f>"O-"&amp;Primary_Order[[#This Row],[Date]]&amp;"-"&amp;Primary_Order[[#This Row],[MMD ID]]</f>
        <v>O-45679-D-0006</v>
      </c>
      <c r="AO123" s="206" t="str" cm="1">
        <f t="array" ref="AO12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4" spans="1:41" x14ac:dyDescent="0.5">
      <c r="A124" s="206" t="s">
        <v>1095</v>
      </c>
      <c r="B124" s="230">
        <v>45679</v>
      </c>
      <c r="C124" s="206" t="s">
        <v>90</v>
      </c>
      <c r="D124" s="206" t="s">
        <v>1079</v>
      </c>
      <c r="E124" s="206" t="s">
        <v>1080</v>
      </c>
      <c r="F124" s="206" t="s">
        <v>1081</v>
      </c>
      <c r="G124" s="206" t="s">
        <v>39</v>
      </c>
      <c r="H124" s="206" t="s">
        <v>40</v>
      </c>
      <c r="I124" s="206" t="s">
        <v>91</v>
      </c>
      <c r="J124" s="206" t="s">
        <v>93</v>
      </c>
      <c r="K124" s="206" t="s">
        <v>53</v>
      </c>
      <c r="L124" s="206" t="str">
        <f>VLOOKUP(Primary_Order[[#This Row],[Product ID]],SKU[],3,0)</f>
        <v>3000 4T PLUS 20W40</v>
      </c>
      <c r="M124" s="231">
        <v>120</v>
      </c>
      <c r="N124" s="231">
        <v>530</v>
      </c>
      <c r="O124" s="231">
        <v>120</v>
      </c>
      <c r="P124" s="232"/>
      <c r="Q124" s="231">
        <v>0</v>
      </c>
      <c r="R124" s="231">
        <v>530</v>
      </c>
      <c r="S124" s="231">
        <v>120</v>
      </c>
      <c r="T124" s="231">
        <v>120</v>
      </c>
      <c r="U124" s="231">
        <v>63600</v>
      </c>
      <c r="V124" s="231">
        <v>0</v>
      </c>
      <c r="W124" s="231">
        <v>63600</v>
      </c>
      <c r="X124" s="231">
        <v>8295.652173913044</v>
      </c>
      <c r="Y124" s="231">
        <v>55304.34782608696</v>
      </c>
      <c r="Z124" s="206" t="s">
        <v>882</v>
      </c>
      <c r="AA124" s="206">
        <v>605</v>
      </c>
      <c r="AB124" s="206" t="s">
        <v>641</v>
      </c>
      <c r="AC124" s="230">
        <v>45680</v>
      </c>
      <c r="AD124" s="206" t="s">
        <v>50</v>
      </c>
      <c r="AE124" s="206" t="str">
        <f>IFERROR(VLOOKUP(Primary_Order[[#This Row],[AM]],SP!$E$19:$F$23,2,0),Primary_Order[[#This Row],[AM]])</f>
        <v>Central</v>
      </c>
      <c r="AF124" s="206" t="str">
        <f>VLOOKUP(Primary_Order[[#This Row],[Product ID]],SKU[],10,0)</f>
        <v>Mineral</v>
      </c>
      <c r="AG124" s="206" t="str">
        <f>VLOOKUP(Primary_Order[[#This Row],[Product ID]],SKU[],9,0)</f>
        <v>MCO</v>
      </c>
      <c r="AH124" s="206" t="str">
        <f>VLOOKUP(Primary_Order[[#This Row],[Product ID]],SKU[],12,0)</f>
        <v>20W40</v>
      </c>
      <c r="AI124" s="206" t="str">
        <f>VLOOKUP(Primary_Order[[#This Row],[Product ID]],SKU[],13,0)</f>
        <v>3000</v>
      </c>
      <c r="AJ124" s="233">
        <f>VLOOKUP(Primary_Order[[#This Row],[Product ID]],SKU[[SKU ID]:[Bottle Size(Ltr)]],6,0)*Primary_Order[[#This Row],[Free Quantity]]</f>
        <v>0</v>
      </c>
      <c r="AK124" s="206" t="str">
        <f>VLOOKUP(Primary_Order[[#This Row],[Product ID]],SKU[[SKU ID]:[Bottle Size(Ltr)]],4,0)</f>
        <v>20x1L</v>
      </c>
      <c r="AL124" s="231">
        <f>VLOOKUP(Primary_Order[[#This Row],[Product ID]],SKU[],14,0)*Primary_Order[[#This Row],[Total Qty]]</f>
        <v>49531.199999999997</v>
      </c>
      <c r="AM124" s="231">
        <f>IF(Primary_Order[[#This Row],[Cost]]=0,0,Primary_Order[[#This Row],[Net Total(-15%)]]-Primary_Order[[#This Row],[Cost]])</f>
        <v>5773.1478260869626</v>
      </c>
      <c r="AN124" s="206" t="str">
        <f>"O-"&amp;Primary_Order[[#This Row],[Date]]&amp;"-"&amp;Primary_Order[[#This Row],[MMD ID]]</f>
        <v>O-45679-D-0006</v>
      </c>
      <c r="AO124" s="206" t="str" cm="1">
        <f t="array" ref="AO12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5" spans="1:41" x14ac:dyDescent="0.5">
      <c r="A125" s="206" t="s">
        <v>1095</v>
      </c>
      <c r="B125" s="230">
        <v>45679</v>
      </c>
      <c r="C125" s="206" t="s">
        <v>90</v>
      </c>
      <c r="D125" s="206" t="s">
        <v>1079</v>
      </c>
      <c r="E125" s="206" t="s">
        <v>1080</v>
      </c>
      <c r="F125" s="206" t="s">
        <v>1081</v>
      </c>
      <c r="G125" s="206" t="s">
        <v>39</v>
      </c>
      <c r="H125" s="206" t="s">
        <v>40</v>
      </c>
      <c r="I125" s="206" t="s">
        <v>91</v>
      </c>
      <c r="J125" s="206" t="s">
        <v>93</v>
      </c>
      <c r="K125" s="206" t="s">
        <v>54</v>
      </c>
      <c r="L125" s="206" t="str">
        <f>VLOOKUP(Primary_Order[[#This Row],[Product ID]],SKU[],3,0)</f>
        <v>3000 4T PLUS 10W40</v>
      </c>
      <c r="M125" s="231">
        <v>120</v>
      </c>
      <c r="N125" s="231">
        <v>535</v>
      </c>
      <c r="O125" s="231">
        <v>120</v>
      </c>
      <c r="P125" s="232"/>
      <c r="Q125" s="231">
        <v>0</v>
      </c>
      <c r="R125" s="231">
        <v>535</v>
      </c>
      <c r="S125" s="231">
        <v>120</v>
      </c>
      <c r="T125" s="231">
        <v>120</v>
      </c>
      <c r="U125" s="231">
        <v>64200</v>
      </c>
      <c r="V125" s="231">
        <v>0</v>
      </c>
      <c r="W125" s="231">
        <v>64200</v>
      </c>
      <c r="X125" s="231">
        <v>8373.9130434782601</v>
      </c>
      <c r="Y125" s="231">
        <v>55826.086956521736</v>
      </c>
      <c r="Z125" s="206" t="s">
        <v>882</v>
      </c>
      <c r="AA125" s="206">
        <v>605</v>
      </c>
      <c r="AB125" s="206" t="s">
        <v>641</v>
      </c>
      <c r="AC125" s="230">
        <v>45680</v>
      </c>
      <c r="AD125" s="206" t="s">
        <v>50</v>
      </c>
      <c r="AE125" s="206" t="str">
        <f>IFERROR(VLOOKUP(Primary_Order[[#This Row],[AM]],SP!$E$19:$F$23,2,0),Primary_Order[[#This Row],[AM]])</f>
        <v>Central</v>
      </c>
      <c r="AF125" s="206" t="str">
        <f>VLOOKUP(Primary_Order[[#This Row],[Product ID]],SKU[],10,0)</f>
        <v>Mineral</v>
      </c>
      <c r="AG125" s="206" t="str">
        <f>VLOOKUP(Primary_Order[[#This Row],[Product ID]],SKU[],9,0)</f>
        <v>MCO</v>
      </c>
      <c r="AH125" s="206" t="str">
        <f>VLOOKUP(Primary_Order[[#This Row],[Product ID]],SKU[],12,0)</f>
        <v>10W40</v>
      </c>
      <c r="AI125" s="206" t="str">
        <f>VLOOKUP(Primary_Order[[#This Row],[Product ID]],SKU[],13,0)</f>
        <v>3000</v>
      </c>
      <c r="AJ125" s="233">
        <f>VLOOKUP(Primary_Order[[#This Row],[Product ID]],SKU[[SKU ID]:[Bottle Size(Ltr)]],6,0)*Primary_Order[[#This Row],[Free Quantity]]</f>
        <v>0</v>
      </c>
      <c r="AK125" s="206" t="str">
        <f>VLOOKUP(Primary_Order[[#This Row],[Product ID]],SKU[[SKU ID]:[Bottle Size(Ltr)]],4,0)</f>
        <v>20x1L</v>
      </c>
      <c r="AL125" s="231">
        <f>VLOOKUP(Primary_Order[[#This Row],[Product ID]],SKU[],14,0)*Primary_Order[[#This Row],[Total Qty]]</f>
        <v>46182</v>
      </c>
      <c r="AM125" s="231">
        <f>IF(Primary_Order[[#This Row],[Cost]]=0,0,Primary_Order[[#This Row],[Net Total(-15%)]]-Primary_Order[[#This Row],[Cost]])</f>
        <v>9644.0869565217363</v>
      </c>
      <c r="AN125" s="206" t="str">
        <f>"O-"&amp;Primary_Order[[#This Row],[Date]]&amp;"-"&amp;Primary_Order[[#This Row],[MMD ID]]</f>
        <v>O-45679-D-0006</v>
      </c>
      <c r="AO125" s="206" t="str" cm="1">
        <f t="array" ref="AO12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6" spans="1:41" x14ac:dyDescent="0.5">
      <c r="A126" s="206" t="s">
        <v>1095</v>
      </c>
      <c r="B126" s="230">
        <v>45679</v>
      </c>
      <c r="C126" s="206" t="s">
        <v>90</v>
      </c>
      <c r="D126" s="206" t="s">
        <v>1079</v>
      </c>
      <c r="E126" s="206" t="s">
        <v>1080</v>
      </c>
      <c r="F126" s="206" t="s">
        <v>1081</v>
      </c>
      <c r="G126" s="206" t="s">
        <v>39</v>
      </c>
      <c r="H126" s="206" t="s">
        <v>40</v>
      </c>
      <c r="I126" s="206" t="s">
        <v>91</v>
      </c>
      <c r="J126" s="206" t="s">
        <v>93</v>
      </c>
      <c r="K126" s="206" t="s">
        <v>32</v>
      </c>
      <c r="L126" s="206" t="str">
        <f>VLOOKUP(Primary_Order[[#This Row],[Product ID]],SKU[],3,0)</f>
        <v>3000 4T PLUS 10W30</v>
      </c>
      <c r="M126" s="231">
        <v>60</v>
      </c>
      <c r="N126" s="231">
        <v>640</v>
      </c>
      <c r="O126" s="231">
        <v>72</v>
      </c>
      <c r="P126" s="232"/>
      <c r="Q126" s="231">
        <v>0</v>
      </c>
      <c r="R126" s="231">
        <v>640</v>
      </c>
      <c r="S126" s="231">
        <v>60</v>
      </c>
      <c r="T126" s="231">
        <v>72</v>
      </c>
      <c r="U126" s="231">
        <v>38400</v>
      </c>
      <c r="V126" s="231">
        <v>0</v>
      </c>
      <c r="W126" s="231">
        <v>38400</v>
      </c>
      <c r="X126" s="231">
        <v>5008.695652173913</v>
      </c>
      <c r="Y126" s="231">
        <v>33391.304347826088</v>
      </c>
      <c r="Z126" s="206" t="s">
        <v>882</v>
      </c>
      <c r="AA126" s="206">
        <v>605</v>
      </c>
      <c r="AB126" s="206" t="s">
        <v>641</v>
      </c>
      <c r="AC126" s="230">
        <v>45680</v>
      </c>
      <c r="AD126" s="206" t="s">
        <v>50</v>
      </c>
      <c r="AE126" s="206" t="str">
        <f>IFERROR(VLOOKUP(Primary_Order[[#This Row],[AM]],SP!$E$19:$F$23,2,0),Primary_Order[[#This Row],[AM]])</f>
        <v>Central</v>
      </c>
      <c r="AF126" s="206" t="str">
        <f>VLOOKUP(Primary_Order[[#This Row],[Product ID]],SKU[],10,0)</f>
        <v>Mineral</v>
      </c>
      <c r="AG126" s="206" t="str">
        <f>VLOOKUP(Primary_Order[[#This Row],[Product ID]],SKU[],9,0)</f>
        <v>MCO</v>
      </c>
      <c r="AH126" s="206" t="str">
        <f>VLOOKUP(Primary_Order[[#This Row],[Product ID]],SKU[],12,0)</f>
        <v>10W30</v>
      </c>
      <c r="AI126" s="206" t="str">
        <f>VLOOKUP(Primary_Order[[#This Row],[Product ID]],SKU[],13,0)</f>
        <v>3000</v>
      </c>
      <c r="AJ126" s="233">
        <f>VLOOKUP(Primary_Order[[#This Row],[Product ID]],SKU[[SKU ID]:[Bottle Size(Ltr)]],6,0)*Primary_Order[[#This Row],[Free Quantity]]</f>
        <v>0</v>
      </c>
      <c r="AK126" s="206" t="str">
        <f>VLOOKUP(Primary_Order[[#This Row],[Product ID]],SKU[[SKU ID]:[Bottle Size(Ltr)]],4,0)</f>
        <v>20x1.2L</v>
      </c>
      <c r="AL126" s="231">
        <f>VLOOKUP(Primary_Order[[#This Row],[Product ID]],SKU[],14,0)*Primary_Order[[#This Row],[Total Qty]]</f>
        <v>26334</v>
      </c>
      <c r="AM126" s="231">
        <f>IF(Primary_Order[[#This Row],[Cost]]=0,0,Primary_Order[[#This Row],[Net Total(-15%)]]-Primary_Order[[#This Row],[Cost]])</f>
        <v>7057.3043478260879</v>
      </c>
      <c r="AN126" s="206" t="str">
        <f>"O-"&amp;Primary_Order[[#This Row],[Date]]&amp;"-"&amp;Primary_Order[[#This Row],[MMD ID]]</f>
        <v>O-45679-D-0006</v>
      </c>
      <c r="AO126" s="206" t="str" cm="1">
        <f t="array" ref="AO12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7" spans="1:41" x14ac:dyDescent="0.5">
      <c r="A127" s="206" t="s">
        <v>1095</v>
      </c>
      <c r="B127" s="230">
        <v>45679</v>
      </c>
      <c r="C127" s="206" t="s">
        <v>90</v>
      </c>
      <c r="D127" s="206" t="s">
        <v>1079</v>
      </c>
      <c r="E127" s="206" t="s">
        <v>1080</v>
      </c>
      <c r="F127" s="206" t="s">
        <v>1081</v>
      </c>
      <c r="G127" s="206" t="s">
        <v>39</v>
      </c>
      <c r="H127" s="206" t="s">
        <v>40</v>
      </c>
      <c r="I127" s="206" t="s">
        <v>91</v>
      </c>
      <c r="J127" s="206" t="s">
        <v>93</v>
      </c>
      <c r="K127" s="206" t="s">
        <v>33</v>
      </c>
      <c r="L127" s="206" t="str">
        <f>VLOOKUP(Primary_Order[[#This Row],[Product ID]],SKU[],3,0)</f>
        <v>3000 4T PLUS 20W40</v>
      </c>
      <c r="M127" s="231">
        <v>60</v>
      </c>
      <c r="N127" s="231">
        <v>640</v>
      </c>
      <c r="O127" s="231">
        <v>72</v>
      </c>
      <c r="P127" s="232"/>
      <c r="Q127" s="231">
        <v>0</v>
      </c>
      <c r="R127" s="231">
        <v>640</v>
      </c>
      <c r="S127" s="231">
        <v>60</v>
      </c>
      <c r="T127" s="231">
        <v>72</v>
      </c>
      <c r="U127" s="231">
        <v>38400</v>
      </c>
      <c r="V127" s="231">
        <v>0</v>
      </c>
      <c r="W127" s="231">
        <v>38400</v>
      </c>
      <c r="X127" s="231">
        <v>5008.695652173913</v>
      </c>
      <c r="Y127" s="231">
        <v>33391.304347826088</v>
      </c>
      <c r="Z127" s="206" t="s">
        <v>882</v>
      </c>
      <c r="AA127" s="206">
        <v>605</v>
      </c>
      <c r="AB127" s="206" t="s">
        <v>641</v>
      </c>
      <c r="AC127" s="230">
        <v>45680</v>
      </c>
      <c r="AD127" s="206" t="s">
        <v>50</v>
      </c>
      <c r="AE127" s="206" t="str">
        <f>IFERROR(VLOOKUP(Primary_Order[[#This Row],[AM]],SP!$E$19:$F$23,2,0),Primary_Order[[#This Row],[AM]])</f>
        <v>Central</v>
      </c>
      <c r="AF127" s="206" t="str">
        <f>VLOOKUP(Primary_Order[[#This Row],[Product ID]],SKU[],10,0)</f>
        <v>Mineral</v>
      </c>
      <c r="AG127" s="206" t="str">
        <f>VLOOKUP(Primary_Order[[#This Row],[Product ID]],SKU[],9,0)</f>
        <v>MCO</v>
      </c>
      <c r="AH127" s="206" t="str">
        <f>VLOOKUP(Primary_Order[[#This Row],[Product ID]],SKU[],12,0)</f>
        <v>20W40</v>
      </c>
      <c r="AI127" s="206" t="str">
        <f>VLOOKUP(Primary_Order[[#This Row],[Product ID]],SKU[],13,0)</f>
        <v>3000</v>
      </c>
      <c r="AJ127" s="233">
        <f>VLOOKUP(Primary_Order[[#This Row],[Product ID]],SKU[[SKU ID]:[Bottle Size(Ltr)]],6,0)*Primary_Order[[#This Row],[Free Quantity]]</f>
        <v>0</v>
      </c>
      <c r="AK127" s="206" t="str">
        <f>VLOOKUP(Primary_Order[[#This Row],[Product ID]],SKU[[SKU ID]:[Bottle Size(Ltr)]],4,0)</f>
        <v>20x1.2L</v>
      </c>
      <c r="AL127" s="231">
        <f>VLOOKUP(Primary_Order[[#This Row],[Product ID]],SKU[],14,0)*Primary_Order[[#This Row],[Total Qty]]</f>
        <v>28193.867721036582</v>
      </c>
      <c r="AM127" s="231">
        <f>IF(Primary_Order[[#This Row],[Cost]]=0,0,Primary_Order[[#This Row],[Net Total(-15%)]]-Primary_Order[[#This Row],[Cost]])</f>
        <v>5197.4366267895057</v>
      </c>
      <c r="AN127" s="206" t="str">
        <f>"O-"&amp;Primary_Order[[#This Row],[Date]]&amp;"-"&amp;Primary_Order[[#This Row],[MMD ID]]</f>
        <v>O-45679-D-0006</v>
      </c>
      <c r="AO127" s="206" t="str" cm="1">
        <f t="array" ref="AO12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8" spans="1:41" x14ac:dyDescent="0.5">
      <c r="A128" s="206" t="s">
        <v>1095</v>
      </c>
      <c r="B128" s="230">
        <v>45679</v>
      </c>
      <c r="C128" s="206" t="s">
        <v>90</v>
      </c>
      <c r="D128" s="206" t="s">
        <v>1079</v>
      </c>
      <c r="E128" s="206" t="s">
        <v>1080</v>
      </c>
      <c r="F128" s="206" t="s">
        <v>1081</v>
      </c>
      <c r="G128" s="206" t="s">
        <v>39</v>
      </c>
      <c r="H128" s="206" t="s">
        <v>40</v>
      </c>
      <c r="I128" s="206" t="s">
        <v>91</v>
      </c>
      <c r="J128" s="206" t="s">
        <v>93</v>
      </c>
      <c r="K128" s="206" t="s">
        <v>75</v>
      </c>
      <c r="L128" s="206" t="str">
        <f>VLOOKUP(Primary_Order[[#This Row],[Product ID]],SKU[],3,0)</f>
        <v>31004T GOLD 20W50</v>
      </c>
      <c r="M128" s="231">
        <v>100</v>
      </c>
      <c r="N128" s="231">
        <v>600</v>
      </c>
      <c r="O128" s="231">
        <v>100</v>
      </c>
      <c r="P128" s="232"/>
      <c r="Q128" s="231">
        <v>0</v>
      </c>
      <c r="R128" s="231">
        <v>600</v>
      </c>
      <c r="S128" s="231">
        <v>100</v>
      </c>
      <c r="T128" s="231">
        <v>100</v>
      </c>
      <c r="U128" s="231">
        <v>60000</v>
      </c>
      <c r="V128" s="231">
        <v>0</v>
      </c>
      <c r="W128" s="231">
        <v>60000</v>
      </c>
      <c r="X128" s="231">
        <v>7826.086956521739</v>
      </c>
      <c r="Y128" s="231">
        <v>52173.913043478264</v>
      </c>
      <c r="Z128" s="206" t="s">
        <v>882</v>
      </c>
      <c r="AA128" s="206">
        <v>605</v>
      </c>
      <c r="AB128" s="206" t="s">
        <v>641</v>
      </c>
      <c r="AC128" s="230">
        <v>45680</v>
      </c>
      <c r="AD128" s="206" t="s">
        <v>50</v>
      </c>
      <c r="AE128" s="206" t="str">
        <f>IFERROR(VLOOKUP(Primary_Order[[#This Row],[AM]],SP!$E$19:$F$23,2,0),Primary_Order[[#This Row],[AM]])</f>
        <v>Central</v>
      </c>
      <c r="AF128" s="206" t="str">
        <f>VLOOKUP(Primary_Order[[#This Row],[Product ID]],SKU[],10,0)</f>
        <v>Technosynthese</v>
      </c>
      <c r="AG128" s="206" t="str">
        <f>VLOOKUP(Primary_Order[[#This Row],[Product ID]],SKU[],9,0)</f>
        <v>MCO</v>
      </c>
      <c r="AH128" s="206" t="str">
        <f>VLOOKUP(Primary_Order[[#This Row],[Product ID]],SKU[],12,0)</f>
        <v>20W50</v>
      </c>
      <c r="AI128" s="206" t="str">
        <f>VLOOKUP(Primary_Order[[#This Row],[Product ID]],SKU[],13,0)</f>
        <v>3100</v>
      </c>
      <c r="AJ128" s="233">
        <f>VLOOKUP(Primary_Order[[#This Row],[Product ID]],SKU[[SKU ID]:[Bottle Size(Ltr)]],6,0)*Primary_Order[[#This Row],[Free Quantity]]</f>
        <v>0</v>
      </c>
      <c r="AK128" s="206" t="str">
        <f>VLOOKUP(Primary_Order[[#This Row],[Product ID]],SKU[[SKU ID]:[Bottle Size(Ltr)]],4,0)</f>
        <v>20x1L</v>
      </c>
      <c r="AL128" s="231">
        <f>VLOOKUP(Primary_Order[[#This Row],[Product ID]],SKU[],14,0)*Primary_Order[[#This Row],[Total Qty]]</f>
        <v>46939</v>
      </c>
      <c r="AM128" s="231">
        <f>IF(Primary_Order[[#This Row],[Cost]]=0,0,Primary_Order[[#This Row],[Net Total(-15%)]]-Primary_Order[[#This Row],[Cost]])</f>
        <v>5234.9130434782637</v>
      </c>
      <c r="AN128" s="206" t="str">
        <f>"O-"&amp;Primary_Order[[#This Row],[Date]]&amp;"-"&amp;Primary_Order[[#This Row],[MMD ID]]</f>
        <v>O-45679-D-0006</v>
      </c>
      <c r="AO128" s="206" t="str" cm="1">
        <f t="array" ref="AO12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29" spans="1:41" x14ac:dyDescent="0.5">
      <c r="A129" s="206" t="s">
        <v>1095</v>
      </c>
      <c r="B129" s="230">
        <v>45679</v>
      </c>
      <c r="C129" s="206" t="s">
        <v>90</v>
      </c>
      <c r="D129" s="206" t="s">
        <v>1079</v>
      </c>
      <c r="E129" s="206" t="s">
        <v>1080</v>
      </c>
      <c r="F129" s="206" t="s">
        <v>1081</v>
      </c>
      <c r="G129" s="206" t="s">
        <v>39</v>
      </c>
      <c r="H129" s="206" t="s">
        <v>40</v>
      </c>
      <c r="I129" s="206" t="s">
        <v>91</v>
      </c>
      <c r="J129" s="206" t="s">
        <v>93</v>
      </c>
      <c r="K129" s="206" t="s">
        <v>77</v>
      </c>
      <c r="L129" s="206" t="str">
        <f>VLOOKUP(Primary_Order[[#This Row],[Product ID]],SKU[],3,0)</f>
        <v>31004T GOLD 10W30</v>
      </c>
      <c r="M129" s="231">
        <v>60</v>
      </c>
      <c r="N129" s="231">
        <v>590</v>
      </c>
      <c r="O129" s="231">
        <v>60</v>
      </c>
      <c r="P129" s="232"/>
      <c r="Q129" s="231">
        <v>0</v>
      </c>
      <c r="R129" s="231">
        <v>590</v>
      </c>
      <c r="S129" s="231">
        <v>60</v>
      </c>
      <c r="T129" s="231">
        <v>60</v>
      </c>
      <c r="U129" s="231">
        <v>35400</v>
      </c>
      <c r="V129" s="231">
        <v>0</v>
      </c>
      <c r="W129" s="231">
        <v>35400</v>
      </c>
      <c r="X129" s="231">
        <v>4617.391304347826</v>
      </c>
      <c r="Y129" s="231">
        <v>30782.608695652172</v>
      </c>
      <c r="Z129" s="206" t="s">
        <v>882</v>
      </c>
      <c r="AA129" s="206">
        <v>605</v>
      </c>
      <c r="AB129" s="206" t="s">
        <v>641</v>
      </c>
      <c r="AC129" s="230">
        <v>45680</v>
      </c>
      <c r="AD129" s="206" t="s">
        <v>50</v>
      </c>
      <c r="AE129" s="206" t="str">
        <f>IFERROR(VLOOKUP(Primary_Order[[#This Row],[AM]],SP!$E$19:$F$23,2,0),Primary_Order[[#This Row],[AM]])</f>
        <v>Central</v>
      </c>
      <c r="AF129" s="206" t="str">
        <f>VLOOKUP(Primary_Order[[#This Row],[Product ID]],SKU[],10,0)</f>
        <v>Technosynthese</v>
      </c>
      <c r="AG129" s="206" t="str">
        <f>VLOOKUP(Primary_Order[[#This Row],[Product ID]],SKU[],9,0)</f>
        <v>MCO</v>
      </c>
      <c r="AH129" s="206" t="str">
        <f>VLOOKUP(Primary_Order[[#This Row],[Product ID]],SKU[],12,0)</f>
        <v>10W30</v>
      </c>
      <c r="AI129" s="206" t="str">
        <f>VLOOKUP(Primary_Order[[#This Row],[Product ID]],SKU[],13,0)</f>
        <v>3100</v>
      </c>
      <c r="AJ129" s="233">
        <f>VLOOKUP(Primary_Order[[#This Row],[Product ID]],SKU[[SKU ID]:[Bottle Size(Ltr)]],6,0)*Primary_Order[[#This Row],[Free Quantity]]</f>
        <v>0</v>
      </c>
      <c r="AK129" s="206" t="str">
        <f>VLOOKUP(Primary_Order[[#This Row],[Product ID]],SKU[[SKU ID]:[Bottle Size(Ltr)]],4,0)</f>
        <v>20x1L</v>
      </c>
      <c r="AL129" s="231">
        <f>VLOOKUP(Primary_Order[[#This Row],[Product ID]],SKU[],14,0)*Primary_Order[[#This Row],[Total Qty]]</f>
        <v>25506</v>
      </c>
      <c r="AM129" s="231">
        <f>IF(Primary_Order[[#This Row],[Cost]]=0,0,Primary_Order[[#This Row],[Net Total(-15%)]]-Primary_Order[[#This Row],[Cost]])</f>
        <v>5276.6086956521722</v>
      </c>
      <c r="AN129" s="206" t="str">
        <f>"O-"&amp;Primary_Order[[#This Row],[Date]]&amp;"-"&amp;Primary_Order[[#This Row],[MMD ID]]</f>
        <v>O-45679-D-0006</v>
      </c>
      <c r="AO129" s="206" t="str" cm="1">
        <f t="array" ref="AO12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0" spans="1:41" x14ac:dyDescent="0.5">
      <c r="A130" s="206" t="s">
        <v>1095</v>
      </c>
      <c r="B130" s="230">
        <v>45679</v>
      </c>
      <c r="C130" s="206" t="s">
        <v>90</v>
      </c>
      <c r="D130" s="206" t="s">
        <v>1079</v>
      </c>
      <c r="E130" s="206" t="s">
        <v>1080</v>
      </c>
      <c r="F130" s="206" t="s">
        <v>1081</v>
      </c>
      <c r="G130" s="206" t="s">
        <v>39</v>
      </c>
      <c r="H130" s="206" t="s">
        <v>40</v>
      </c>
      <c r="I130" s="206" t="s">
        <v>91</v>
      </c>
      <c r="J130" s="206" t="s">
        <v>93</v>
      </c>
      <c r="K130" s="206" t="s">
        <v>35</v>
      </c>
      <c r="L130" s="206" t="str">
        <f>VLOOKUP(Primary_Order[[#This Row],[Product ID]],SKU[],3,0)</f>
        <v>51004T 10W30 ESTER</v>
      </c>
      <c r="M130" s="231">
        <v>36</v>
      </c>
      <c r="N130" s="231">
        <v>860</v>
      </c>
      <c r="O130" s="231">
        <v>36</v>
      </c>
      <c r="P130" s="232"/>
      <c r="Q130" s="231">
        <v>0</v>
      </c>
      <c r="R130" s="231">
        <v>860</v>
      </c>
      <c r="S130" s="231">
        <v>36</v>
      </c>
      <c r="T130" s="231">
        <v>36</v>
      </c>
      <c r="U130" s="231">
        <v>30960</v>
      </c>
      <c r="V130" s="231">
        <v>0</v>
      </c>
      <c r="W130" s="231">
        <v>30960</v>
      </c>
      <c r="X130" s="231">
        <v>4038.2608695652175</v>
      </c>
      <c r="Y130" s="231">
        <v>26921.739130434784</v>
      </c>
      <c r="Z130" s="206" t="s">
        <v>882</v>
      </c>
      <c r="AA130" s="206">
        <v>605</v>
      </c>
      <c r="AB130" s="206" t="s">
        <v>641</v>
      </c>
      <c r="AC130" s="230">
        <v>45680</v>
      </c>
      <c r="AD130" s="206" t="s">
        <v>50</v>
      </c>
      <c r="AE130" s="206" t="str">
        <f>IFERROR(VLOOKUP(Primary_Order[[#This Row],[AM]],SP!$E$19:$F$23,2,0),Primary_Order[[#This Row],[AM]])</f>
        <v>Central</v>
      </c>
      <c r="AF130" s="206" t="str">
        <f>VLOOKUP(Primary_Order[[#This Row],[Product ID]],SKU[],10,0)</f>
        <v>Technosynthese</v>
      </c>
      <c r="AG130" s="206" t="str">
        <f>VLOOKUP(Primary_Order[[#This Row],[Product ID]],SKU[],9,0)</f>
        <v>MCO</v>
      </c>
      <c r="AH130" s="206" t="str">
        <f>VLOOKUP(Primary_Order[[#This Row],[Product ID]],SKU[],12,0)</f>
        <v>10W30</v>
      </c>
      <c r="AI130" s="206" t="str">
        <f>VLOOKUP(Primary_Order[[#This Row],[Product ID]],SKU[],13,0)</f>
        <v>5100</v>
      </c>
      <c r="AJ130" s="233">
        <f>VLOOKUP(Primary_Order[[#This Row],[Product ID]],SKU[[SKU ID]:[Bottle Size(Ltr)]],6,0)*Primary_Order[[#This Row],[Free Quantity]]</f>
        <v>0</v>
      </c>
      <c r="AK130" s="206" t="str">
        <f>VLOOKUP(Primary_Order[[#This Row],[Product ID]],SKU[[SKU ID]:[Bottle Size(Ltr)]],4,0)</f>
        <v>12x1L</v>
      </c>
      <c r="AL130" s="231">
        <f>VLOOKUP(Primary_Order[[#This Row],[Product ID]],SKU[],14,0)*Primary_Order[[#This Row],[Total Qty]]</f>
        <v>21695.040000000001</v>
      </c>
      <c r="AM130" s="231">
        <f>IF(Primary_Order[[#This Row],[Cost]]=0,0,Primary_Order[[#This Row],[Net Total(-15%)]]-Primary_Order[[#This Row],[Cost]])</f>
        <v>5226.699130434783</v>
      </c>
      <c r="AN130" s="206" t="str">
        <f>"O-"&amp;Primary_Order[[#This Row],[Date]]&amp;"-"&amp;Primary_Order[[#This Row],[MMD ID]]</f>
        <v>O-45679-D-0006</v>
      </c>
      <c r="AO130" s="206" t="str" cm="1">
        <f t="array" ref="AO13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1" spans="1:41" x14ac:dyDescent="0.5">
      <c r="A131" s="206" t="s">
        <v>1095</v>
      </c>
      <c r="B131" s="230">
        <v>45679</v>
      </c>
      <c r="C131" s="206" t="s">
        <v>90</v>
      </c>
      <c r="D131" s="206" t="s">
        <v>1079</v>
      </c>
      <c r="E131" s="206" t="s">
        <v>1080</v>
      </c>
      <c r="F131" s="206" t="s">
        <v>1081</v>
      </c>
      <c r="G131" s="206" t="s">
        <v>39</v>
      </c>
      <c r="H131" s="206" t="s">
        <v>40</v>
      </c>
      <c r="I131" s="206" t="s">
        <v>91</v>
      </c>
      <c r="J131" s="206" t="s">
        <v>93</v>
      </c>
      <c r="K131" s="206" t="s">
        <v>56</v>
      </c>
      <c r="L131" s="206" t="str">
        <f>VLOOKUP(Primary_Order[[#This Row],[Product ID]],SKU[],3,0)</f>
        <v>7100 4T 10W30 ESTER CORE®</v>
      </c>
      <c r="M131" s="231">
        <v>36</v>
      </c>
      <c r="N131" s="231">
        <v>1060</v>
      </c>
      <c r="O131" s="231">
        <v>36</v>
      </c>
      <c r="P131" s="232"/>
      <c r="Q131" s="231">
        <v>0</v>
      </c>
      <c r="R131" s="231">
        <v>1060</v>
      </c>
      <c r="S131" s="231">
        <v>36</v>
      </c>
      <c r="T131" s="231">
        <v>36</v>
      </c>
      <c r="U131" s="231">
        <v>38160</v>
      </c>
      <c r="V131" s="231">
        <v>0</v>
      </c>
      <c r="W131" s="231">
        <v>38160</v>
      </c>
      <c r="X131" s="231">
        <v>4977.391304347826</v>
      </c>
      <c r="Y131" s="231">
        <v>33182.608695652176</v>
      </c>
      <c r="Z131" s="206" t="s">
        <v>882</v>
      </c>
      <c r="AA131" s="206">
        <v>605</v>
      </c>
      <c r="AB131" s="206" t="s">
        <v>641</v>
      </c>
      <c r="AC131" s="230">
        <v>45680</v>
      </c>
      <c r="AD131" s="206" t="s">
        <v>50</v>
      </c>
      <c r="AE131" s="206" t="str">
        <f>IFERROR(VLOOKUP(Primary_Order[[#This Row],[AM]],SP!$E$19:$F$23,2,0),Primary_Order[[#This Row],[AM]])</f>
        <v>Central</v>
      </c>
      <c r="AF131" s="206" t="str">
        <f>VLOOKUP(Primary_Order[[#This Row],[Product ID]],SKU[],10,0)</f>
        <v>Synthetic</v>
      </c>
      <c r="AG131" s="206" t="str">
        <f>VLOOKUP(Primary_Order[[#This Row],[Product ID]],SKU[],9,0)</f>
        <v>MCO</v>
      </c>
      <c r="AH131" s="206" t="str">
        <f>VLOOKUP(Primary_Order[[#This Row],[Product ID]],SKU[],12,0)</f>
        <v>10W30</v>
      </c>
      <c r="AI131" s="206" t="str">
        <f>VLOOKUP(Primary_Order[[#This Row],[Product ID]],SKU[],13,0)</f>
        <v>7100</v>
      </c>
      <c r="AJ131" s="233">
        <f>VLOOKUP(Primary_Order[[#This Row],[Product ID]],SKU[[SKU ID]:[Bottle Size(Ltr)]],6,0)*Primary_Order[[#This Row],[Free Quantity]]</f>
        <v>0</v>
      </c>
      <c r="AK131" s="206" t="str">
        <f>VLOOKUP(Primary_Order[[#This Row],[Product ID]],SKU[[SKU ID]:[Bottle Size(Ltr)]],4,0)</f>
        <v>12x1L</v>
      </c>
      <c r="AL131" s="231">
        <f>VLOOKUP(Primary_Order[[#This Row],[Product ID]],SKU[],14,0)*Primary_Order[[#This Row],[Total Qty]]</f>
        <v>24834.959999999999</v>
      </c>
      <c r="AM131" s="231">
        <f>IF(Primary_Order[[#This Row],[Cost]]=0,0,Primary_Order[[#This Row],[Net Total(-15%)]]-Primary_Order[[#This Row],[Cost]])</f>
        <v>8347.6486956521767</v>
      </c>
      <c r="AN131" s="206" t="str">
        <f>"O-"&amp;Primary_Order[[#This Row],[Date]]&amp;"-"&amp;Primary_Order[[#This Row],[MMD ID]]</f>
        <v>O-45679-D-0006</v>
      </c>
      <c r="AO131" s="206" t="str" cm="1">
        <f t="array" ref="AO13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2" spans="1:41" x14ac:dyDescent="0.5">
      <c r="A132" s="206" t="s">
        <v>1095</v>
      </c>
      <c r="B132" s="230">
        <v>45679</v>
      </c>
      <c r="C132" s="206" t="s">
        <v>90</v>
      </c>
      <c r="D132" s="206" t="s">
        <v>1079</v>
      </c>
      <c r="E132" s="206" t="s">
        <v>1080</v>
      </c>
      <c r="F132" s="206" t="s">
        <v>1081</v>
      </c>
      <c r="G132" s="206" t="s">
        <v>39</v>
      </c>
      <c r="H132" s="206" t="s">
        <v>40</v>
      </c>
      <c r="I132" s="206" t="s">
        <v>91</v>
      </c>
      <c r="J132" s="206" t="s">
        <v>93</v>
      </c>
      <c r="K132" s="206" t="s">
        <v>58</v>
      </c>
      <c r="L132" s="206" t="str">
        <f>VLOOKUP(Primary_Order[[#This Row],[Product ID]],SKU[],3,0)</f>
        <v>7100 4T 20W50 ESTER CORE®</v>
      </c>
      <c r="M132" s="231">
        <v>36</v>
      </c>
      <c r="N132" s="231">
        <v>1070</v>
      </c>
      <c r="O132" s="231">
        <v>36</v>
      </c>
      <c r="P132" s="232"/>
      <c r="Q132" s="231">
        <v>0</v>
      </c>
      <c r="R132" s="231">
        <v>1070</v>
      </c>
      <c r="S132" s="231">
        <v>36</v>
      </c>
      <c r="T132" s="231">
        <v>36</v>
      </c>
      <c r="U132" s="231">
        <v>38520</v>
      </c>
      <c r="V132" s="231">
        <v>0</v>
      </c>
      <c r="W132" s="231">
        <v>38520</v>
      </c>
      <c r="X132" s="231">
        <v>5024.347826086957</v>
      </c>
      <c r="Y132" s="231">
        <v>33495.65217391304</v>
      </c>
      <c r="Z132" s="206" t="s">
        <v>882</v>
      </c>
      <c r="AA132" s="206">
        <v>605</v>
      </c>
      <c r="AB132" s="206" t="s">
        <v>641</v>
      </c>
      <c r="AC132" s="230">
        <v>45680</v>
      </c>
      <c r="AD132" s="206" t="s">
        <v>50</v>
      </c>
      <c r="AE132" s="206" t="str">
        <f>IFERROR(VLOOKUP(Primary_Order[[#This Row],[AM]],SP!$E$19:$F$23,2,0),Primary_Order[[#This Row],[AM]])</f>
        <v>Central</v>
      </c>
      <c r="AF132" s="206" t="str">
        <f>VLOOKUP(Primary_Order[[#This Row],[Product ID]],SKU[],10,0)</f>
        <v>Synthetic</v>
      </c>
      <c r="AG132" s="206" t="str">
        <f>VLOOKUP(Primary_Order[[#This Row],[Product ID]],SKU[],9,0)</f>
        <v>MCO</v>
      </c>
      <c r="AH132" s="206" t="str">
        <f>VLOOKUP(Primary_Order[[#This Row],[Product ID]],SKU[],12,0)</f>
        <v>20W50</v>
      </c>
      <c r="AI132" s="206" t="str">
        <f>VLOOKUP(Primary_Order[[#This Row],[Product ID]],SKU[],13,0)</f>
        <v>7100</v>
      </c>
      <c r="AJ132" s="233">
        <f>VLOOKUP(Primary_Order[[#This Row],[Product ID]],SKU[[SKU ID]:[Bottle Size(Ltr)]],6,0)*Primary_Order[[#This Row],[Free Quantity]]</f>
        <v>0</v>
      </c>
      <c r="AK132" s="206" t="str">
        <f>VLOOKUP(Primary_Order[[#This Row],[Product ID]],SKU[[SKU ID]:[Bottle Size(Ltr)]],4,0)</f>
        <v>12x1L</v>
      </c>
      <c r="AL132" s="231">
        <f>VLOOKUP(Primary_Order[[#This Row],[Product ID]],SKU[],14,0)*Primary_Order[[#This Row],[Total Qty]]</f>
        <v>27493.142400000001</v>
      </c>
      <c r="AM132" s="231">
        <f>IF(Primary_Order[[#This Row],[Cost]]=0,0,Primary_Order[[#This Row],[Net Total(-15%)]]-Primary_Order[[#This Row],[Cost]])</f>
        <v>6002.5097739130397</v>
      </c>
      <c r="AN132" s="206" t="str">
        <f>"O-"&amp;Primary_Order[[#This Row],[Date]]&amp;"-"&amp;Primary_Order[[#This Row],[MMD ID]]</f>
        <v>O-45679-D-0006</v>
      </c>
      <c r="AO132" s="206" t="str" cm="1">
        <f t="array" ref="AO13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3" spans="1:41" x14ac:dyDescent="0.5">
      <c r="A133" s="206" t="s">
        <v>1095</v>
      </c>
      <c r="B133" s="230">
        <v>45679</v>
      </c>
      <c r="C133" s="206" t="s">
        <v>90</v>
      </c>
      <c r="D133" s="206" t="s">
        <v>1079</v>
      </c>
      <c r="E133" s="206" t="s">
        <v>1080</v>
      </c>
      <c r="F133" s="206" t="s">
        <v>1081</v>
      </c>
      <c r="G133" s="206" t="s">
        <v>39</v>
      </c>
      <c r="H133" s="206" t="s">
        <v>40</v>
      </c>
      <c r="I133" s="206" t="s">
        <v>91</v>
      </c>
      <c r="J133" s="206" t="s">
        <v>93</v>
      </c>
      <c r="K133" s="206" t="s">
        <v>81</v>
      </c>
      <c r="L133" s="206" t="str">
        <f>VLOOKUP(Primary_Order[[#This Row],[Product ID]],SKU[],3,0)</f>
        <v>3000 4T 20W50</v>
      </c>
      <c r="M133" s="231">
        <v>100</v>
      </c>
      <c r="N133" s="231">
        <v>495</v>
      </c>
      <c r="O133" s="231">
        <v>100</v>
      </c>
      <c r="P133" s="232"/>
      <c r="Q133" s="231">
        <v>0</v>
      </c>
      <c r="R133" s="231">
        <v>495</v>
      </c>
      <c r="S133" s="231">
        <v>100</v>
      </c>
      <c r="T133" s="231">
        <v>100</v>
      </c>
      <c r="U133" s="231">
        <v>49500</v>
      </c>
      <c r="V133" s="231">
        <v>0</v>
      </c>
      <c r="W133" s="231">
        <v>49500</v>
      </c>
      <c r="X133" s="231">
        <v>6456.521739130435</v>
      </c>
      <c r="Y133" s="231">
        <v>43043.478260869568</v>
      </c>
      <c r="Z133" s="206" t="s">
        <v>882</v>
      </c>
      <c r="AA133" s="206">
        <v>605</v>
      </c>
      <c r="AB133" s="206" t="s">
        <v>641</v>
      </c>
      <c r="AC133" s="230">
        <v>45680</v>
      </c>
      <c r="AD133" s="206" t="s">
        <v>50</v>
      </c>
      <c r="AE133" s="206" t="str">
        <f>IFERROR(VLOOKUP(Primary_Order[[#This Row],[AM]],SP!$E$19:$F$23,2,0),Primary_Order[[#This Row],[AM]])</f>
        <v>Central</v>
      </c>
      <c r="AF133" s="206" t="str">
        <f>VLOOKUP(Primary_Order[[#This Row],[Product ID]],SKU[],10,0)</f>
        <v>Mineral</v>
      </c>
      <c r="AG133" s="206" t="str">
        <f>VLOOKUP(Primary_Order[[#This Row],[Product ID]],SKU[],9,0)</f>
        <v>MCO</v>
      </c>
      <c r="AH133" s="206" t="str">
        <f>VLOOKUP(Primary_Order[[#This Row],[Product ID]],SKU[],12,0)</f>
        <v>20W50</v>
      </c>
      <c r="AI133" s="206" t="str">
        <f>VLOOKUP(Primary_Order[[#This Row],[Product ID]],SKU[],13,0)</f>
        <v>3000</v>
      </c>
      <c r="AJ133" s="233">
        <f>VLOOKUP(Primary_Order[[#This Row],[Product ID]],SKU[[SKU ID]:[Bottle Size(Ltr)]],6,0)*Primary_Order[[#This Row],[Free Quantity]]</f>
        <v>0</v>
      </c>
      <c r="AK133" s="206" t="str">
        <f>VLOOKUP(Primary_Order[[#This Row],[Product ID]],SKU[[SKU ID]:[Bottle Size(Ltr)]],4,0)</f>
        <v>20x1L</v>
      </c>
      <c r="AL133" s="231">
        <f>VLOOKUP(Primary_Order[[#This Row],[Product ID]],SKU[],14,0)*Primary_Order[[#This Row],[Total Qty]]</f>
        <v>36492</v>
      </c>
      <c r="AM133" s="231">
        <f>IF(Primary_Order[[#This Row],[Cost]]=0,0,Primary_Order[[#This Row],[Net Total(-15%)]]-Primary_Order[[#This Row],[Cost]])</f>
        <v>6551.4782608695677</v>
      </c>
      <c r="AN133" s="206" t="str">
        <f>"O-"&amp;Primary_Order[[#This Row],[Date]]&amp;"-"&amp;Primary_Order[[#This Row],[MMD ID]]</f>
        <v>O-45679-D-0006</v>
      </c>
      <c r="AO133" s="206" t="str" cm="1">
        <f t="array" ref="AO13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4" spans="1:41" x14ac:dyDescent="0.5">
      <c r="A134" s="206" t="s">
        <v>1095</v>
      </c>
      <c r="B134" s="230">
        <v>45679</v>
      </c>
      <c r="C134" s="206" t="s">
        <v>90</v>
      </c>
      <c r="D134" s="206" t="s">
        <v>1079</v>
      </c>
      <c r="E134" s="206" t="s">
        <v>1080</v>
      </c>
      <c r="F134" s="206" t="s">
        <v>1081</v>
      </c>
      <c r="G134" s="206" t="s">
        <v>39</v>
      </c>
      <c r="H134" s="206" t="s">
        <v>40</v>
      </c>
      <c r="I134" s="206" t="s">
        <v>91</v>
      </c>
      <c r="J134" s="206" t="s">
        <v>93</v>
      </c>
      <c r="K134" s="206" t="s">
        <v>99</v>
      </c>
      <c r="L134" s="206" t="str">
        <f>VLOOKUP(Primary_Order[[#This Row],[Product ID]],SKU[],3,0)</f>
        <v>3000 4T 20W50</v>
      </c>
      <c r="M134" s="231">
        <v>100</v>
      </c>
      <c r="N134" s="231">
        <v>595</v>
      </c>
      <c r="O134" s="231">
        <v>120</v>
      </c>
      <c r="P134" s="232"/>
      <c r="Q134" s="231">
        <v>0</v>
      </c>
      <c r="R134" s="231">
        <v>595</v>
      </c>
      <c r="S134" s="231">
        <v>100</v>
      </c>
      <c r="T134" s="231">
        <v>120</v>
      </c>
      <c r="U134" s="231">
        <v>59500</v>
      </c>
      <c r="V134" s="231">
        <v>0</v>
      </c>
      <c r="W134" s="231">
        <v>59500</v>
      </c>
      <c r="X134" s="231">
        <v>7760.869565217391</v>
      </c>
      <c r="Y134" s="231">
        <v>51739.130434782608</v>
      </c>
      <c r="Z134" s="206" t="s">
        <v>882</v>
      </c>
      <c r="AA134" s="206">
        <v>605</v>
      </c>
      <c r="AB134" s="206" t="s">
        <v>641</v>
      </c>
      <c r="AC134" s="230">
        <v>45680</v>
      </c>
      <c r="AD134" s="206" t="s">
        <v>50</v>
      </c>
      <c r="AE134" s="206" t="str">
        <f>IFERROR(VLOOKUP(Primary_Order[[#This Row],[AM]],SP!$E$19:$F$23,2,0),Primary_Order[[#This Row],[AM]])</f>
        <v>Central</v>
      </c>
      <c r="AF134" s="206" t="str">
        <f>VLOOKUP(Primary_Order[[#This Row],[Product ID]],SKU[],10,0)</f>
        <v>Mineral</v>
      </c>
      <c r="AG134" s="206" t="str">
        <f>VLOOKUP(Primary_Order[[#This Row],[Product ID]],SKU[],9,0)</f>
        <v>MCO</v>
      </c>
      <c r="AH134" s="206" t="str">
        <f>VLOOKUP(Primary_Order[[#This Row],[Product ID]],SKU[],12,0)</f>
        <v>20W50</v>
      </c>
      <c r="AI134" s="206" t="str">
        <f>VLOOKUP(Primary_Order[[#This Row],[Product ID]],SKU[],13,0)</f>
        <v>3000</v>
      </c>
      <c r="AJ134" s="233">
        <f>VLOOKUP(Primary_Order[[#This Row],[Product ID]],SKU[[SKU ID]:[Bottle Size(Ltr)]],6,0)*Primary_Order[[#This Row],[Free Quantity]]</f>
        <v>0</v>
      </c>
      <c r="AK134" s="206" t="str">
        <f>VLOOKUP(Primary_Order[[#This Row],[Product ID]],SKU[[SKU ID]:[Bottle Size(Ltr)]],4,0)</f>
        <v>20x1.2L</v>
      </c>
      <c r="AL134" s="231">
        <f>VLOOKUP(Primary_Order[[#This Row],[Product ID]],SKU[],14,0)*Primary_Order[[#This Row],[Total Qty]]</f>
        <v>43461</v>
      </c>
      <c r="AM134" s="231">
        <f>IF(Primary_Order[[#This Row],[Cost]]=0,0,Primary_Order[[#This Row],[Net Total(-15%)]]-Primary_Order[[#This Row],[Cost]])</f>
        <v>8278.1304347826081</v>
      </c>
      <c r="AN134" s="206" t="str">
        <f>"O-"&amp;Primary_Order[[#This Row],[Date]]&amp;"-"&amp;Primary_Order[[#This Row],[MMD ID]]</f>
        <v>O-45679-D-0006</v>
      </c>
      <c r="AO134" s="206" t="str" cm="1">
        <f t="array" ref="AO13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5" spans="1:41" x14ac:dyDescent="0.5">
      <c r="A135" s="206" t="s">
        <v>1083</v>
      </c>
      <c r="B135" s="230">
        <v>45679</v>
      </c>
      <c r="C135" s="206" t="s">
        <v>110</v>
      </c>
      <c r="D135" s="206" t="s">
        <v>88</v>
      </c>
      <c r="E135" s="206" t="s">
        <v>52</v>
      </c>
      <c r="F135" s="206" t="s">
        <v>50</v>
      </c>
      <c r="G135" s="206" t="s">
        <v>87</v>
      </c>
      <c r="H135" s="206" t="s">
        <v>87</v>
      </c>
      <c r="I135" s="206" t="s">
        <v>88</v>
      </c>
      <c r="J135" s="206" t="s">
        <v>52</v>
      </c>
      <c r="K135" s="206" t="s">
        <v>73</v>
      </c>
      <c r="L135" s="206" t="str">
        <f>VLOOKUP(Primary_Order[[#This Row],[Product ID]],SKU[],3,0)</f>
        <v>31004T GOLD 10W40</v>
      </c>
      <c r="M135" s="231">
        <v>460</v>
      </c>
      <c r="N135" s="231">
        <v>565</v>
      </c>
      <c r="O135" s="231">
        <v>460</v>
      </c>
      <c r="P135" s="232"/>
      <c r="Q135" s="231">
        <v>0</v>
      </c>
      <c r="R135" s="231">
        <v>565</v>
      </c>
      <c r="S135" s="231">
        <v>460</v>
      </c>
      <c r="T135" s="231">
        <v>460</v>
      </c>
      <c r="U135" s="231">
        <v>259900</v>
      </c>
      <c r="V135" s="231">
        <v>0</v>
      </c>
      <c r="W135" s="231">
        <v>259900</v>
      </c>
      <c r="X135" s="231">
        <v>33900</v>
      </c>
      <c r="Y135" s="231">
        <v>226000</v>
      </c>
      <c r="Z135" s="206" t="s">
        <v>1084</v>
      </c>
      <c r="AA135" s="206">
        <v>601</v>
      </c>
      <c r="AB135" s="206" t="s">
        <v>641</v>
      </c>
      <c r="AC135" s="230">
        <v>45679</v>
      </c>
      <c r="AD135" s="206" t="s">
        <v>50</v>
      </c>
      <c r="AE135" s="206" t="str">
        <f>IFERROR(VLOOKUP(Primary_Order[[#This Row],[AM]],SP!$E$19:$F$23,2,0),Primary_Order[[#This Row],[AM]])</f>
        <v>Captive Sales</v>
      </c>
      <c r="AF135" s="206" t="str">
        <f>VLOOKUP(Primary_Order[[#This Row],[Product ID]],SKU[],10,0)</f>
        <v>Technosynthese</v>
      </c>
      <c r="AG135" s="206" t="str">
        <f>VLOOKUP(Primary_Order[[#This Row],[Product ID]],SKU[],9,0)</f>
        <v>MCO</v>
      </c>
      <c r="AH135" s="206" t="str">
        <f>VLOOKUP(Primary_Order[[#This Row],[Product ID]],SKU[],12,0)</f>
        <v>10W40</v>
      </c>
      <c r="AI135" s="206" t="str">
        <f>VLOOKUP(Primary_Order[[#This Row],[Product ID]],SKU[],13,0)</f>
        <v>3100</v>
      </c>
      <c r="AJ135" s="233">
        <f>VLOOKUP(Primary_Order[[#This Row],[Product ID]],SKU[[SKU ID]:[Bottle Size(Ltr)]],6,0)*Primary_Order[[#This Row],[Free Quantity]]</f>
        <v>0</v>
      </c>
      <c r="AK135" s="206" t="str">
        <f>VLOOKUP(Primary_Order[[#This Row],[Product ID]],SKU[[SKU ID]:[Bottle Size(Ltr)]],4,0)</f>
        <v>20x1L</v>
      </c>
      <c r="AL135" s="231">
        <f>VLOOKUP(Primary_Order[[#This Row],[Product ID]],SKU[],14,0)*Primary_Order[[#This Row],[Total Qty]]</f>
        <v>192500.80000000002</v>
      </c>
      <c r="AM135" s="231">
        <f>IF(Primary_Order[[#This Row],[Cost]]=0,0,Primary_Order[[#This Row],[Net Total(-15%)]]-Primary_Order[[#This Row],[Cost]])</f>
        <v>33499.199999999983</v>
      </c>
      <c r="AN135" s="206" t="str">
        <f>"O-"&amp;Primary_Order[[#This Row],[Date]]&amp;"-"&amp;Primary_Order[[#This Row],[MMD ID]]</f>
        <v>O-45679-D-0025</v>
      </c>
      <c r="AO135" s="206" t="str" cm="1">
        <f t="array" ref="AO13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6" spans="1:41" x14ac:dyDescent="0.5">
      <c r="A136" s="206" t="s">
        <v>1083</v>
      </c>
      <c r="B136" s="230">
        <v>45679</v>
      </c>
      <c r="C136" s="206" t="s">
        <v>110</v>
      </c>
      <c r="D136" s="206" t="s">
        <v>88</v>
      </c>
      <c r="E136" s="206" t="s">
        <v>52</v>
      </c>
      <c r="F136" s="206" t="s">
        <v>50</v>
      </c>
      <c r="G136" s="206" t="s">
        <v>87</v>
      </c>
      <c r="H136" s="206" t="s">
        <v>87</v>
      </c>
      <c r="I136" s="206" t="s">
        <v>88</v>
      </c>
      <c r="J136" s="206" t="s">
        <v>52</v>
      </c>
      <c r="K136" s="206" t="s">
        <v>57</v>
      </c>
      <c r="L136" s="206" t="str">
        <f>VLOOKUP(Primary_Order[[#This Row],[Product ID]],SKU[],3,0)</f>
        <v>7100 4T 10W40 ESTER CORE®</v>
      </c>
      <c r="M136" s="231">
        <v>4994</v>
      </c>
      <c r="N136" s="231">
        <v>1040</v>
      </c>
      <c r="O136" s="231">
        <v>4994</v>
      </c>
      <c r="P136" s="232"/>
      <c r="Q136" s="231">
        <v>0</v>
      </c>
      <c r="R136" s="231">
        <v>1040</v>
      </c>
      <c r="S136" s="231">
        <v>4994</v>
      </c>
      <c r="T136" s="231">
        <v>4994</v>
      </c>
      <c r="U136" s="231">
        <v>5193760</v>
      </c>
      <c r="V136" s="231">
        <v>0</v>
      </c>
      <c r="W136" s="231">
        <v>5193760</v>
      </c>
      <c r="X136" s="231">
        <v>677446.95652173914</v>
      </c>
      <c r="Y136" s="231">
        <v>4516313.0434782607</v>
      </c>
      <c r="Z136" s="206" t="s">
        <v>1084</v>
      </c>
      <c r="AA136" s="206">
        <v>601</v>
      </c>
      <c r="AB136" s="206" t="s">
        <v>641</v>
      </c>
      <c r="AC136" s="230">
        <v>45679</v>
      </c>
      <c r="AD136" s="206" t="s">
        <v>50</v>
      </c>
      <c r="AE136" s="206" t="str">
        <f>IFERROR(VLOOKUP(Primary_Order[[#This Row],[AM]],SP!$E$19:$F$23,2,0),Primary_Order[[#This Row],[AM]])</f>
        <v>Captive Sales</v>
      </c>
      <c r="AF136" s="206" t="str">
        <f>VLOOKUP(Primary_Order[[#This Row],[Product ID]],SKU[],10,0)</f>
        <v>Synthetic</v>
      </c>
      <c r="AG136" s="206" t="str">
        <f>VLOOKUP(Primary_Order[[#This Row],[Product ID]],SKU[],9,0)</f>
        <v>MCO</v>
      </c>
      <c r="AH136" s="206" t="str">
        <f>VLOOKUP(Primary_Order[[#This Row],[Product ID]],SKU[],12,0)</f>
        <v>10W40</v>
      </c>
      <c r="AI136" s="206" t="str">
        <f>VLOOKUP(Primary_Order[[#This Row],[Product ID]],SKU[],13,0)</f>
        <v>7100</v>
      </c>
      <c r="AJ136" s="233">
        <f>VLOOKUP(Primary_Order[[#This Row],[Product ID]],SKU[[SKU ID]:[Bottle Size(Ltr)]],6,0)*Primary_Order[[#This Row],[Free Quantity]]</f>
        <v>0</v>
      </c>
      <c r="AK136" s="206" t="str">
        <f>VLOOKUP(Primary_Order[[#This Row],[Product ID]],SKU[[SKU ID]:[Bottle Size(Ltr)]],4,0)</f>
        <v>12x1L</v>
      </c>
      <c r="AL136" s="231">
        <f>VLOOKUP(Primary_Order[[#This Row],[Product ID]],SKU[],14,0)*Primary_Order[[#This Row],[Total Qty]]</f>
        <v>3465786.06</v>
      </c>
      <c r="AM136" s="231">
        <f>IF(Primary_Order[[#This Row],[Cost]]=0,0,Primary_Order[[#This Row],[Net Total(-15%)]]-Primary_Order[[#This Row],[Cost]])</f>
        <v>1050526.9834782607</v>
      </c>
      <c r="AN136" s="206" t="str">
        <f>"O-"&amp;Primary_Order[[#This Row],[Date]]&amp;"-"&amp;Primary_Order[[#This Row],[MMD ID]]</f>
        <v>O-45679-D-0025</v>
      </c>
      <c r="AO136" s="206" t="str" cm="1">
        <f t="array" ref="AO13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7" spans="1:41" x14ac:dyDescent="0.5">
      <c r="A137" s="206" t="s">
        <v>1083</v>
      </c>
      <c r="B137" s="230">
        <v>45679</v>
      </c>
      <c r="C137" s="206" t="s">
        <v>110</v>
      </c>
      <c r="D137" s="206" t="s">
        <v>88</v>
      </c>
      <c r="E137" s="206" t="s">
        <v>52</v>
      </c>
      <c r="F137" s="206" t="s">
        <v>50</v>
      </c>
      <c r="G137" s="206" t="s">
        <v>87</v>
      </c>
      <c r="H137" s="206" t="s">
        <v>87</v>
      </c>
      <c r="I137" s="206" t="s">
        <v>88</v>
      </c>
      <c r="J137" s="206" t="s">
        <v>52</v>
      </c>
      <c r="K137" s="206" t="s">
        <v>145</v>
      </c>
      <c r="L137" s="206" t="str">
        <f>VLOOKUP(Primary_Order[[#This Row],[Product ID]],SKU[],3,0)</f>
        <v>Fork Oil Expert</v>
      </c>
      <c r="M137" s="231">
        <v>700</v>
      </c>
      <c r="N137" s="231">
        <v>220</v>
      </c>
      <c r="O137" s="231">
        <v>244.99999999999997</v>
      </c>
      <c r="P137" s="232"/>
      <c r="Q137" s="231">
        <v>0</v>
      </c>
      <c r="R137" s="231">
        <v>220</v>
      </c>
      <c r="S137" s="231">
        <v>700</v>
      </c>
      <c r="T137" s="231">
        <v>244.99999999999997</v>
      </c>
      <c r="U137" s="231">
        <v>154000</v>
      </c>
      <c r="V137" s="231">
        <v>0</v>
      </c>
      <c r="W137" s="231">
        <v>154000</v>
      </c>
      <c r="X137" s="231">
        <v>20086.956521739132</v>
      </c>
      <c r="Y137" s="231">
        <v>133913.04347826086</v>
      </c>
      <c r="Z137" s="206" t="s">
        <v>1084</v>
      </c>
      <c r="AA137" s="206">
        <v>601</v>
      </c>
      <c r="AB137" s="206" t="s">
        <v>641</v>
      </c>
      <c r="AC137" s="230">
        <v>45679</v>
      </c>
      <c r="AD137" s="206" t="s">
        <v>50</v>
      </c>
      <c r="AE137" s="206" t="str">
        <f>IFERROR(VLOOKUP(Primary_Order[[#This Row],[AM]],SP!$E$19:$F$23,2,0),Primary_Order[[#This Row],[AM]])</f>
        <v>Captive Sales</v>
      </c>
      <c r="AF137" s="206" t="str">
        <f>VLOOKUP(Primary_Order[[#This Row],[Product ID]],SKU[],10,0)</f>
        <v>Care Products</v>
      </c>
      <c r="AG137" s="206" t="str">
        <f>VLOOKUP(Primary_Order[[#This Row],[Product ID]],SKU[],9,0)</f>
        <v>Care Products</v>
      </c>
      <c r="AH137" s="206" t="str">
        <f>VLOOKUP(Primary_Order[[#This Row],[Product ID]],SKU[],12,0)</f>
        <v>Care Products</v>
      </c>
      <c r="AI137" s="206" t="str">
        <f>VLOOKUP(Primary_Order[[#This Row],[Product ID]],SKU[],13,0)</f>
        <v>Fork Oil</v>
      </c>
      <c r="AJ137" s="233">
        <f>VLOOKUP(Primary_Order[[#This Row],[Product ID]],SKU[[SKU ID]:[Bottle Size(Ltr)]],6,0)*Primary_Order[[#This Row],[Free Quantity]]</f>
        <v>0</v>
      </c>
      <c r="AK137" s="206" t="str">
        <f>VLOOKUP(Primary_Order[[#This Row],[Product ID]],SKU[[SKU ID]:[Bottle Size(Ltr)]],4,0)</f>
        <v>20x0.35L</v>
      </c>
      <c r="AL137" s="231">
        <f>VLOOKUP(Primary_Order[[#This Row],[Product ID]],SKU[],14,0)*Primary_Order[[#This Row],[Total Qty]]</f>
        <v>115297</v>
      </c>
      <c r="AM137" s="231">
        <f>IF(Primary_Order[[#This Row],[Cost]]=0,0,Primary_Order[[#This Row],[Net Total(-15%)]]-Primary_Order[[#This Row],[Cost]])</f>
        <v>18616.043478260865</v>
      </c>
      <c r="AN137" s="206" t="str">
        <f>"O-"&amp;Primary_Order[[#This Row],[Date]]&amp;"-"&amp;Primary_Order[[#This Row],[MMD ID]]</f>
        <v>O-45679-D-0025</v>
      </c>
      <c r="AO137" s="206" t="str" cm="1">
        <f t="array" ref="AO13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8" spans="1:41" x14ac:dyDescent="0.5">
      <c r="A138" s="206" t="s">
        <v>1083</v>
      </c>
      <c r="B138" s="230">
        <v>45679</v>
      </c>
      <c r="C138" s="206" t="s">
        <v>110</v>
      </c>
      <c r="D138" s="206" t="s">
        <v>88</v>
      </c>
      <c r="E138" s="206" t="s">
        <v>52</v>
      </c>
      <c r="F138" s="206" t="s">
        <v>50</v>
      </c>
      <c r="G138" s="206" t="s">
        <v>87</v>
      </c>
      <c r="H138" s="206" t="s">
        <v>87</v>
      </c>
      <c r="I138" s="206" t="s">
        <v>88</v>
      </c>
      <c r="J138" s="206" t="s">
        <v>52</v>
      </c>
      <c r="K138" s="206" t="s">
        <v>59</v>
      </c>
      <c r="L138" s="206" t="str">
        <f>VLOOKUP(Primary_Order[[#This Row],[Product ID]],SKU[],3,0)</f>
        <v>Scooter LE 4T 10W30 HC-TECH®</v>
      </c>
      <c r="M138" s="231">
        <v>500</v>
      </c>
      <c r="N138" s="231">
        <v>450</v>
      </c>
      <c r="O138" s="231">
        <v>400</v>
      </c>
      <c r="P138" s="232"/>
      <c r="Q138" s="231">
        <v>0</v>
      </c>
      <c r="R138" s="231">
        <v>450</v>
      </c>
      <c r="S138" s="231">
        <v>500</v>
      </c>
      <c r="T138" s="231">
        <v>400</v>
      </c>
      <c r="U138" s="231">
        <v>225000</v>
      </c>
      <c r="V138" s="231">
        <v>0</v>
      </c>
      <c r="W138" s="231">
        <v>225000</v>
      </c>
      <c r="X138" s="231">
        <v>29347.82608695652</v>
      </c>
      <c r="Y138" s="231">
        <v>195652.17391304349</v>
      </c>
      <c r="Z138" s="206" t="s">
        <v>1084</v>
      </c>
      <c r="AA138" s="206">
        <v>601</v>
      </c>
      <c r="AB138" s="206" t="s">
        <v>641</v>
      </c>
      <c r="AC138" s="230">
        <v>45679</v>
      </c>
      <c r="AD138" s="206" t="s">
        <v>50</v>
      </c>
      <c r="AE138" s="206" t="str">
        <f>IFERROR(VLOOKUP(Primary_Order[[#This Row],[AM]],SP!$E$19:$F$23,2,0),Primary_Order[[#This Row],[AM]])</f>
        <v>Captive Sales</v>
      </c>
      <c r="AF138" s="206" t="str">
        <f>VLOOKUP(Primary_Order[[#This Row],[Product ID]],SKU[],10,0)</f>
        <v>Mineral</v>
      </c>
      <c r="AG138" s="206" t="str">
        <f>VLOOKUP(Primary_Order[[#This Row],[Product ID]],SKU[],9,0)</f>
        <v>MCO</v>
      </c>
      <c r="AH138" s="206" t="str">
        <f>VLOOKUP(Primary_Order[[#This Row],[Product ID]],SKU[],12,0)</f>
        <v>10W30</v>
      </c>
      <c r="AI138" s="206" t="str">
        <f>VLOOKUP(Primary_Order[[#This Row],[Product ID]],SKU[],13,0)</f>
        <v>Scooter</v>
      </c>
      <c r="AJ138" s="233">
        <f>VLOOKUP(Primary_Order[[#This Row],[Product ID]],SKU[[SKU ID]:[Bottle Size(Ltr)]],6,0)*Primary_Order[[#This Row],[Free Quantity]]</f>
        <v>0</v>
      </c>
      <c r="AK138" s="206" t="str">
        <f>VLOOKUP(Primary_Order[[#This Row],[Product ID]],SKU[[SKU ID]:[Bottle Size(Ltr)]],4,0)</f>
        <v>20x0.8L</v>
      </c>
      <c r="AL138" s="231">
        <f>VLOOKUP(Primary_Order[[#This Row],[Product ID]],SKU[],14,0)*Primary_Order[[#This Row],[Total Qty]]</f>
        <v>166665</v>
      </c>
      <c r="AM138" s="231">
        <f>IF(Primary_Order[[#This Row],[Cost]]=0,0,Primary_Order[[#This Row],[Net Total(-15%)]]-Primary_Order[[#This Row],[Cost]])</f>
        <v>28987.173913043487</v>
      </c>
      <c r="AN138" s="206" t="str">
        <f>"O-"&amp;Primary_Order[[#This Row],[Date]]&amp;"-"&amp;Primary_Order[[#This Row],[MMD ID]]</f>
        <v>O-45679-D-0025</v>
      </c>
      <c r="AO138" s="206" t="str" cm="1">
        <f t="array" ref="AO13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39" spans="1:41" x14ac:dyDescent="0.5">
      <c r="A139" s="206" t="s">
        <v>1083</v>
      </c>
      <c r="B139" s="230">
        <v>45679</v>
      </c>
      <c r="C139" s="206" t="s">
        <v>110</v>
      </c>
      <c r="D139" s="206" t="s">
        <v>88</v>
      </c>
      <c r="E139" s="206" t="s">
        <v>52</v>
      </c>
      <c r="F139" s="206" t="s">
        <v>50</v>
      </c>
      <c r="G139" s="206" t="s">
        <v>87</v>
      </c>
      <c r="H139" s="206" t="s">
        <v>87</v>
      </c>
      <c r="I139" s="206" t="s">
        <v>88</v>
      </c>
      <c r="J139" s="206" t="s">
        <v>52</v>
      </c>
      <c r="K139" s="206" t="s">
        <v>105</v>
      </c>
      <c r="L139" s="206" t="str">
        <f>VLOOKUP(Primary_Order[[#This Row],[Product ID]],SKU[],3,0)</f>
        <v>System Keep Clean Petrol</v>
      </c>
      <c r="M139" s="231">
        <v>480</v>
      </c>
      <c r="N139" s="231">
        <v>170</v>
      </c>
      <c r="O139" s="231">
        <v>24</v>
      </c>
      <c r="P139" s="232"/>
      <c r="Q139" s="231">
        <v>0</v>
      </c>
      <c r="R139" s="231">
        <v>170</v>
      </c>
      <c r="S139" s="231">
        <v>480</v>
      </c>
      <c r="T139" s="231">
        <v>24</v>
      </c>
      <c r="U139" s="231">
        <v>81600</v>
      </c>
      <c r="V139" s="231">
        <v>0</v>
      </c>
      <c r="W139" s="231">
        <v>81600</v>
      </c>
      <c r="X139" s="231">
        <v>10643.478260869566</v>
      </c>
      <c r="Y139" s="231">
        <v>70956.521739130432</v>
      </c>
      <c r="Z139" s="206" t="s">
        <v>1084</v>
      </c>
      <c r="AA139" s="206">
        <v>601</v>
      </c>
      <c r="AB139" s="206" t="s">
        <v>641</v>
      </c>
      <c r="AC139" s="230">
        <v>45679</v>
      </c>
      <c r="AD139" s="206" t="s">
        <v>50</v>
      </c>
      <c r="AE139" s="206" t="str">
        <f>IFERROR(VLOOKUP(Primary_Order[[#This Row],[AM]],SP!$E$19:$F$23,2,0),Primary_Order[[#This Row],[AM]])</f>
        <v>Captive Sales</v>
      </c>
      <c r="AF139" s="206" t="str">
        <f>VLOOKUP(Primary_Order[[#This Row],[Product ID]],SKU[],10,0)</f>
        <v>Care Products</v>
      </c>
      <c r="AG139" s="206" t="str">
        <f>VLOOKUP(Primary_Order[[#This Row],[Product ID]],SKU[],9,0)</f>
        <v>Care Products</v>
      </c>
      <c r="AH139" s="206" t="str">
        <f>VLOOKUP(Primary_Order[[#This Row],[Product ID]],SKU[],12,0)</f>
        <v>Care Products</v>
      </c>
      <c r="AI139" s="206" t="str">
        <f>VLOOKUP(Primary_Order[[#This Row],[Product ID]],SKU[],13,0)</f>
        <v>Clean</v>
      </c>
      <c r="AJ139" s="233">
        <f>VLOOKUP(Primary_Order[[#This Row],[Product ID]],SKU[[SKU ID]:[Bottle Size(Ltr)]],6,0)*Primary_Order[[#This Row],[Free Quantity]]</f>
        <v>0</v>
      </c>
      <c r="AK139" s="206" t="str">
        <f>VLOOKUP(Primary_Order[[#This Row],[Product ID]],SKU[[SKU ID]:[Bottle Size(Ltr)]],4,0)</f>
        <v>24x0.05L</v>
      </c>
      <c r="AL139" s="231">
        <f>VLOOKUP(Primary_Order[[#This Row],[Product ID]],SKU[],14,0)*Primary_Order[[#This Row],[Total Qty]]</f>
        <v>63393.599999999999</v>
      </c>
      <c r="AM139" s="231">
        <f>IF(Primary_Order[[#This Row],[Cost]]=0,0,Primary_Order[[#This Row],[Net Total(-15%)]]-Primary_Order[[#This Row],[Cost]])</f>
        <v>7562.9217391304337</v>
      </c>
      <c r="AN139" s="206" t="str">
        <f>"O-"&amp;Primary_Order[[#This Row],[Date]]&amp;"-"&amp;Primary_Order[[#This Row],[MMD ID]]</f>
        <v>O-45679-D-0025</v>
      </c>
      <c r="AO139" s="206" t="str" cm="1">
        <f t="array" ref="AO13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0" spans="1:41" x14ac:dyDescent="0.5">
      <c r="A140" s="206" t="s">
        <v>1085</v>
      </c>
      <c r="B140" s="230">
        <v>45677</v>
      </c>
      <c r="C140" s="206" t="s">
        <v>102</v>
      </c>
      <c r="D140" s="206" t="s">
        <v>973</v>
      </c>
      <c r="E140" s="206" t="s">
        <v>974</v>
      </c>
      <c r="F140" s="206" t="s">
        <v>975</v>
      </c>
      <c r="G140" s="206" t="s">
        <v>45</v>
      </c>
      <c r="H140" s="206" t="s">
        <v>28</v>
      </c>
      <c r="I140" s="206" t="s">
        <v>46</v>
      </c>
      <c r="J140" s="206" t="s">
        <v>47</v>
      </c>
      <c r="K140" s="206" t="s">
        <v>31</v>
      </c>
      <c r="L140" s="206" t="str">
        <f>VLOOKUP(Primary_Order[[#This Row],[Product ID]],SKU[],3,0)</f>
        <v>3000 4T PLUS 10W30</v>
      </c>
      <c r="M140" s="231">
        <v>20</v>
      </c>
      <c r="N140" s="231">
        <v>530</v>
      </c>
      <c r="O140" s="231">
        <v>20</v>
      </c>
      <c r="P140" s="232"/>
      <c r="Q140" s="231">
        <v>0</v>
      </c>
      <c r="R140" s="231">
        <v>530</v>
      </c>
      <c r="S140" s="231">
        <v>20</v>
      </c>
      <c r="T140" s="231">
        <v>20</v>
      </c>
      <c r="U140" s="231">
        <v>10600</v>
      </c>
      <c r="V140" s="231">
        <v>0</v>
      </c>
      <c r="W140" s="231">
        <v>10600</v>
      </c>
      <c r="X140" s="231">
        <v>1382.608695652174</v>
      </c>
      <c r="Y140" s="231">
        <v>9217.391304347826</v>
      </c>
      <c r="Z140" s="206" t="s">
        <v>882</v>
      </c>
      <c r="AA140" s="206">
        <v>602</v>
      </c>
      <c r="AB140" s="206" t="s">
        <v>641</v>
      </c>
      <c r="AC140" s="230">
        <v>45679</v>
      </c>
      <c r="AD140" s="206" t="s">
        <v>50</v>
      </c>
      <c r="AE140" s="206" t="str">
        <f>IFERROR(VLOOKUP(Primary_Order[[#This Row],[AM]],SP!$E$19:$F$23,2,0),Primary_Order[[#This Row],[AM]])</f>
        <v>Eastern</v>
      </c>
      <c r="AF140" s="206" t="str">
        <f>VLOOKUP(Primary_Order[[#This Row],[Product ID]],SKU[],10,0)</f>
        <v>Mineral</v>
      </c>
      <c r="AG140" s="206" t="str">
        <f>VLOOKUP(Primary_Order[[#This Row],[Product ID]],SKU[],9,0)</f>
        <v>MCO</v>
      </c>
      <c r="AH140" s="206" t="str">
        <f>VLOOKUP(Primary_Order[[#This Row],[Product ID]],SKU[],12,0)</f>
        <v>10W30</v>
      </c>
      <c r="AI140" s="206" t="str">
        <f>VLOOKUP(Primary_Order[[#This Row],[Product ID]],SKU[],13,0)</f>
        <v>3000</v>
      </c>
      <c r="AJ140" s="233">
        <f>VLOOKUP(Primary_Order[[#This Row],[Product ID]],SKU[[SKU ID]:[Bottle Size(Ltr)]],6,0)*Primary_Order[[#This Row],[Free Quantity]]</f>
        <v>0</v>
      </c>
      <c r="AK140" s="206" t="str">
        <f>VLOOKUP(Primary_Order[[#This Row],[Product ID]],SKU[[SKU ID]:[Bottle Size(Ltr)]],4,0)</f>
        <v>20x1L</v>
      </c>
      <c r="AL140" s="231">
        <f>VLOOKUP(Primary_Order[[#This Row],[Product ID]],SKU[],14,0)*Primary_Order[[#This Row],[Total Qty]]</f>
        <v>7586.5999999999995</v>
      </c>
      <c r="AM140" s="231">
        <f>IF(Primary_Order[[#This Row],[Cost]]=0,0,Primary_Order[[#This Row],[Net Total(-15%)]]-Primary_Order[[#This Row],[Cost]])</f>
        <v>1630.7913043478266</v>
      </c>
      <c r="AN140" s="206" t="str">
        <f>"O-"&amp;Primary_Order[[#This Row],[Date]]&amp;"-"&amp;Primary_Order[[#This Row],[MMD ID]]</f>
        <v>O-45677-D-0003</v>
      </c>
      <c r="AO140" s="206" t="str" cm="1">
        <f t="array" ref="AO14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1" spans="1:41" x14ac:dyDescent="0.5">
      <c r="A141" s="206" t="s">
        <v>1085</v>
      </c>
      <c r="B141" s="230">
        <v>45677</v>
      </c>
      <c r="C141" s="206" t="s">
        <v>102</v>
      </c>
      <c r="D141" s="206" t="s">
        <v>973</v>
      </c>
      <c r="E141" s="206" t="s">
        <v>974</v>
      </c>
      <c r="F141" s="206" t="s">
        <v>975</v>
      </c>
      <c r="G141" s="206" t="s">
        <v>45</v>
      </c>
      <c r="H141" s="206" t="s">
        <v>28</v>
      </c>
      <c r="I141" s="206" t="s">
        <v>46</v>
      </c>
      <c r="J141" s="206" t="s">
        <v>47</v>
      </c>
      <c r="K141" s="206" t="s">
        <v>56</v>
      </c>
      <c r="L141" s="206" t="str">
        <f>VLOOKUP(Primary_Order[[#This Row],[Product ID]],SKU[],3,0)</f>
        <v>7100 4T 10W30 ESTER CORE®</v>
      </c>
      <c r="M141" s="231">
        <v>12</v>
      </c>
      <c r="N141" s="231">
        <v>1060</v>
      </c>
      <c r="O141" s="231">
        <v>12</v>
      </c>
      <c r="P141" s="232"/>
      <c r="Q141" s="231">
        <v>0</v>
      </c>
      <c r="R141" s="231">
        <v>1060</v>
      </c>
      <c r="S141" s="231">
        <v>12</v>
      </c>
      <c r="T141" s="231">
        <v>12</v>
      </c>
      <c r="U141" s="231">
        <v>12720</v>
      </c>
      <c r="V141" s="231">
        <v>0</v>
      </c>
      <c r="W141" s="231">
        <v>12720</v>
      </c>
      <c r="X141" s="231">
        <v>1659.1304347826087</v>
      </c>
      <c r="Y141" s="231">
        <v>11060.869565217392</v>
      </c>
      <c r="Z141" s="206" t="s">
        <v>882</v>
      </c>
      <c r="AA141" s="206">
        <v>602</v>
      </c>
      <c r="AB141" s="206" t="s">
        <v>641</v>
      </c>
      <c r="AC141" s="230">
        <v>45679</v>
      </c>
      <c r="AD141" s="206" t="s">
        <v>50</v>
      </c>
      <c r="AE141" s="206" t="str">
        <f>IFERROR(VLOOKUP(Primary_Order[[#This Row],[AM]],SP!$E$19:$F$23,2,0),Primary_Order[[#This Row],[AM]])</f>
        <v>Eastern</v>
      </c>
      <c r="AF141" s="206" t="str">
        <f>VLOOKUP(Primary_Order[[#This Row],[Product ID]],SKU[],10,0)</f>
        <v>Synthetic</v>
      </c>
      <c r="AG141" s="206" t="str">
        <f>VLOOKUP(Primary_Order[[#This Row],[Product ID]],SKU[],9,0)</f>
        <v>MCO</v>
      </c>
      <c r="AH141" s="206" t="str">
        <f>VLOOKUP(Primary_Order[[#This Row],[Product ID]],SKU[],12,0)</f>
        <v>10W30</v>
      </c>
      <c r="AI141" s="206" t="str">
        <f>VLOOKUP(Primary_Order[[#This Row],[Product ID]],SKU[],13,0)</f>
        <v>7100</v>
      </c>
      <c r="AJ141" s="233">
        <f>VLOOKUP(Primary_Order[[#This Row],[Product ID]],SKU[[SKU ID]:[Bottle Size(Ltr)]],6,0)*Primary_Order[[#This Row],[Free Quantity]]</f>
        <v>0</v>
      </c>
      <c r="AK141" s="206" t="str">
        <f>VLOOKUP(Primary_Order[[#This Row],[Product ID]],SKU[[SKU ID]:[Bottle Size(Ltr)]],4,0)</f>
        <v>12x1L</v>
      </c>
      <c r="AL141" s="231">
        <f>VLOOKUP(Primary_Order[[#This Row],[Product ID]],SKU[],14,0)*Primary_Order[[#This Row],[Total Qty]]</f>
        <v>8278.32</v>
      </c>
      <c r="AM141" s="231">
        <f>IF(Primary_Order[[#This Row],[Cost]]=0,0,Primary_Order[[#This Row],[Net Total(-15%)]]-Primary_Order[[#This Row],[Cost]])</f>
        <v>2782.5495652173922</v>
      </c>
      <c r="AN141" s="206" t="str">
        <f>"O-"&amp;Primary_Order[[#This Row],[Date]]&amp;"-"&amp;Primary_Order[[#This Row],[MMD ID]]</f>
        <v>O-45677-D-0003</v>
      </c>
      <c r="AO141" s="206" t="str" cm="1">
        <f t="array" ref="AO14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2" spans="1:41" x14ac:dyDescent="0.5">
      <c r="A142" s="206" t="s">
        <v>1086</v>
      </c>
      <c r="B142" s="230">
        <v>45677</v>
      </c>
      <c r="C142" s="206" t="s">
        <v>102</v>
      </c>
      <c r="D142" s="206" t="s">
        <v>1064</v>
      </c>
      <c r="E142" s="206" t="s">
        <v>1065</v>
      </c>
      <c r="F142" s="206" t="s">
        <v>1066</v>
      </c>
      <c r="G142" s="206" t="s">
        <v>45</v>
      </c>
      <c r="H142" s="206" t="s">
        <v>28</v>
      </c>
      <c r="I142" s="206" t="s">
        <v>46</v>
      </c>
      <c r="J142" s="206" t="s">
        <v>47</v>
      </c>
      <c r="K142" s="206" t="s">
        <v>54</v>
      </c>
      <c r="L142" s="206" t="str">
        <f>VLOOKUP(Primary_Order[[#This Row],[Product ID]],SKU[],3,0)</f>
        <v>3000 4T PLUS 10W40</v>
      </c>
      <c r="M142" s="231">
        <v>20</v>
      </c>
      <c r="N142" s="231">
        <v>535</v>
      </c>
      <c r="O142" s="231">
        <v>20</v>
      </c>
      <c r="P142" s="232"/>
      <c r="Q142" s="231">
        <v>0</v>
      </c>
      <c r="R142" s="231">
        <v>535</v>
      </c>
      <c r="S142" s="231">
        <v>20</v>
      </c>
      <c r="T142" s="231">
        <v>20</v>
      </c>
      <c r="U142" s="231">
        <v>10700</v>
      </c>
      <c r="V142" s="231">
        <v>0</v>
      </c>
      <c r="W142" s="231">
        <v>10700</v>
      </c>
      <c r="X142" s="231">
        <v>1395.6521739130435</v>
      </c>
      <c r="Y142" s="231">
        <v>9304.347826086956</v>
      </c>
      <c r="Z142" s="206" t="s">
        <v>882</v>
      </c>
      <c r="AA142" s="206">
        <v>603</v>
      </c>
      <c r="AB142" s="206" t="s">
        <v>641</v>
      </c>
      <c r="AC142" s="230">
        <v>45679</v>
      </c>
      <c r="AD142" s="206" t="s">
        <v>50</v>
      </c>
      <c r="AE142" s="206" t="str">
        <f>IFERROR(VLOOKUP(Primary_Order[[#This Row],[AM]],SP!$E$19:$F$23,2,0),Primary_Order[[#This Row],[AM]])</f>
        <v>Eastern</v>
      </c>
      <c r="AF142" s="206" t="str">
        <f>VLOOKUP(Primary_Order[[#This Row],[Product ID]],SKU[],10,0)</f>
        <v>Mineral</v>
      </c>
      <c r="AG142" s="206" t="str">
        <f>VLOOKUP(Primary_Order[[#This Row],[Product ID]],SKU[],9,0)</f>
        <v>MCO</v>
      </c>
      <c r="AH142" s="206" t="str">
        <f>VLOOKUP(Primary_Order[[#This Row],[Product ID]],SKU[],12,0)</f>
        <v>10W40</v>
      </c>
      <c r="AI142" s="206" t="str">
        <f>VLOOKUP(Primary_Order[[#This Row],[Product ID]],SKU[],13,0)</f>
        <v>3000</v>
      </c>
      <c r="AJ142" s="233">
        <f>VLOOKUP(Primary_Order[[#This Row],[Product ID]],SKU[[SKU ID]:[Bottle Size(Ltr)]],6,0)*Primary_Order[[#This Row],[Free Quantity]]</f>
        <v>0</v>
      </c>
      <c r="AK142" s="206" t="str">
        <f>VLOOKUP(Primary_Order[[#This Row],[Product ID]],SKU[[SKU ID]:[Bottle Size(Ltr)]],4,0)</f>
        <v>20x1L</v>
      </c>
      <c r="AL142" s="231">
        <f>VLOOKUP(Primary_Order[[#This Row],[Product ID]],SKU[],14,0)*Primary_Order[[#This Row],[Total Qty]]</f>
        <v>7697</v>
      </c>
      <c r="AM142" s="231">
        <f>IF(Primary_Order[[#This Row],[Cost]]=0,0,Primary_Order[[#This Row],[Net Total(-15%)]]-Primary_Order[[#This Row],[Cost]])</f>
        <v>1607.347826086956</v>
      </c>
      <c r="AN142" s="206" t="str">
        <f>"O-"&amp;Primary_Order[[#This Row],[Date]]&amp;"-"&amp;Primary_Order[[#This Row],[MMD ID]]</f>
        <v>O-45677-D-0003</v>
      </c>
      <c r="AO142" s="206" t="str" cm="1">
        <f t="array" ref="AO14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3" spans="1:41" x14ac:dyDescent="0.5">
      <c r="A143" s="206" t="s">
        <v>1086</v>
      </c>
      <c r="B143" s="230">
        <v>45677</v>
      </c>
      <c r="C143" s="206" t="s">
        <v>102</v>
      </c>
      <c r="D143" s="206" t="s">
        <v>1064</v>
      </c>
      <c r="E143" s="206" t="s">
        <v>1065</v>
      </c>
      <c r="F143" s="206" t="s">
        <v>1066</v>
      </c>
      <c r="G143" s="206" t="s">
        <v>45</v>
      </c>
      <c r="H143" s="206" t="s">
        <v>28</v>
      </c>
      <c r="I143" s="206" t="s">
        <v>46</v>
      </c>
      <c r="J143" s="206" t="s">
        <v>47</v>
      </c>
      <c r="K143" s="206" t="s">
        <v>43</v>
      </c>
      <c r="L143" s="206" t="str">
        <f>VLOOKUP(Primary_Order[[#This Row],[Product ID]],SKU[],3,0)</f>
        <v>7100 4T 10W30 ESTER CORE®</v>
      </c>
      <c r="M143" s="231">
        <v>20</v>
      </c>
      <c r="N143" s="231">
        <v>1260</v>
      </c>
      <c r="O143" s="231">
        <v>24</v>
      </c>
      <c r="P143" s="232"/>
      <c r="Q143" s="231">
        <v>0</v>
      </c>
      <c r="R143" s="231">
        <v>1260</v>
      </c>
      <c r="S143" s="231">
        <v>20</v>
      </c>
      <c r="T143" s="231">
        <v>24</v>
      </c>
      <c r="U143" s="231">
        <v>25200</v>
      </c>
      <c r="V143" s="231">
        <v>0</v>
      </c>
      <c r="W143" s="231">
        <v>25200</v>
      </c>
      <c r="X143" s="231">
        <v>3286.9565217391305</v>
      </c>
      <c r="Y143" s="231">
        <v>21913.043478260868</v>
      </c>
      <c r="Z143" s="206" t="s">
        <v>882</v>
      </c>
      <c r="AA143" s="206">
        <v>603</v>
      </c>
      <c r="AB143" s="206" t="s">
        <v>641</v>
      </c>
      <c r="AC143" s="230">
        <v>45679</v>
      </c>
      <c r="AD143" s="206" t="s">
        <v>50</v>
      </c>
      <c r="AE143" s="206" t="str">
        <f>IFERROR(VLOOKUP(Primary_Order[[#This Row],[AM]],SP!$E$19:$F$23,2,0),Primary_Order[[#This Row],[AM]])</f>
        <v>Eastern</v>
      </c>
      <c r="AF143" s="206" t="str">
        <f>VLOOKUP(Primary_Order[[#This Row],[Product ID]],SKU[],10,0)</f>
        <v>Synthetic</v>
      </c>
      <c r="AG143" s="206" t="str">
        <f>VLOOKUP(Primary_Order[[#This Row],[Product ID]],SKU[],9,0)</f>
        <v>MCO</v>
      </c>
      <c r="AH143" s="206" t="str">
        <f>VLOOKUP(Primary_Order[[#This Row],[Product ID]],SKU[],12,0)</f>
        <v>10W30</v>
      </c>
      <c r="AI143" s="206" t="str">
        <f>VLOOKUP(Primary_Order[[#This Row],[Product ID]],SKU[],13,0)</f>
        <v>7100</v>
      </c>
      <c r="AJ143" s="233">
        <f>VLOOKUP(Primary_Order[[#This Row],[Product ID]],SKU[[SKU ID]:[Bottle Size(Ltr)]],6,0)*Primary_Order[[#This Row],[Free Quantity]]</f>
        <v>0</v>
      </c>
      <c r="AK143" s="206" t="str">
        <f>VLOOKUP(Primary_Order[[#This Row],[Product ID]],SKU[[SKU ID]:[Bottle Size(Ltr)]],4,0)</f>
        <v>20x1.2L</v>
      </c>
      <c r="AL143" s="231">
        <f>VLOOKUP(Primary_Order[[#This Row],[Product ID]],SKU[],14,0)*Primary_Order[[#This Row],[Total Qty]]</f>
        <v>15546</v>
      </c>
      <c r="AM143" s="231">
        <f>IF(Primary_Order[[#This Row],[Cost]]=0,0,Primary_Order[[#This Row],[Net Total(-15%)]]-Primary_Order[[#This Row],[Cost]])</f>
        <v>6367.0434782608681</v>
      </c>
      <c r="AN143" s="206" t="str">
        <f>"O-"&amp;Primary_Order[[#This Row],[Date]]&amp;"-"&amp;Primary_Order[[#This Row],[MMD ID]]</f>
        <v>O-45677-D-0003</v>
      </c>
      <c r="AO143" s="206" t="str" cm="1">
        <f t="array" ref="AO14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4" spans="1:41" x14ac:dyDescent="0.5">
      <c r="A144" s="206" t="s">
        <v>1087</v>
      </c>
      <c r="B144" s="230">
        <v>45677</v>
      </c>
      <c r="C144" s="206" t="s">
        <v>108</v>
      </c>
      <c r="D144" s="206" t="s">
        <v>1067</v>
      </c>
      <c r="E144" s="206" t="s">
        <v>1068</v>
      </c>
      <c r="F144" s="206">
        <v>1710792122</v>
      </c>
      <c r="G144" s="206" t="s">
        <v>280</v>
      </c>
      <c r="H144" s="206" t="s">
        <v>84</v>
      </c>
      <c r="I144" s="206" t="s">
        <v>109</v>
      </c>
      <c r="J144" s="206" t="s">
        <v>282</v>
      </c>
      <c r="K144" s="206" t="s">
        <v>31</v>
      </c>
      <c r="L144" s="206" t="str">
        <f>VLOOKUP(Primary_Order[[#This Row],[Product ID]],SKU[],3,0)</f>
        <v>3000 4T PLUS 10W30</v>
      </c>
      <c r="M144" s="231">
        <v>100</v>
      </c>
      <c r="N144" s="231">
        <v>530</v>
      </c>
      <c r="O144" s="231">
        <v>100</v>
      </c>
      <c r="P144" s="232"/>
      <c r="Q144" s="231">
        <v>0</v>
      </c>
      <c r="R144" s="231">
        <v>530</v>
      </c>
      <c r="S144" s="231">
        <v>100</v>
      </c>
      <c r="T144" s="231">
        <v>100</v>
      </c>
      <c r="U144" s="231">
        <v>53000</v>
      </c>
      <c r="V144" s="231">
        <v>0</v>
      </c>
      <c r="W144" s="231">
        <v>53000</v>
      </c>
      <c r="X144" s="231">
        <v>6913.04347826087</v>
      </c>
      <c r="Y144" s="231">
        <v>46086.956521739128</v>
      </c>
      <c r="Z144" s="206" t="s">
        <v>882</v>
      </c>
      <c r="AA144" s="206">
        <v>604</v>
      </c>
      <c r="AB144" s="206" t="s">
        <v>641</v>
      </c>
      <c r="AC144" s="230">
        <v>45679</v>
      </c>
      <c r="AD144" s="206" t="s">
        <v>50</v>
      </c>
      <c r="AE144" s="206" t="str">
        <f>IFERROR(VLOOKUP(Primary_Order[[#This Row],[AM]],SP!$E$19:$F$23,2,0),Primary_Order[[#This Row],[AM]])</f>
        <v>Northern</v>
      </c>
      <c r="AF144" s="206" t="str">
        <f>VLOOKUP(Primary_Order[[#This Row],[Product ID]],SKU[],10,0)</f>
        <v>Mineral</v>
      </c>
      <c r="AG144" s="206" t="str">
        <f>VLOOKUP(Primary_Order[[#This Row],[Product ID]],SKU[],9,0)</f>
        <v>MCO</v>
      </c>
      <c r="AH144" s="206" t="str">
        <f>VLOOKUP(Primary_Order[[#This Row],[Product ID]],SKU[],12,0)</f>
        <v>10W30</v>
      </c>
      <c r="AI144" s="206" t="str">
        <f>VLOOKUP(Primary_Order[[#This Row],[Product ID]],SKU[],13,0)</f>
        <v>3000</v>
      </c>
      <c r="AJ144" s="233">
        <f>VLOOKUP(Primary_Order[[#This Row],[Product ID]],SKU[[SKU ID]:[Bottle Size(Ltr)]],6,0)*Primary_Order[[#This Row],[Free Quantity]]</f>
        <v>0</v>
      </c>
      <c r="AK144" s="206" t="str">
        <f>VLOOKUP(Primary_Order[[#This Row],[Product ID]],SKU[[SKU ID]:[Bottle Size(Ltr)]],4,0)</f>
        <v>20x1L</v>
      </c>
      <c r="AL144" s="231">
        <f>VLOOKUP(Primary_Order[[#This Row],[Product ID]],SKU[],14,0)*Primary_Order[[#This Row],[Total Qty]]</f>
        <v>37933</v>
      </c>
      <c r="AM144" s="231">
        <f>IF(Primary_Order[[#This Row],[Cost]]=0,0,Primary_Order[[#This Row],[Net Total(-15%)]]-Primary_Order[[#This Row],[Cost]])</f>
        <v>8153.9565217391282</v>
      </c>
      <c r="AN144" s="206" t="str">
        <f>"O-"&amp;Primary_Order[[#This Row],[Date]]&amp;"-"&amp;Primary_Order[[#This Row],[MMD ID]]</f>
        <v>O-45677-D-0023</v>
      </c>
      <c r="AO144" s="206" t="str" cm="1">
        <f t="array" ref="AO14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5" spans="1:41" x14ac:dyDescent="0.5">
      <c r="A145" s="206" t="s">
        <v>1087</v>
      </c>
      <c r="B145" s="230">
        <v>45677</v>
      </c>
      <c r="C145" s="206" t="s">
        <v>108</v>
      </c>
      <c r="D145" s="206" t="s">
        <v>1067</v>
      </c>
      <c r="E145" s="206" t="s">
        <v>1068</v>
      </c>
      <c r="F145" s="206">
        <v>1710792122</v>
      </c>
      <c r="G145" s="206" t="s">
        <v>280</v>
      </c>
      <c r="H145" s="206" t="s">
        <v>84</v>
      </c>
      <c r="I145" s="206" t="s">
        <v>109</v>
      </c>
      <c r="J145" s="206" t="s">
        <v>282</v>
      </c>
      <c r="K145" s="206" t="s">
        <v>54</v>
      </c>
      <c r="L145" s="206" t="str">
        <f>VLOOKUP(Primary_Order[[#This Row],[Product ID]],SKU[],3,0)</f>
        <v>3000 4T PLUS 10W40</v>
      </c>
      <c r="M145" s="231">
        <v>200</v>
      </c>
      <c r="N145" s="231">
        <v>535</v>
      </c>
      <c r="O145" s="231">
        <v>200</v>
      </c>
      <c r="P145" s="232"/>
      <c r="Q145" s="231">
        <v>0</v>
      </c>
      <c r="R145" s="231">
        <v>535</v>
      </c>
      <c r="S145" s="231">
        <v>200</v>
      </c>
      <c r="T145" s="231">
        <v>200</v>
      </c>
      <c r="U145" s="231">
        <v>107000</v>
      </c>
      <c r="V145" s="231">
        <v>0</v>
      </c>
      <c r="W145" s="231">
        <v>107000</v>
      </c>
      <c r="X145" s="231">
        <v>13956.521739130434</v>
      </c>
      <c r="Y145" s="231">
        <v>93043.478260869568</v>
      </c>
      <c r="Z145" s="206" t="s">
        <v>882</v>
      </c>
      <c r="AA145" s="206">
        <v>604</v>
      </c>
      <c r="AB145" s="206" t="s">
        <v>641</v>
      </c>
      <c r="AC145" s="230">
        <v>45679</v>
      </c>
      <c r="AD145" s="206" t="s">
        <v>50</v>
      </c>
      <c r="AE145" s="206" t="str">
        <f>IFERROR(VLOOKUP(Primary_Order[[#This Row],[AM]],SP!$E$19:$F$23,2,0),Primary_Order[[#This Row],[AM]])</f>
        <v>Northern</v>
      </c>
      <c r="AF145" s="206" t="str">
        <f>VLOOKUP(Primary_Order[[#This Row],[Product ID]],SKU[],10,0)</f>
        <v>Mineral</v>
      </c>
      <c r="AG145" s="206" t="str">
        <f>VLOOKUP(Primary_Order[[#This Row],[Product ID]],SKU[],9,0)</f>
        <v>MCO</v>
      </c>
      <c r="AH145" s="206" t="str">
        <f>VLOOKUP(Primary_Order[[#This Row],[Product ID]],SKU[],12,0)</f>
        <v>10W40</v>
      </c>
      <c r="AI145" s="206" t="str">
        <f>VLOOKUP(Primary_Order[[#This Row],[Product ID]],SKU[],13,0)</f>
        <v>3000</v>
      </c>
      <c r="AJ145" s="233">
        <f>VLOOKUP(Primary_Order[[#This Row],[Product ID]],SKU[[SKU ID]:[Bottle Size(Ltr)]],6,0)*Primary_Order[[#This Row],[Free Quantity]]</f>
        <v>0</v>
      </c>
      <c r="AK145" s="206" t="str">
        <f>VLOOKUP(Primary_Order[[#This Row],[Product ID]],SKU[[SKU ID]:[Bottle Size(Ltr)]],4,0)</f>
        <v>20x1L</v>
      </c>
      <c r="AL145" s="231">
        <f>VLOOKUP(Primary_Order[[#This Row],[Product ID]],SKU[],14,0)*Primary_Order[[#This Row],[Total Qty]]</f>
        <v>76970</v>
      </c>
      <c r="AM145" s="231">
        <f>IF(Primary_Order[[#This Row],[Cost]]=0,0,Primary_Order[[#This Row],[Net Total(-15%)]]-Primary_Order[[#This Row],[Cost]])</f>
        <v>16073.478260869568</v>
      </c>
      <c r="AN145" s="206" t="str">
        <f>"O-"&amp;Primary_Order[[#This Row],[Date]]&amp;"-"&amp;Primary_Order[[#This Row],[MMD ID]]</f>
        <v>O-45677-D-0023</v>
      </c>
      <c r="AO145" s="206" t="str" cm="1">
        <f t="array" ref="AO14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6" spans="1:41" x14ac:dyDescent="0.5">
      <c r="A146" s="206" t="s">
        <v>1099</v>
      </c>
      <c r="B146" s="230">
        <v>45680</v>
      </c>
      <c r="C146" s="206" t="s">
        <v>162</v>
      </c>
      <c r="D146" s="206" t="s">
        <v>1088</v>
      </c>
      <c r="E146" s="206" t="s">
        <v>1089</v>
      </c>
      <c r="F146" s="206" t="s">
        <v>1090</v>
      </c>
      <c r="G146" s="206" t="s">
        <v>64</v>
      </c>
      <c r="H146" s="206" t="s">
        <v>40</v>
      </c>
      <c r="I146" s="206" t="s">
        <v>163</v>
      </c>
      <c r="J146" s="206" t="s">
        <v>496</v>
      </c>
      <c r="K146" s="206" t="s">
        <v>32</v>
      </c>
      <c r="L146" s="206" t="str">
        <f>VLOOKUP(Primary_Order[[#This Row],[Product ID]],SKU[],3,0)</f>
        <v>3000 4T PLUS 10W30</v>
      </c>
      <c r="M146" s="231">
        <v>40</v>
      </c>
      <c r="N146" s="231">
        <v>640</v>
      </c>
      <c r="O146" s="231">
        <v>48</v>
      </c>
      <c r="P146" s="232"/>
      <c r="Q146" s="231">
        <v>0</v>
      </c>
      <c r="R146" s="231">
        <v>640</v>
      </c>
      <c r="S146" s="231">
        <v>40</v>
      </c>
      <c r="T146" s="231">
        <v>48</v>
      </c>
      <c r="U146" s="231">
        <v>25600</v>
      </c>
      <c r="V146" s="231">
        <v>0</v>
      </c>
      <c r="W146" s="231">
        <v>25600</v>
      </c>
      <c r="X146" s="231">
        <v>3339.1304347826085</v>
      </c>
      <c r="Y146" s="231">
        <v>22260.869565217392</v>
      </c>
      <c r="Z146" s="206" t="s">
        <v>882</v>
      </c>
      <c r="AA146" s="206">
        <v>606</v>
      </c>
      <c r="AB146" s="206" t="s">
        <v>641</v>
      </c>
      <c r="AC146" s="230">
        <v>45680</v>
      </c>
      <c r="AD146" s="206" t="s">
        <v>50</v>
      </c>
      <c r="AE146" s="206" t="str">
        <f>IFERROR(VLOOKUP(Primary_Order[[#This Row],[AM]],SP!$E$19:$F$23,2,0),Primary_Order[[#This Row],[AM]])</f>
        <v>Central</v>
      </c>
      <c r="AF146" s="206" t="str">
        <f>VLOOKUP(Primary_Order[[#This Row],[Product ID]],SKU[],10,0)</f>
        <v>Mineral</v>
      </c>
      <c r="AG146" s="206" t="str">
        <f>VLOOKUP(Primary_Order[[#This Row],[Product ID]],SKU[],9,0)</f>
        <v>MCO</v>
      </c>
      <c r="AH146" s="206" t="str">
        <f>VLOOKUP(Primary_Order[[#This Row],[Product ID]],SKU[],12,0)</f>
        <v>10W30</v>
      </c>
      <c r="AI146" s="206" t="str">
        <f>VLOOKUP(Primary_Order[[#This Row],[Product ID]],SKU[],13,0)</f>
        <v>3000</v>
      </c>
      <c r="AJ146" s="233">
        <f>VLOOKUP(Primary_Order[[#This Row],[Product ID]],SKU[[SKU ID]:[Bottle Size(Ltr)]],6,0)*Primary_Order[[#This Row],[Free Quantity]]</f>
        <v>0</v>
      </c>
      <c r="AK146" s="206" t="str">
        <f>VLOOKUP(Primary_Order[[#This Row],[Product ID]],SKU[[SKU ID]:[Bottle Size(Ltr)]],4,0)</f>
        <v>20x1.2L</v>
      </c>
      <c r="AL146" s="231">
        <f>VLOOKUP(Primary_Order[[#This Row],[Product ID]],SKU[],14,0)*Primary_Order[[#This Row],[Total Qty]]</f>
        <v>17556</v>
      </c>
      <c r="AM146" s="231">
        <f>IF(Primary_Order[[#This Row],[Cost]]=0,0,Primary_Order[[#This Row],[Net Total(-15%)]]-Primary_Order[[#This Row],[Cost]])</f>
        <v>4704.8695652173919</v>
      </c>
      <c r="AN146" s="206" t="str">
        <f>"O-"&amp;Primary_Order[[#This Row],[Date]]&amp;"-"&amp;Primary_Order[[#This Row],[MMD ID]]</f>
        <v>O-45680-D-0008</v>
      </c>
      <c r="AO146" s="206" t="str" cm="1">
        <f t="array" ref="AO14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7" spans="1:41" x14ac:dyDescent="0.5">
      <c r="A147" s="206" t="s">
        <v>1099</v>
      </c>
      <c r="B147" s="230">
        <v>45680</v>
      </c>
      <c r="C147" s="206" t="s">
        <v>162</v>
      </c>
      <c r="D147" s="206" t="s">
        <v>1088</v>
      </c>
      <c r="E147" s="206" t="s">
        <v>1089</v>
      </c>
      <c r="F147" s="206" t="s">
        <v>1090</v>
      </c>
      <c r="G147" s="206" t="s">
        <v>64</v>
      </c>
      <c r="H147" s="206" t="s">
        <v>40</v>
      </c>
      <c r="I147" s="206" t="s">
        <v>163</v>
      </c>
      <c r="J147" s="206" t="s">
        <v>496</v>
      </c>
      <c r="K147" s="206" t="s">
        <v>35</v>
      </c>
      <c r="L147" s="206" t="str">
        <f>VLOOKUP(Primary_Order[[#This Row],[Product ID]],SKU[],3,0)</f>
        <v>51004T 10W30 ESTER</v>
      </c>
      <c r="M147" s="231">
        <v>24</v>
      </c>
      <c r="N147" s="231">
        <v>860</v>
      </c>
      <c r="O147" s="231">
        <v>24</v>
      </c>
      <c r="P147" s="232"/>
      <c r="Q147" s="231">
        <v>0</v>
      </c>
      <c r="R147" s="231">
        <v>860</v>
      </c>
      <c r="S147" s="231">
        <v>24</v>
      </c>
      <c r="T147" s="231">
        <v>24</v>
      </c>
      <c r="U147" s="231">
        <v>20640</v>
      </c>
      <c r="V147" s="231">
        <v>0</v>
      </c>
      <c r="W147" s="231">
        <v>20640</v>
      </c>
      <c r="X147" s="231">
        <v>2692.1739130434785</v>
      </c>
      <c r="Y147" s="231">
        <v>17947.82608695652</v>
      </c>
      <c r="Z147" s="206" t="s">
        <v>882</v>
      </c>
      <c r="AA147" s="206">
        <v>606</v>
      </c>
      <c r="AB147" s="206" t="s">
        <v>641</v>
      </c>
      <c r="AC147" s="230">
        <v>45680</v>
      </c>
      <c r="AD147" s="206" t="s">
        <v>50</v>
      </c>
      <c r="AE147" s="206" t="str">
        <f>IFERROR(VLOOKUP(Primary_Order[[#This Row],[AM]],SP!$E$19:$F$23,2,0),Primary_Order[[#This Row],[AM]])</f>
        <v>Central</v>
      </c>
      <c r="AF147" s="206" t="str">
        <f>VLOOKUP(Primary_Order[[#This Row],[Product ID]],SKU[],10,0)</f>
        <v>Technosynthese</v>
      </c>
      <c r="AG147" s="206" t="str">
        <f>VLOOKUP(Primary_Order[[#This Row],[Product ID]],SKU[],9,0)</f>
        <v>MCO</v>
      </c>
      <c r="AH147" s="206" t="str">
        <f>VLOOKUP(Primary_Order[[#This Row],[Product ID]],SKU[],12,0)</f>
        <v>10W30</v>
      </c>
      <c r="AI147" s="206" t="str">
        <f>VLOOKUP(Primary_Order[[#This Row],[Product ID]],SKU[],13,0)</f>
        <v>5100</v>
      </c>
      <c r="AJ147" s="233">
        <f>VLOOKUP(Primary_Order[[#This Row],[Product ID]],SKU[[SKU ID]:[Bottle Size(Ltr)]],6,0)*Primary_Order[[#This Row],[Free Quantity]]</f>
        <v>0</v>
      </c>
      <c r="AK147" s="206" t="str">
        <f>VLOOKUP(Primary_Order[[#This Row],[Product ID]],SKU[[SKU ID]:[Bottle Size(Ltr)]],4,0)</f>
        <v>12x1L</v>
      </c>
      <c r="AL147" s="231">
        <f>VLOOKUP(Primary_Order[[#This Row],[Product ID]],SKU[],14,0)*Primary_Order[[#This Row],[Total Qty]]</f>
        <v>14463.36</v>
      </c>
      <c r="AM147" s="231">
        <f>IF(Primary_Order[[#This Row],[Cost]]=0,0,Primary_Order[[#This Row],[Net Total(-15%)]]-Primary_Order[[#This Row],[Cost]])</f>
        <v>3484.4660869565196</v>
      </c>
      <c r="AN147" s="206" t="str">
        <f>"O-"&amp;Primary_Order[[#This Row],[Date]]&amp;"-"&amp;Primary_Order[[#This Row],[MMD ID]]</f>
        <v>O-45680-D-0008</v>
      </c>
      <c r="AO147" s="206" t="str" cm="1">
        <f t="array" ref="AO14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8" spans="1:41" x14ac:dyDescent="0.5">
      <c r="A148" s="206" t="s">
        <v>1099</v>
      </c>
      <c r="B148" s="230">
        <v>45680</v>
      </c>
      <c r="C148" s="206" t="s">
        <v>162</v>
      </c>
      <c r="D148" s="206" t="s">
        <v>1088</v>
      </c>
      <c r="E148" s="206" t="s">
        <v>1089</v>
      </c>
      <c r="F148" s="206" t="s">
        <v>1090</v>
      </c>
      <c r="G148" s="206" t="s">
        <v>64</v>
      </c>
      <c r="H148" s="206" t="s">
        <v>40</v>
      </c>
      <c r="I148" s="206" t="s">
        <v>163</v>
      </c>
      <c r="J148" s="206" t="s">
        <v>496</v>
      </c>
      <c r="K148" s="206" t="s">
        <v>43</v>
      </c>
      <c r="L148" s="206" t="str">
        <f>VLOOKUP(Primary_Order[[#This Row],[Product ID]],SKU[],3,0)</f>
        <v>7100 4T 10W30 ESTER CORE®</v>
      </c>
      <c r="M148" s="231">
        <v>20</v>
      </c>
      <c r="N148" s="231">
        <v>1260</v>
      </c>
      <c r="O148" s="231">
        <v>24</v>
      </c>
      <c r="P148" s="232"/>
      <c r="Q148" s="231">
        <v>0</v>
      </c>
      <c r="R148" s="231">
        <v>1260</v>
      </c>
      <c r="S148" s="231">
        <v>20</v>
      </c>
      <c r="T148" s="231">
        <v>24</v>
      </c>
      <c r="U148" s="231">
        <v>25200</v>
      </c>
      <c r="V148" s="231">
        <v>0</v>
      </c>
      <c r="W148" s="231">
        <v>25200</v>
      </c>
      <c r="X148" s="231">
        <v>3286.9565217391305</v>
      </c>
      <c r="Y148" s="231">
        <v>21913.043478260868</v>
      </c>
      <c r="Z148" s="206" t="s">
        <v>882</v>
      </c>
      <c r="AA148" s="206">
        <v>606</v>
      </c>
      <c r="AB148" s="206" t="s">
        <v>641</v>
      </c>
      <c r="AC148" s="230">
        <v>45680</v>
      </c>
      <c r="AD148" s="206" t="s">
        <v>50</v>
      </c>
      <c r="AE148" s="206" t="str">
        <f>IFERROR(VLOOKUP(Primary_Order[[#This Row],[AM]],SP!$E$19:$F$23,2,0),Primary_Order[[#This Row],[AM]])</f>
        <v>Central</v>
      </c>
      <c r="AF148" s="206" t="str">
        <f>VLOOKUP(Primary_Order[[#This Row],[Product ID]],SKU[],10,0)</f>
        <v>Synthetic</v>
      </c>
      <c r="AG148" s="206" t="str">
        <f>VLOOKUP(Primary_Order[[#This Row],[Product ID]],SKU[],9,0)</f>
        <v>MCO</v>
      </c>
      <c r="AH148" s="206" t="str">
        <f>VLOOKUP(Primary_Order[[#This Row],[Product ID]],SKU[],12,0)</f>
        <v>10W30</v>
      </c>
      <c r="AI148" s="206" t="str">
        <f>VLOOKUP(Primary_Order[[#This Row],[Product ID]],SKU[],13,0)</f>
        <v>7100</v>
      </c>
      <c r="AJ148" s="233">
        <f>VLOOKUP(Primary_Order[[#This Row],[Product ID]],SKU[[SKU ID]:[Bottle Size(Ltr)]],6,0)*Primary_Order[[#This Row],[Free Quantity]]</f>
        <v>0</v>
      </c>
      <c r="AK148" s="206" t="str">
        <f>VLOOKUP(Primary_Order[[#This Row],[Product ID]],SKU[[SKU ID]:[Bottle Size(Ltr)]],4,0)</f>
        <v>20x1.2L</v>
      </c>
      <c r="AL148" s="231">
        <f>VLOOKUP(Primary_Order[[#This Row],[Product ID]],SKU[],14,0)*Primary_Order[[#This Row],[Total Qty]]</f>
        <v>15546</v>
      </c>
      <c r="AM148" s="231">
        <f>IF(Primary_Order[[#This Row],[Cost]]=0,0,Primary_Order[[#This Row],[Net Total(-15%)]]-Primary_Order[[#This Row],[Cost]])</f>
        <v>6367.0434782608681</v>
      </c>
      <c r="AN148" s="206" t="str">
        <f>"O-"&amp;Primary_Order[[#This Row],[Date]]&amp;"-"&amp;Primary_Order[[#This Row],[MMD ID]]</f>
        <v>O-45680-D-0008</v>
      </c>
      <c r="AO148" s="206" t="str" cm="1">
        <f t="array" ref="AO14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49" spans="1:41" x14ac:dyDescent="0.5">
      <c r="A149" s="206" t="s">
        <v>1101</v>
      </c>
      <c r="B149" s="230">
        <v>45680</v>
      </c>
      <c r="C149" s="206" t="s">
        <v>162</v>
      </c>
      <c r="D149" s="206" t="s">
        <v>1088</v>
      </c>
      <c r="E149" s="206" t="s">
        <v>1089</v>
      </c>
      <c r="F149" s="206" t="s">
        <v>1090</v>
      </c>
      <c r="G149" s="206" t="s">
        <v>64</v>
      </c>
      <c r="H149" s="206" t="s">
        <v>40</v>
      </c>
      <c r="I149" s="206" t="s">
        <v>163</v>
      </c>
      <c r="J149" s="206" t="s">
        <v>496</v>
      </c>
      <c r="K149" s="206" t="s">
        <v>77</v>
      </c>
      <c r="L149" s="206" t="str">
        <f>VLOOKUP(Primary_Order[[#This Row],[Product ID]],SKU[],3,0)</f>
        <v>31004T GOLD 10W30</v>
      </c>
      <c r="M149" s="231">
        <v>40</v>
      </c>
      <c r="N149" s="231">
        <v>0</v>
      </c>
      <c r="O149" s="231">
        <v>40</v>
      </c>
      <c r="P149" s="232"/>
      <c r="Q149" s="231">
        <v>0</v>
      </c>
      <c r="R149" s="231">
        <v>0</v>
      </c>
      <c r="S149" s="231">
        <v>40</v>
      </c>
      <c r="T149" s="231">
        <v>40</v>
      </c>
      <c r="U149" s="231">
        <v>0</v>
      </c>
      <c r="V149" s="231">
        <v>0</v>
      </c>
      <c r="W149" s="231">
        <v>0</v>
      </c>
      <c r="X149" s="231">
        <v>0</v>
      </c>
      <c r="Y149" s="231">
        <v>0</v>
      </c>
      <c r="Z149" s="206" t="s">
        <v>1100</v>
      </c>
      <c r="AA149" s="206">
        <v>607</v>
      </c>
      <c r="AB149" s="206" t="s">
        <v>641</v>
      </c>
      <c r="AC149" s="230">
        <v>45680</v>
      </c>
      <c r="AD149" s="206" t="s">
        <v>1102</v>
      </c>
      <c r="AE149" s="206" t="str">
        <f>IFERROR(VLOOKUP(Primary_Order[[#This Row],[AM]],SP!$E$19:$F$23,2,0),Primary_Order[[#This Row],[AM]])</f>
        <v>Central</v>
      </c>
      <c r="AF149" s="206" t="str">
        <f>VLOOKUP(Primary_Order[[#This Row],[Product ID]],SKU[],10,0)</f>
        <v>Technosynthese</v>
      </c>
      <c r="AG149" s="206" t="str">
        <f>VLOOKUP(Primary_Order[[#This Row],[Product ID]],SKU[],9,0)</f>
        <v>MCO</v>
      </c>
      <c r="AH149" s="206" t="str">
        <f>VLOOKUP(Primary_Order[[#This Row],[Product ID]],SKU[],12,0)</f>
        <v>10W30</v>
      </c>
      <c r="AI149" s="206" t="str">
        <f>VLOOKUP(Primary_Order[[#This Row],[Product ID]],SKU[],13,0)</f>
        <v>3100</v>
      </c>
      <c r="AJ149" s="233">
        <f>VLOOKUP(Primary_Order[[#This Row],[Product ID]],SKU[[SKU ID]:[Bottle Size(Ltr)]],6,0)*Primary_Order[[#This Row],[Free Quantity]]</f>
        <v>0</v>
      </c>
      <c r="AK149" s="206" t="str">
        <f>VLOOKUP(Primary_Order[[#This Row],[Product ID]],SKU[[SKU ID]:[Bottle Size(Ltr)]],4,0)</f>
        <v>20x1L</v>
      </c>
      <c r="AL149" s="231">
        <f>VLOOKUP(Primary_Order[[#This Row],[Product ID]],SKU[],14,0)*Primary_Order[[#This Row],[Total Qty]]</f>
        <v>17004</v>
      </c>
      <c r="AM149" s="231">
        <f>IF(Primary_Order[[#This Row],[Cost]]=0,0,Primary_Order[[#This Row],[Net Total(-15%)]]-Primary_Order[[#This Row],[Cost]])</f>
        <v>-17004</v>
      </c>
      <c r="AN149" s="206" t="str">
        <f>"O-"&amp;Primary_Order[[#This Row],[Date]]&amp;"-"&amp;Primary_Order[[#This Row],[MMD ID]]</f>
        <v>O-45680-D-0008</v>
      </c>
      <c r="AO149" s="206" t="str" cm="1">
        <f t="array" ref="AO14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0" spans="1:41" x14ac:dyDescent="0.5">
      <c r="A150" s="206" t="s">
        <v>1105</v>
      </c>
      <c r="B150" s="230">
        <v>45677</v>
      </c>
      <c r="C150" s="206" t="s">
        <v>90</v>
      </c>
      <c r="D150" s="206" t="s">
        <v>91</v>
      </c>
      <c r="E150" s="206" t="s">
        <v>1027</v>
      </c>
      <c r="F150" s="206" t="s">
        <v>1028</v>
      </c>
      <c r="G150" s="206" t="s">
        <v>39</v>
      </c>
      <c r="H150" s="206" t="s">
        <v>40</v>
      </c>
      <c r="I150" s="206" t="s">
        <v>91</v>
      </c>
      <c r="J150" s="206" t="s">
        <v>93</v>
      </c>
      <c r="K150" s="206" t="s">
        <v>31</v>
      </c>
      <c r="L150" s="206" t="str">
        <f>VLOOKUP(Primary_Order[[#This Row],[Product ID]],SKU[],3,0)</f>
        <v>3000 4T PLUS 10W30</v>
      </c>
      <c r="M150" s="231">
        <v>300</v>
      </c>
      <c r="N150" s="231">
        <v>528</v>
      </c>
      <c r="O150" s="231">
        <v>300</v>
      </c>
      <c r="P150" s="232"/>
      <c r="Q150" s="231">
        <v>0</v>
      </c>
      <c r="R150" s="231">
        <v>528</v>
      </c>
      <c r="S150" s="231">
        <v>300</v>
      </c>
      <c r="T150" s="231">
        <v>300</v>
      </c>
      <c r="U150" s="231">
        <v>158400</v>
      </c>
      <c r="V150" s="231">
        <v>0</v>
      </c>
      <c r="W150" s="231">
        <v>158400</v>
      </c>
      <c r="X150" s="231">
        <v>20660.869565217392</v>
      </c>
      <c r="Y150" s="231">
        <v>137739.13043478262</v>
      </c>
      <c r="Z150" s="206" t="s">
        <v>882</v>
      </c>
      <c r="AA150" s="206">
        <v>608</v>
      </c>
      <c r="AB150" s="206" t="s">
        <v>641</v>
      </c>
      <c r="AC150" s="230">
        <v>45683</v>
      </c>
      <c r="AD150" s="206" t="s">
        <v>1029</v>
      </c>
      <c r="AE150" s="206" t="str">
        <f>IFERROR(VLOOKUP(Primary_Order[[#This Row],[AM]],SP!$E$19:$F$23,2,0),Primary_Order[[#This Row],[AM]])</f>
        <v>Central</v>
      </c>
      <c r="AF150" s="206" t="str">
        <f>VLOOKUP(Primary_Order[[#This Row],[Product ID]],SKU[],10,0)</f>
        <v>Mineral</v>
      </c>
      <c r="AG150" s="206" t="str">
        <f>VLOOKUP(Primary_Order[[#This Row],[Product ID]],SKU[],9,0)</f>
        <v>MCO</v>
      </c>
      <c r="AH150" s="206" t="str">
        <f>VLOOKUP(Primary_Order[[#This Row],[Product ID]],SKU[],12,0)</f>
        <v>10W30</v>
      </c>
      <c r="AI150" s="206" t="str">
        <f>VLOOKUP(Primary_Order[[#This Row],[Product ID]],SKU[],13,0)</f>
        <v>3000</v>
      </c>
      <c r="AJ150" s="233">
        <f>VLOOKUP(Primary_Order[[#This Row],[Product ID]],SKU[[SKU ID]:[Bottle Size(Ltr)]],6,0)*Primary_Order[[#This Row],[Free Quantity]]</f>
        <v>0</v>
      </c>
      <c r="AK150" s="206" t="str">
        <f>VLOOKUP(Primary_Order[[#This Row],[Product ID]],SKU[[SKU ID]:[Bottle Size(Ltr)]],4,0)</f>
        <v>20x1L</v>
      </c>
      <c r="AL150" s="231">
        <f>VLOOKUP(Primary_Order[[#This Row],[Product ID]],SKU[],14,0)*Primary_Order[[#This Row],[Total Qty]]</f>
        <v>113799</v>
      </c>
      <c r="AM150" s="231">
        <f>IF(Primary_Order[[#This Row],[Cost]]=0,0,Primary_Order[[#This Row],[Net Total(-15%)]]-Primary_Order[[#This Row],[Cost]])</f>
        <v>23940.130434782623</v>
      </c>
      <c r="AN150" s="206" t="str">
        <f>"O-"&amp;Primary_Order[[#This Row],[Date]]&amp;"-"&amp;Primary_Order[[#This Row],[MMD ID]]</f>
        <v>O-45677-D-0006</v>
      </c>
      <c r="AO150" s="206" t="str" cm="1">
        <f t="array" ref="AO15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1" spans="1:41" x14ac:dyDescent="0.5">
      <c r="A151" s="206" t="s">
        <v>1105</v>
      </c>
      <c r="B151" s="230">
        <v>45677</v>
      </c>
      <c r="C151" s="206" t="s">
        <v>90</v>
      </c>
      <c r="D151" s="206" t="s">
        <v>91</v>
      </c>
      <c r="E151" s="206" t="s">
        <v>1027</v>
      </c>
      <c r="F151" s="206" t="s">
        <v>1028</v>
      </c>
      <c r="G151" s="206" t="s">
        <v>39</v>
      </c>
      <c r="H151" s="206" t="s">
        <v>40</v>
      </c>
      <c r="I151" s="206" t="s">
        <v>91</v>
      </c>
      <c r="J151" s="206" t="s">
        <v>93</v>
      </c>
      <c r="K151" s="206" t="s">
        <v>53</v>
      </c>
      <c r="L151" s="206" t="str">
        <f>VLOOKUP(Primary_Order[[#This Row],[Product ID]],SKU[],3,0)</f>
        <v>3000 4T PLUS 20W40</v>
      </c>
      <c r="M151" s="231">
        <v>100</v>
      </c>
      <c r="N151" s="231">
        <v>528</v>
      </c>
      <c r="O151" s="231">
        <v>100</v>
      </c>
      <c r="P151" s="232"/>
      <c r="Q151" s="231">
        <v>0</v>
      </c>
      <c r="R151" s="231">
        <v>528</v>
      </c>
      <c r="S151" s="231">
        <v>100</v>
      </c>
      <c r="T151" s="231">
        <v>100</v>
      </c>
      <c r="U151" s="231">
        <v>52800</v>
      </c>
      <c r="V151" s="231">
        <v>0</v>
      </c>
      <c r="W151" s="231">
        <v>52800</v>
      </c>
      <c r="X151" s="231">
        <v>6886.95652173913</v>
      </c>
      <c r="Y151" s="231">
        <v>45913.043478260872</v>
      </c>
      <c r="Z151" s="206" t="s">
        <v>882</v>
      </c>
      <c r="AA151" s="206">
        <v>608</v>
      </c>
      <c r="AB151" s="206" t="s">
        <v>641</v>
      </c>
      <c r="AC151" s="230">
        <v>45683</v>
      </c>
      <c r="AD151" s="206" t="s">
        <v>1029</v>
      </c>
      <c r="AE151" s="206" t="str">
        <f>IFERROR(VLOOKUP(Primary_Order[[#This Row],[AM]],SP!$E$19:$F$23,2,0),Primary_Order[[#This Row],[AM]])</f>
        <v>Central</v>
      </c>
      <c r="AF151" s="206" t="str">
        <f>VLOOKUP(Primary_Order[[#This Row],[Product ID]],SKU[],10,0)</f>
        <v>Mineral</v>
      </c>
      <c r="AG151" s="206" t="str">
        <f>VLOOKUP(Primary_Order[[#This Row],[Product ID]],SKU[],9,0)</f>
        <v>MCO</v>
      </c>
      <c r="AH151" s="206" t="str">
        <f>VLOOKUP(Primary_Order[[#This Row],[Product ID]],SKU[],12,0)</f>
        <v>20W40</v>
      </c>
      <c r="AI151" s="206" t="str">
        <f>VLOOKUP(Primary_Order[[#This Row],[Product ID]],SKU[],13,0)</f>
        <v>3000</v>
      </c>
      <c r="AJ151" s="233">
        <f>VLOOKUP(Primary_Order[[#This Row],[Product ID]],SKU[[SKU ID]:[Bottle Size(Ltr)]],6,0)*Primary_Order[[#This Row],[Free Quantity]]</f>
        <v>0</v>
      </c>
      <c r="AK151" s="206" t="str">
        <f>VLOOKUP(Primary_Order[[#This Row],[Product ID]],SKU[[SKU ID]:[Bottle Size(Ltr)]],4,0)</f>
        <v>20x1L</v>
      </c>
      <c r="AL151" s="231">
        <f>VLOOKUP(Primary_Order[[#This Row],[Product ID]],SKU[],14,0)*Primary_Order[[#This Row],[Total Qty]]</f>
        <v>41276</v>
      </c>
      <c r="AM151" s="231">
        <f>IF(Primary_Order[[#This Row],[Cost]]=0,0,Primary_Order[[#This Row],[Net Total(-15%)]]-Primary_Order[[#This Row],[Cost]])</f>
        <v>4637.0434782608718</v>
      </c>
      <c r="AN151" s="206" t="str">
        <f>"O-"&amp;Primary_Order[[#This Row],[Date]]&amp;"-"&amp;Primary_Order[[#This Row],[MMD ID]]</f>
        <v>O-45677-D-0006</v>
      </c>
      <c r="AO151" s="206" t="str" cm="1">
        <f t="array" ref="AO15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2" spans="1:41" x14ac:dyDescent="0.5">
      <c r="A152" s="206" t="s">
        <v>1105</v>
      </c>
      <c r="B152" s="230">
        <v>45677</v>
      </c>
      <c r="C152" s="206" t="s">
        <v>90</v>
      </c>
      <c r="D152" s="206" t="s">
        <v>91</v>
      </c>
      <c r="E152" s="206" t="s">
        <v>1027</v>
      </c>
      <c r="F152" s="206" t="s">
        <v>1028</v>
      </c>
      <c r="G152" s="206" t="s">
        <v>39</v>
      </c>
      <c r="H152" s="206" t="s">
        <v>40</v>
      </c>
      <c r="I152" s="206" t="s">
        <v>91</v>
      </c>
      <c r="J152" s="206" t="s">
        <v>93</v>
      </c>
      <c r="K152" s="206" t="s">
        <v>54</v>
      </c>
      <c r="L152" s="206" t="str">
        <f>VLOOKUP(Primary_Order[[#This Row],[Product ID]],SKU[],3,0)</f>
        <v>3000 4T PLUS 10W40</v>
      </c>
      <c r="M152" s="231">
        <v>600</v>
      </c>
      <c r="N152" s="231">
        <v>533</v>
      </c>
      <c r="O152" s="231">
        <v>600</v>
      </c>
      <c r="P152" s="232"/>
      <c r="Q152" s="231">
        <v>0</v>
      </c>
      <c r="R152" s="231">
        <v>533</v>
      </c>
      <c r="S152" s="231">
        <v>600</v>
      </c>
      <c r="T152" s="231">
        <v>600</v>
      </c>
      <c r="U152" s="231">
        <v>319800</v>
      </c>
      <c r="V152" s="231">
        <v>0</v>
      </c>
      <c r="W152" s="231">
        <v>319800</v>
      </c>
      <c r="X152" s="231">
        <v>41713.043478260872</v>
      </c>
      <c r="Y152" s="231">
        <v>278086.95652173914</v>
      </c>
      <c r="Z152" s="206" t="s">
        <v>882</v>
      </c>
      <c r="AA152" s="206">
        <v>608</v>
      </c>
      <c r="AB152" s="206" t="s">
        <v>641</v>
      </c>
      <c r="AC152" s="230">
        <v>45683</v>
      </c>
      <c r="AD152" s="206" t="s">
        <v>1029</v>
      </c>
      <c r="AE152" s="206" t="str">
        <f>IFERROR(VLOOKUP(Primary_Order[[#This Row],[AM]],SP!$E$19:$F$23,2,0),Primary_Order[[#This Row],[AM]])</f>
        <v>Central</v>
      </c>
      <c r="AF152" s="206" t="str">
        <f>VLOOKUP(Primary_Order[[#This Row],[Product ID]],SKU[],10,0)</f>
        <v>Mineral</v>
      </c>
      <c r="AG152" s="206" t="str">
        <f>VLOOKUP(Primary_Order[[#This Row],[Product ID]],SKU[],9,0)</f>
        <v>MCO</v>
      </c>
      <c r="AH152" s="206" t="str">
        <f>VLOOKUP(Primary_Order[[#This Row],[Product ID]],SKU[],12,0)</f>
        <v>10W40</v>
      </c>
      <c r="AI152" s="206" t="str">
        <f>VLOOKUP(Primary_Order[[#This Row],[Product ID]],SKU[],13,0)</f>
        <v>3000</v>
      </c>
      <c r="AJ152" s="233">
        <f>VLOOKUP(Primary_Order[[#This Row],[Product ID]],SKU[[SKU ID]:[Bottle Size(Ltr)]],6,0)*Primary_Order[[#This Row],[Free Quantity]]</f>
        <v>0</v>
      </c>
      <c r="AK152" s="206" t="str">
        <f>VLOOKUP(Primary_Order[[#This Row],[Product ID]],SKU[[SKU ID]:[Bottle Size(Ltr)]],4,0)</f>
        <v>20x1L</v>
      </c>
      <c r="AL152" s="231">
        <f>VLOOKUP(Primary_Order[[#This Row],[Product ID]],SKU[],14,0)*Primary_Order[[#This Row],[Total Qty]]</f>
        <v>230910</v>
      </c>
      <c r="AM152" s="231">
        <f>IF(Primary_Order[[#This Row],[Cost]]=0,0,Primary_Order[[#This Row],[Net Total(-15%)]]-Primary_Order[[#This Row],[Cost]])</f>
        <v>47176.956521739135</v>
      </c>
      <c r="AN152" s="206" t="str">
        <f>"O-"&amp;Primary_Order[[#This Row],[Date]]&amp;"-"&amp;Primary_Order[[#This Row],[MMD ID]]</f>
        <v>O-45677-D-0006</v>
      </c>
      <c r="AO152" s="206" t="str" cm="1">
        <f t="array" ref="AO15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3" spans="1:41" x14ac:dyDescent="0.5">
      <c r="A153" s="206" t="s">
        <v>1105</v>
      </c>
      <c r="B153" s="230">
        <v>45677</v>
      </c>
      <c r="C153" s="206" t="s">
        <v>90</v>
      </c>
      <c r="D153" s="206" t="s">
        <v>91</v>
      </c>
      <c r="E153" s="206" t="s">
        <v>1027</v>
      </c>
      <c r="F153" s="206" t="s">
        <v>1028</v>
      </c>
      <c r="G153" s="206" t="s">
        <v>39</v>
      </c>
      <c r="H153" s="206" t="s">
        <v>40</v>
      </c>
      <c r="I153" s="206" t="s">
        <v>91</v>
      </c>
      <c r="J153" s="206" t="s">
        <v>93</v>
      </c>
      <c r="K153" s="206" t="s">
        <v>81</v>
      </c>
      <c r="L153" s="206" t="str">
        <f>VLOOKUP(Primary_Order[[#This Row],[Product ID]],SKU[],3,0)</f>
        <v>3000 4T 20W50</v>
      </c>
      <c r="M153" s="231">
        <v>200</v>
      </c>
      <c r="N153" s="231">
        <v>493</v>
      </c>
      <c r="O153" s="231">
        <v>200</v>
      </c>
      <c r="P153" s="232"/>
      <c r="Q153" s="231">
        <v>0</v>
      </c>
      <c r="R153" s="231">
        <v>493</v>
      </c>
      <c r="S153" s="231">
        <v>200</v>
      </c>
      <c r="T153" s="231">
        <v>200</v>
      </c>
      <c r="U153" s="231">
        <v>98600</v>
      </c>
      <c r="V153" s="231">
        <v>0</v>
      </c>
      <c r="W153" s="231">
        <v>98600</v>
      </c>
      <c r="X153" s="231">
        <v>12860.869565217392</v>
      </c>
      <c r="Y153" s="231">
        <v>85739.130434782608</v>
      </c>
      <c r="Z153" s="206" t="s">
        <v>882</v>
      </c>
      <c r="AA153" s="206">
        <v>608</v>
      </c>
      <c r="AB153" s="206" t="s">
        <v>641</v>
      </c>
      <c r="AC153" s="230">
        <v>45683</v>
      </c>
      <c r="AD153" s="206" t="s">
        <v>1029</v>
      </c>
      <c r="AE153" s="206" t="str">
        <f>IFERROR(VLOOKUP(Primary_Order[[#This Row],[AM]],SP!$E$19:$F$23,2,0),Primary_Order[[#This Row],[AM]])</f>
        <v>Central</v>
      </c>
      <c r="AF153" s="206" t="str">
        <f>VLOOKUP(Primary_Order[[#This Row],[Product ID]],SKU[],10,0)</f>
        <v>Mineral</v>
      </c>
      <c r="AG153" s="206" t="str">
        <f>VLOOKUP(Primary_Order[[#This Row],[Product ID]],SKU[],9,0)</f>
        <v>MCO</v>
      </c>
      <c r="AH153" s="206" t="str">
        <f>VLOOKUP(Primary_Order[[#This Row],[Product ID]],SKU[],12,0)</f>
        <v>20W50</v>
      </c>
      <c r="AI153" s="206" t="str">
        <f>VLOOKUP(Primary_Order[[#This Row],[Product ID]],SKU[],13,0)</f>
        <v>3000</v>
      </c>
      <c r="AJ153" s="233">
        <f>VLOOKUP(Primary_Order[[#This Row],[Product ID]],SKU[[SKU ID]:[Bottle Size(Ltr)]],6,0)*Primary_Order[[#This Row],[Free Quantity]]</f>
        <v>0</v>
      </c>
      <c r="AK153" s="206" t="str">
        <f>VLOOKUP(Primary_Order[[#This Row],[Product ID]],SKU[[SKU ID]:[Bottle Size(Ltr)]],4,0)</f>
        <v>20x1L</v>
      </c>
      <c r="AL153" s="231">
        <f>VLOOKUP(Primary_Order[[#This Row],[Product ID]],SKU[],14,0)*Primary_Order[[#This Row],[Total Qty]]</f>
        <v>72984</v>
      </c>
      <c r="AM153" s="231">
        <f>IF(Primary_Order[[#This Row],[Cost]]=0,0,Primary_Order[[#This Row],[Net Total(-15%)]]-Primary_Order[[#This Row],[Cost]])</f>
        <v>12755.130434782608</v>
      </c>
      <c r="AN153" s="206" t="str">
        <f>"O-"&amp;Primary_Order[[#This Row],[Date]]&amp;"-"&amp;Primary_Order[[#This Row],[MMD ID]]</f>
        <v>O-45677-D-0006</v>
      </c>
      <c r="AO153" s="206" t="str" cm="1">
        <f t="array" ref="AO15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4" spans="1:41" x14ac:dyDescent="0.5">
      <c r="A154" s="206" t="s">
        <v>1106</v>
      </c>
      <c r="B154" s="230">
        <v>45680</v>
      </c>
      <c r="C154" s="206" t="s">
        <v>108</v>
      </c>
      <c r="D154" s="206" t="s">
        <v>1096</v>
      </c>
      <c r="E154" s="206" t="s">
        <v>1097</v>
      </c>
      <c r="F154" s="206">
        <v>1737144950</v>
      </c>
      <c r="G154" s="206" t="s">
        <v>280</v>
      </c>
      <c r="H154" s="206" t="s">
        <v>84</v>
      </c>
      <c r="I154" s="206" t="s">
        <v>109</v>
      </c>
      <c r="J154" s="206" t="s">
        <v>282</v>
      </c>
      <c r="K154" s="206" t="s">
        <v>54</v>
      </c>
      <c r="L154" s="206" t="str">
        <f>VLOOKUP(Primary_Order[[#This Row],[Product ID]],SKU[],3,0)</f>
        <v>3000 4T PLUS 10W40</v>
      </c>
      <c r="M154" s="231">
        <v>400</v>
      </c>
      <c r="N154" s="231">
        <v>535</v>
      </c>
      <c r="O154" s="231">
        <v>400</v>
      </c>
      <c r="P154" s="232"/>
      <c r="Q154" s="231">
        <v>0</v>
      </c>
      <c r="R154" s="231">
        <v>535</v>
      </c>
      <c r="S154" s="231">
        <v>400</v>
      </c>
      <c r="T154" s="231">
        <v>400</v>
      </c>
      <c r="U154" s="231">
        <v>214000</v>
      </c>
      <c r="V154" s="231">
        <v>0</v>
      </c>
      <c r="W154" s="231">
        <v>214000</v>
      </c>
      <c r="X154" s="231">
        <v>27913.043478260868</v>
      </c>
      <c r="Y154" s="231">
        <v>186086.95652173914</v>
      </c>
      <c r="Z154" s="206" t="s">
        <v>882</v>
      </c>
      <c r="AA154" s="206">
        <v>609</v>
      </c>
      <c r="AB154" s="206" t="s">
        <v>641</v>
      </c>
      <c r="AC154" s="230">
        <v>45683</v>
      </c>
      <c r="AD154" s="206" t="s">
        <v>50</v>
      </c>
      <c r="AE154" s="206" t="str">
        <f>IFERROR(VLOOKUP(Primary_Order[[#This Row],[AM]],SP!$E$19:$F$23,2,0),Primary_Order[[#This Row],[AM]])</f>
        <v>Northern</v>
      </c>
      <c r="AF154" s="206" t="str">
        <f>VLOOKUP(Primary_Order[[#This Row],[Product ID]],SKU[],10,0)</f>
        <v>Mineral</v>
      </c>
      <c r="AG154" s="206" t="str">
        <f>VLOOKUP(Primary_Order[[#This Row],[Product ID]],SKU[],9,0)</f>
        <v>MCO</v>
      </c>
      <c r="AH154" s="206" t="str">
        <f>VLOOKUP(Primary_Order[[#This Row],[Product ID]],SKU[],12,0)</f>
        <v>10W40</v>
      </c>
      <c r="AI154" s="206" t="str">
        <f>VLOOKUP(Primary_Order[[#This Row],[Product ID]],SKU[],13,0)</f>
        <v>3000</v>
      </c>
      <c r="AJ154" s="233">
        <f>VLOOKUP(Primary_Order[[#This Row],[Product ID]],SKU[[SKU ID]:[Bottle Size(Ltr)]],6,0)*Primary_Order[[#This Row],[Free Quantity]]</f>
        <v>0</v>
      </c>
      <c r="AK154" s="206" t="str">
        <f>VLOOKUP(Primary_Order[[#This Row],[Product ID]],SKU[[SKU ID]:[Bottle Size(Ltr)]],4,0)</f>
        <v>20x1L</v>
      </c>
      <c r="AL154" s="231">
        <f>VLOOKUP(Primary_Order[[#This Row],[Product ID]],SKU[],14,0)*Primary_Order[[#This Row],[Total Qty]]</f>
        <v>153940</v>
      </c>
      <c r="AM154" s="231">
        <f>IF(Primary_Order[[#This Row],[Cost]]=0,0,Primary_Order[[#This Row],[Net Total(-15%)]]-Primary_Order[[#This Row],[Cost]])</f>
        <v>32146.956521739135</v>
      </c>
      <c r="AN154" s="206" t="str">
        <f>"O-"&amp;Primary_Order[[#This Row],[Date]]&amp;"-"&amp;Primary_Order[[#This Row],[MMD ID]]</f>
        <v>O-45680-D-0023</v>
      </c>
      <c r="AO154" s="206" t="str" cm="1">
        <f t="array" ref="AO15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5" spans="1:41" x14ac:dyDescent="0.5">
      <c r="A155" s="206" t="s">
        <v>1106</v>
      </c>
      <c r="B155" s="230">
        <v>45680</v>
      </c>
      <c r="C155" s="206" t="s">
        <v>108</v>
      </c>
      <c r="D155" s="206" t="s">
        <v>1096</v>
      </c>
      <c r="E155" s="206" t="s">
        <v>1097</v>
      </c>
      <c r="F155" s="206">
        <v>1737144950</v>
      </c>
      <c r="G155" s="206" t="s">
        <v>280</v>
      </c>
      <c r="H155" s="206" t="s">
        <v>84</v>
      </c>
      <c r="I155" s="206" t="s">
        <v>109</v>
      </c>
      <c r="J155" s="206" t="s">
        <v>282</v>
      </c>
      <c r="K155" s="206" t="s">
        <v>56</v>
      </c>
      <c r="L155" s="206" t="str">
        <f>VLOOKUP(Primary_Order[[#This Row],[Product ID]],SKU[],3,0)</f>
        <v>7100 4T 10W30 ESTER CORE®</v>
      </c>
      <c r="M155" s="231">
        <v>24</v>
      </c>
      <c r="N155" s="231">
        <v>1060</v>
      </c>
      <c r="O155" s="231">
        <v>24</v>
      </c>
      <c r="P155" s="232"/>
      <c r="Q155" s="231">
        <v>0</v>
      </c>
      <c r="R155" s="231">
        <v>1060</v>
      </c>
      <c r="S155" s="231">
        <v>24</v>
      </c>
      <c r="T155" s="231">
        <v>24</v>
      </c>
      <c r="U155" s="231">
        <v>25440</v>
      </c>
      <c r="V155" s="231">
        <v>0</v>
      </c>
      <c r="W155" s="231">
        <v>25440</v>
      </c>
      <c r="X155" s="231">
        <v>3318.2608695652175</v>
      </c>
      <c r="Y155" s="231">
        <v>22121.739130434784</v>
      </c>
      <c r="Z155" s="206" t="s">
        <v>882</v>
      </c>
      <c r="AA155" s="206">
        <v>609</v>
      </c>
      <c r="AB155" s="206" t="s">
        <v>641</v>
      </c>
      <c r="AC155" s="230">
        <v>45683</v>
      </c>
      <c r="AD155" s="206" t="s">
        <v>50</v>
      </c>
      <c r="AE155" s="206" t="str">
        <f>IFERROR(VLOOKUP(Primary_Order[[#This Row],[AM]],SP!$E$19:$F$23,2,0),Primary_Order[[#This Row],[AM]])</f>
        <v>Northern</v>
      </c>
      <c r="AF155" s="206" t="str">
        <f>VLOOKUP(Primary_Order[[#This Row],[Product ID]],SKU[],10,0)</f>
        <v>Synthetic</v>
      </c>
      <c r="AG155" s="206" t="str">
        <f>VLOOKUP(Primary_Order[[#This Row],[Product ID]],SKU[],9,0)</f>
        <v>MCO</v>
      </c>
      <c r="AH155" s="206" t="str">
        <f>VLOOKUP(Primary_Order[[#This Row],[Product ID]],SKU[],12,0)</f>
        <v>10W30</v>
      </c>
      <c r="AI155" s="206" t="str">
        <f>VLOOKUP(Primary_Order[[#This Row],[Product ID]],SKU[],13,0)</f>
        <v>7100</v>
      </c>
      <c r="AJ155" s="233">
        <f>VLOOKUP(Primary_Order[[#This Row],[Product ID]],SKU[[SKU ID]:[Bottle Size(Ltr)]],6,0)*Primary_Order[[#This Row],[Free Quantity]]</f>
        <v>0</v>
      </c>
      <c r="AK155" s="206" t="str">
        <f>VLOOKUP(Primary_Order[[#This Row],[Product ID]],SKU[[SKU ID]:[Bottle Size(Ltr)]],4,0)</f>
        <v>12x1L</v>
      </c>
      <c r="AL155" s="231">
        <f>VLOOKUP(Primary_Order[[#This Row],[Product ID]],SKU[],14,0)*Primary_Order[[#This Row],[Total Qty]]</f>
        <v>16556.64</v>
      </c>
      <c r="AM155" s="231">
        <f>IF(Primary_Order[[#This Row],[Cost]]=0,0,Primary_Order[[#This Row],[Net Total(-15%)]]-Primary_Order[[#This Row],[Cost]])</f>
        <v>5565.0991304347845</v>
      </c>
      <c r="AN155" s="206" t="str">
        <f>"O-"&amp;Primary_Order[[#This Row],[Date]]&amp;"-"&amp;Primary_Order[[#This Row],[MMD ID]]</f>
        <v>O-45680-D-0023</v>
      </c>
      <c r="AO155" s="206" t="str" cm="1">
        <f t="array" ref="AO15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6" spans="1:41" x14ac:dyDescent="0.5">
      <c r="A156" s="206" t="s">
        <v>1106</v>
      </c>
      <c r="B156" s="230">
        <v>45680</v>
      </c>
      <c r="C156" s="206" t="s">
        <v>108</v>
      </c>
      <c r="D156" s="206" t="s">
        <v>1096</v>
      </c>
      <c r="E156" s="206" t="s">
        <v>1097</v>
      </c>
      <c r="F156" s="206">
        <v>1737144950</v>
      </c>
      <c r="G156" s="206" t="s">
        <v>280</v>
      </c>
      <c r="H156" s="206" t="s">
        <v>84</v>
      </c>
      <c r="I156" s="206" t="s">
        <v>109</v>
      </c>
      <c r="J156" s="206" t="s">
        <v>282</v>
      </c>
      <c r="K156" s="206" t="s">
        <v>58</v>
      </c>
      <c r="L156" s="206" t="str">
        <f>VLOOKUP(Primary_Order[[#This Row],[Product ID]],SKU[],3,0)</f>
        <v>7100 4T 20W50 ESTER CORE®</v>
      </c>
      <c r="M156" s="231">
        <v>24</v>
      </c>
      <c r="N156" s="231">
        <v>1070</v>
      </c>
      <c r="O156" s="231">
        <v>24</v>
      </c>
      <c r="P156" s="232"/>
      <c r="Q156" s="231">
        <v>0</v>
      </c>
      <c r="R156" s="231">
        <v>1070</v>
      </c>
      <c r="S156" s="231">
        <v>24</v>
      </c>
      <c r="T156" s="231">
        <v>24</v>
      </c>
      <c r="U156" s="231">
        <v>25680</v>
      </c>
      <c r="V156" s="231">
        <v>0</v>
      </c>
      <c r="W156" s="231">
        <v>25680</v>
      </c>
      <c r="X156" s="231">
        <v>3349.5652173913045</v>
      </c>
      <c r="Y156" s="231">
        <v>22330.434782608696</v>
      </c>
      <c r="Z156" s="206" t="s">
        <v>882</v>
      </c>
      <c r="AA156" s="206">
        <v>609</v>
      </c>
      <c r="AB156" s="206" t="s">
        <v>641</v>
      </c>
      <c r="AC156" s="230">
        <v>45683</v>
      </c>
      <c r="AD156" s="206" t="s">
        <v>50</v>
      </c>
      <c r="AE156" s="206" t="str">
        <f>IFERROR(VLOOKUP(Primary_Order[[#This Row],[AM]],SP!$E$19:$F$23,2,0),Primary_Order[[#This Row],[AM]])</f>
        <v>Northern</v>
      </c>
      <c r="AF156" s="206" t="str">
        <f>VLOOKUP(Primary_Order[[#This Row],[Product ID]],SKU[],10,0)</f>
        <v>Synthetic</v>
      </c>
      <c r="AG156" s="206" t="str">
        <f>VLOOKUP(Primary_Order[[#This Row],[Product ID]],SKU[],9,0)</f>
        <v>MCO</v>
      </c>
      <c r="AH156" s="206" t="str">
        <f>VLOOKUP(Primary_Order[[#This Row],[Product ID]],SKU[],12,0)</f>
        <v>20W50</v>
      </c>
      <c r="AI156" s="206" t="str">
        <f>VLOOKUP(Primary_Order[[#This Row],[Product ID]],SKU[],13,0)</f>
        <v>7100</v>
      </c>
      <c r="AJ156" s="233">
        <f>VLOOKUP(Primary_Order[[#This Row],[Product ID]],SKU[[SKU ID]:[Bottle Size(Ltr)]],6,0)*Primary_Order[[#This Row],[Free Quantity]]</f>
        <v>0</v>
      </c>
      <c r="AK156" s="206" t="str">
        <f>VLOOKUP(Primary_Order[[#This Row],[Product ID]],SKU[[SKU ID]:[Bottle Size(Ltr)]],4,0)</f>
        <v>12x1L</v>
      </c>
      <c r="AL156" s="231">
        <f>VLOOKUP(Primary_Order[[#This Row],[Product ID]],SKU[],14,0)*Primary_Order[[#This Row],[Total Qty]]</f>
        <v>18328.761599999998</v>
      </c>
      <c r="AM156" s="231">
        <f>IF(Primary_Order[[#This Row],[Cost]]=0,0,Primary_Order[[#This Row],[Net Total(-15%)]]-Primary_Order[[#This Row],[Cost]])</f>
        <v>4001.673182608698</v>
      </c>
      <c r="AN156" s="206" t="str">
        <f>"O-"&amp;Primary_Order[[#This Row],[Date]]&amp;"-"&amp;Primary_Order[[#This Row],[MMD ID]]</f>
        <v>O-45680-D-0023</v>
      </c>
      <c r="AO156" s="206" t="str" cm="1">
        <f t="array" ref="AO15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7" spans="1:41" x14ac:dyDescent="0.5">
      <c r="A157" s="206" t="s">
        <v>1109</v>
      </c>
      <c r="B157" s="230">
        <v>45683</v>
      </c>
      <c r="C157" s="206" t="s">
        <v>102</v>
      </c>
      <c r="D157" s="206" t="s">
        <v>46</v>
      </c>
      <c r="E157" s="206" t="s">
        <v>1047</v>
      </c>
      <c r="F157" s="206" t="s">
        <v>1048</v>
      </c>
      <c r="G157" s="206" t="s">
        <v>45</v>
      </c>
      <c r="H157" s="206" t="s">
        <v>28</v>
      </c>
      <c r="I157" s="206" t="s">
        <v>46</v>
      </c>
      <c r="J157" s="206" t="s">
        <v>47</v>
      </c>
      <c r="K157" s="206" t="s">
        <v>156</v>
      </c>
      <c r="L157" s="206" t="str">
        <f>VLOOKUP(Primary_Order[[#This Row],[Product ID]],SKU[],3,0)</f>
        <v>2000 Multi Power 20W50</v>
      </c>
      <c r="M157" s="231">
        <v>1</v>
      </c>
      <c r="N157" s="231">
        <v>1800</v>
      </c>
      <c r="O157" s="231">
        <v>4</v>
      </c>
      <c r="P157" s="232"/>
      <c r="Q157" s="231">
        <v>0</v>
      </c>
      <c r="R157" s="231">
        <v>1800</v>
      </c>
      <c r="S157" s="231">
        <v>1</v>
      </c>
      <c r="T157" s="231">
        <v>4</v>
      </c>
      <c r="U157" s="231">
        <v>1800</v>
      </c>
      <c r="V157" s="231">
        <v>0</v>
      </c>
      <c r="W157" s="231">
        <v>1800</v>
      </c>
      <c r="X157" s="231">
        <v>234.78260869565219</v>
      </c>
      <c r="Y157" s="231">
        <v>1565.2173913043478</v>
      </c>
      <c r="Z157" s="206" t="s">
        <v>882</v>
      </c>
      <c r="AA157" s="206">
        <v>610</v>
      </c>
      <c r="AB157" s="206" t="s">
        <v>641</v>
      </c>
      <c r="AC157" s="230">
        <v>45684</v>
      </c>
      <c r="AD157" s="206" t="s">
        <v>50</v>
      </c>
      <c r="AE157" s="206" t="str">
        <f>IFERROR(VLOOKUP(Primary_Order[[#This Row],[AM]],SP!$E$19:$F$23,2,0),Primary_Order[[#This Row],[AM]])</f>
        <v>Eastern</v>
      </c>
      <c r="AF157" s="206" t="str">
        <f>VLOOKUP(Primary_Order[[#This Row],[Product ID]],SKU[],10,0)</f>
        <v>Mineral</v>
      </c>
      <c r="AG157" s="206" t="str">
        <f>VLOOKUP(Primary_Order[[#This Row],[Product ID]],SKU[],9,0)</f>
        <v>PCMO</v>
      </c>
      <c r="AH157" s="206" t="str">
        <f>VLOOKUP(Primary_Order[[#This Row],[Product ID]],SKU[],12,0)</f>
        <v>20W50</v>
      </c>
      <c r="AI157" s="206" t="str">
        <f>VLOOKUP(Primary_Order[[#This Row],[Product ID]],SKU[],13,0)</f>
        <v>2000</v>
      </c>
      <c r="AJ157" s="233">
        <f>VLOOKUP(Primary_Order[[#This Row],[Product ID]],SKU[[SKU ID]:[Bottle Size(Ltr)]],6,0)*Primary_Order[[#This Row],[Free Quantity]]</f>
        <v>0</v>
      </c>
      <c r="AK157" s="206" t="str">
        <f>VLOOKUP(Primary_Order[[#This Row],[Product ID]],SKU[[SKU ID]:[Bottle Size(Ltr)]],4,0)</f>
        <v>4X4L</v>
      </c>
      <c r="AL157" s="231">
        <f>VLOOKUP(Primary_Order[[#This Row],[Product ID]],SKU[],14,0)*Primary_Order[[#This Row],[Total Qty]]</f>
        <v>1095.45</v>
      </c>
      <c r="AM157" s="231">
        <f>IF(Primary_Order[[#This Row],[Cost]]=0,0,Primary_Order[[#This Row],[Net Total(-15%)]]-Primary_Order[[#This Row],[Cost]])</f>
        <v>469.76739130434771</v>
      </c>
      <c r="AN157" s="206" t="str">
        <f>"O-"&amp;Primary_Order[[#This Row],[Date]]&amp;"-"&amp;Primary_Order[[#This Row],[MMD ID]]</f>
        <v>O-45683-D-0003</v>
      </c>
      <c r="AO157" s="206" t="str" cm="1">
        <f t="array" ref="AO15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8" spans="1:41" x14ac:dyDescent="0.5">
      <c r="A158" s="206" t="s">
        <v>1109</v>
      </c>
      <c r="B158" s="230">
        <v>45683</v>
      </c>
      <c r="C158" s="206" t="s">
        <v>102</v>
      </c>
      <c r="D158" s="206" t="s">
        <v>46</v>
      </c>
      <c r="E158" s="206" t="s">
        <v>1047</v>
      </c>
      <c r="F158" s="206" t="s">
        <v>1048</v>
      </c>
      <c r="G158" s="206" t="s">
        <v>45</v>
      </c>
      <c r="H158" s="206" t="s">
        <v>28</v>
      </c>
      <c r="I158" s="206" t="s">
        <v>46</v>
      </c>
      <c r="J158" s="206" t="s">
        <v>47</v>
      </c>
      <c r="K158" s="206" t="s">
        <v>71</v>
      </c>
      <c r="L158" s="206" t="str">
        <f>VLOOKUP(Primary_Order[[#This Row],[Product ID]],SKU[],3,0)</f>
        <v>4000 Motion Plus 15W40</v>
      </c>
      <c r="M158" s="231">
        <v>3</v>
      </c>
      <c r="N158" s="231">
        <v>2700</v>
      </c>
      <c r="O158" s="231">
        <v>12</v>
      </c>
      <c r="P158" s="232"/>
      <c r="Q158" s="231">
        <v>0</v>
      </c>
      <c r="R158" s="231">
        <v>2700</v>
      </c>
      <c r="S158" s="231">
        <v>3</v>
      </c>
      <c r="T158" s="231">
        <v>12</v>
      </c>
      <c r="U158" s="231">
        <v>8100</v>
      </c>
      <c r="V158" s="231">
        <v>0</v>
      </c>
      <c r="W158" s="231">
        <v>8100</v>
      </c>
      <c r="X158" s="231">
        <v>1056.5217391304348</v>
      </c>
      <c r="Y158" s="231">
        <v>7043.478260869565</v>
      </c>
      <c r="Z158" s="206" t="s">
        <v>882</v>
      </c>
      <c r="AA158" s="206">
        <v>610</v>
      </c>
      <c r="AB158" s="206" t="s">
        <v>641</v>
      </c>
      <c r="AC158" s="230">
        <v>45684</v>
      </c>
      <c r="AD158" s="206" t="s">
        <v>50</v>
      </c>
      <c r="AE158" s="206" t="str">
        <f>IFERROR(VLOOKUP(Primary_Order[[#This Row],[AM]],SP!$E$19:$F$23,2,0),Primary_Order[[#This Row],[AM]])</f>
        <v>Eastern</v>
      </c>
      <c r="AF158" s="206" t="str">
        <f>VLOOKUP(Primary_Order[[#This Row],[Product ID]],SKU[],10,0)</f>
        <v>Mineral</v>
      </c>
      <c r="AG158" s="206" t="str">
        <f>VLOOKUP(Primary_Order[[#This Row],[Product ID]],SKU[],9,0)</f>
        <v>PCMO</v>
      </c>
      <c r="AH158" s="206" t="str">
        <f>VLOOKUP(Primary_Order[[#This Row],[Product ID]],SKU[],12,0)</f>
        <v>15W40</v>
      </c>
      <c r="AI158" s="206" t="str">
        <f>VLOOKUP(Primary_Order[[#This Row],[Product ID]],SKU[],13,0)</f>
        <v>4000</v>
      </c>
      <c r="AJ158" s="233">
        <f>VLOOKUP(Primary_Order[[#This Row],[Product ID]],SKU[[SKU ID]:[Bottle Size(Ltr)]],6,0)*Primary_Order[[#This Row],[Free Quantity]]</f>
        <v>0</v>
      </c>
      <c r="AK158" s="206" t="str">
        <f>VLOOKUP(Primary_Order[[#This Row],[Product ID]],SKU[[SKU ID]:[Bottle Size(Ltr)]],4,0)</f>
        <v>4x4L</v>
      </c>
      <c r="AL158" s="231">
        <f>VLOOKUP(Primary_Order[[#This Row],[Product ID]],SKU[],14,0)*Primary_Order[[#This Row],[Total Qty]]</f>
        <v>3968.31</v>
      </c>
      <c r="AM158" s="231">
        <f>IF(Primary_Order[[#This Row],[Cost]]=0,0,Primary_Order[[#This Row],[Net Total(-15%)]]-Primary_Order[[#This Row],[Cost]])</f>
        <v>3075.1682608695651</v>
      </c>
      <c r="AN158" s="206" t="str">
        <f>"O-"&amp;Primary_Order[[#This Row],[Date]]&amp;"-"&amp;Primary_Order[[#This Row],[MMD ID]]</f>
        <v>O-45683-D-0003</v>
      </c>
      <c r="AO158" s="206" t="str" cm="1">
        <f t="array" ref="AO15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59" spans="1:41" x14ac:dyDescent="0.5">
      <c r="A159" s="206" t="s">
        <v>1109</v>
      </c>
      <c r="B159" s="230">
        <v>45683</v>
      </c>
      <c r="C159" s="206" t="s">
        <v>102</v>
      </c>
      <c r="D159" s="206" t="s">
        <v>46</v>
      </c>
      <c r="E159" s="206" t="s">
        <v>1047</v>
      </c>
      <c r="F159" s="206" t="s">
        <v>1048</v>
      </c>
      <c r="G159" s="206" t="s">
        <v>45</v>
      </c>
      <c r="H159" s="206" t="s">
        <v>28</v>
      </c>
      <c r="I159" s="206" t="s">
        <v>46</v>
      </c>
      <c r="J159" s="206" t="s">
        <v>47</v>
      </c>
      <c r="K159" s="206" t="s">
        <v>131</v>
      </c>
      <c r="L159" s="206" t="str">
        <f>VLOOKUP(Primary_Order[[#This Row],[Product ID]],SKU[],3,0)</f>
        <v>ECO TEC Clean 0W20</v>
      </c>
      <c r="M159" s="231">
        <v>1</v>
      </c>
      <c r="N159" s="231">
        <v>4000</v>
      </c>
      <c r="O159" s="231">
        <v>4</v>
      </c>
      <c r="P159" s="232"/>
      <c r="Q159" s="231">
        <v>0</v>
      </c>
      <c r="R159" s="231">
        <v>4000</v>
      </c>
      <c r="S159" s="231">
        <v>1</v>
      </c>
      <c r="T159" s="231">
        <v>4</v>
      </c>
      <c r="U159" s="231">
        <v>4000</v>
      </c>
      <c r="V159" s="231">
        <v>0</v>
      </c>
      <c r="W159" s="231">
        <v>4000</v>
      </c>
      <c r="X159" s="231">
        <v>521.73913043478262</v>
      </c>
      <c r="Y159" s="231">
        <v>3478.2608695652175</v>
      </c>
      <c r="Z159" s="206" t="s">
        <v>882</v>
      </c>
      <c r="AA159" s="206">
        <v>610</v>
      </c>
      <c r="AB159" s="206" t="s">
        <v>641</v>
      </c>
      <c r="AC159" s="230">
        <v>45684</v>
      </c>
      <c r="AD159" s="206" t="s">
        <v>50</v>
      </c>
      <c r="AE159" s="206" t="str">
        <f>IFERROR(VLOOKUP(Primary_Order[[#This Row],[AM]],SP!$E$19:$F$23,2,0),Primary_Order[[#This Row],[AM]])</f>
        <v>Eastern</v>
      </c>
      <c r="AF159" s="206" t="str">
        <f>VLOOKUP(Primary_Order[[#This Row],[Product ID]],SKU[],10,0)</f>
        <v>Synthetic</v>
      </c>
      <c r="AG159" s="206" t="str">
        <f>VLOOKUP(Primary_Order[[#This Row],[Product ID]],SKU[],9,0)</f>
        <v>PCMO</v>
      </c>
      <c r="AH159" s="206" t="str">
        <f>VLOOKUP(Primary_Order[[#This Row],[Product ID]],SKU[],12,0)</f>
        <v>0W20</v>
      </c>
      <c r="AI159" s="206" t="str">
        <f>VLOOKUP(Primary_Order[[#This Row],[Product ID]],SKU[],13,0)</f>
        <v>Clean</v>
      </c>
      <c r="AJ159" s="233">
        <f>VLOOKUP(Primary_Order[[#This Row],[Product ID]],SKU[[SKU ID]:[Bottle Size(Ltr)]],6,0)*Primary_Order[[#This Row],[Free Quantity]]</f>
        <v>0</v>
      </c>
      <c r="AK159" s="206" t="str">
        <f>VLOOKUP(Primary_Order[[#This Row],[Product ID]],SKU[[SKU ID]:[Bottle Size(Ltr)]],4,0)</f>
        <v>4x4L</v>
      </c>
      <c r="AL159" s="231">
        <f>VLOOKUP(Primary_Order[[#This Row],[Product ID]],SKU[],14,0)*Primary_Order[[#This Row],[Total Qty]]</f>
        <v>2323.52</v>
      </c>
      <c r="AM159" s="231">
        <f>IF(Primary_Order[[#This Row],[Cost]]=0,0,Primary_Order[[#This Row],[Net Total(-15%)]]-Primary_Order[[#This Row],[Cost]])</f>
        <v>1154.7408695652175</v>
      </c>
      <c r="AN159" s="206" t="str">
        <f>"O-"&amp;Primary_Order[[#This Row],[Date]]&amp;"-"&amp;Primary_Order[[#This Row],[MMD ID]]</f>
        <v>O-45683-D-0003</v>
      </c>
      <c r="AO159" s="206" t="str" cm="1">
        <f t="array" ref="AO15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0" spans="1:41" x14ac:dyDescent="0.5">
      <c r="A160" s="206" t="s">
        <v>1110</v>
      </c>
      <c r="B160" s="230">
        <v>45684</v>
      </c>
      <c r="C160" s="206" t="s">
        <v>598</v>
      </c>
      <c r="D160" s="206" t="s">
        <v>889</v>
      </c>
      <c r="E160" s="206" t="s">
        <v>602</v>
      </c>
      <c r="F160" s="206" t="s">
        <v>890</v>
      </c>
      <c r="G160" s="206" t="s">
        <v>27</v>
      </c>
      <c r="H160" s="206" t="s">
        <v>28</v>
      </c>
      <c r="I160" s="206" t="s">
        <v>599</v>
      </c>
      <c r="J160" s="206" t="s">
        <v>602</v>
      </c>
      <c r="K160" s="206" t="s">
        <v>31</v>
      </c>
      <c r="L160" s="206" t="str">
        <f>VLOOKUP(Primary_Order[[#This Row],[Product ID]],SKU[],3,0)</f>
        <v>3000 4T PLUS 10W30</v>
      </c>
      <c r="M160" s="231">
        <v>20</v>
      </c>
      <c r="N160" s="231">
        <v>530</v>
      </c>
      <c r="O160" s="231">
        <v>20</v>
      </c>
      <c r="P160" s="232"/>
      <c r="Q160" s="231">
        <v>0</v>
      </c>
      <c r="R160" s="231">
        <v>530</v>
      </c>
      <c r="S160" s="231">
        <v>20</v>
      </c>
      <c r="T160" s="231">
        <v>20</v>
      </c>
      <c r="U160" s="231">
        <v>10600</v>
      </c>
      <c r="V160" s="231">
        <v>0</v>
      </c>
      <c r="W160" s="231">
        <v>10600</v>
      </c>
      <c r="X160" s="231">
        <v>1382.608695652174</v>
      </c>
      <c r="Y160" s="231">
        <v>9217.391304347826</v>
      </c>
      <c r="Z160" s="206" t="s">
        <v>882</v>
      </c>
      <c r="AA160" s="206">
        <v>611</v>
      </c>
      <c r="AB160" s="206" t="s">
        <v>641</v>
      </c>
      <c r="AC160" s="230">
        <v>45684</v>
      </c>
      <c r="AD160" s="206" t="s">
        <v>1107</v>
      </c>
      <c r="AE160" s="206" t="str">
        <f>IFERROR(VLOOKUP(Primary_Order[[#This Row],[AM]],SP!$E$19:$F$23,2,0),Primary_Order[[#This Row],[AM]])</f>
        <v>Eastern</v>
      </c>
      <c r="AF160" s="206" t="str">
        <f>VLOOKUP(Primary_Order[[#This Row],[Product ID]],SKU[],10,0)</f>
        <v>Mineral</v>
      </c>
      <c r="AG160" s="206" t="str">
        <f>VLOOKUP(Primary_Order[[#This Row],[Product ID]],SKU[],9,0)</f>
        <v>MCO</v>
      </c>
      <c r="AH160" s="206" t="str">
        <f>VLOOKUP(Primary_Order[[#This Row],[Product ID]],SKU[],12,0)</f>
        <v>10W30</v>
      </c>
      <c r="AI160" s="206" t="str">
        <f>VLOOKUP(Primary_Order[[#This Row],[Product ID]],SKU[],13,0)</f>
        <v>3000</v>
      </c>
      <c r="AJ160" s="233">
        <f>VLOOKUP(Primary_Order[[#This Row],[Product ID]],SKU[[SKU ID]:[Bottle Size(Ltr)]],6,0)*Primary_Order[[#This Row],[Free Quantity]]</f>
        <v>0</v>
      </c>
      <c r="AK160" s="206" t="str">
        <f>VLOOKUP(Primary_Order[[#This Row],[Product ID]],SKU[[SKU ID]:[Bottle Size(Ltr)]],4,0)</f>
        <v>20x1L</v>
      </c>
      <c r="AL160" s="231">
        <f>VLOOKUP(Primary_Order[[#This Row],[Product ID]],SKU[],14,0)*Primary_Order[[#This Row],[Total Qty]]</f>
        <v>7586.5999999999995</v>
      </c>
      <c r="AM160" s="231">
        <f>IF(Primary_Order[[#This Row],[Cost]]=0,0,Primary_Order[[#This Row],[Net Total(-15%)]]-Primary_Order[[#This Row],[Cost]])</f>
        <v>1630.7913043478266</v>
      </c>
      <c r="AN160" s="206" t="str">
        <f>"O-"&amp;Primary_Order[[#This Row],[Date]]&amp;"-"&amp;Primary_Order[[#This Row],[MMD ID]]</f>
        <v>O-45684-D-0029</v>
      </c>
      <c r="AO160" s="206" t="str" cm="1">
        <f t="array" ref="AO16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1" spans="1:41" x14ac:dyDescent="0.5">
      <c r="A161" s="206" t="s">
        <v>1110</v>
      </c>
      <c r="B161" s="230">
        <v>45684</v>
      </c>
      <c r="C161" s="206" t="s">
        <v>598</v>
      </c>
      <c r="D161" s="206" t="s">
        <v>889</v>
      </c>
      <c r="E161" s="206" t="s">
        <v>602</v>
      </c>
      <c r="F161" s="206" t="s">
        <v>890</v>
      </c>
      <c r="G161" s="206" t="s">
        <v>27</v>
      </c>
      <c r="H161" s="206" t="s">
        <v>28</v>
      </c>
      <c r="I161" s="206" t="s">
        <v>599</v>
      </c>
      <c r="J161" s="206" t="s">
        <v>602</v>
      </c>
      <c r="K161" s="206" t="s">
        <v>53</v>
      </c>
      <c r="L161" s="206" t="str">
        <f>VLOOKUP(Primary_Order[[#This Row],[Product ID]],SKU[],3,0)</f>
        <v>3000 4T PLUS 20W40</v>
      </c>
      <c r="M161" s="231">
        <v>20</v>
      </c>
      <c r="N161" s="231">
        <v>530</v>
      </c>
      <c r="O161" s="231">
        <v>20</v>
      </c>
      <c r="P161" s="232"/>
      <c r="Q161" s="231">
        <v>0</v>
      </c>
      <c r="R161" s="231">
        <v>530</v>
      </c>
      <c r="S161" s="231">
        <v>20</v>
      </c>
      <c r="T161" s="231">
        <v>20</v>
      </c>
      <c r="U161" s="231">
        <v>10600</v>
      </c>
      <c r="V161" s="231">
        <v>0</v>
      </c>
      <c r="W161" s="231">
        <v>10600</v>
      </c>
      <c r="X161" s="231">
        <v>1382.608695652174</v>
      </c>
      <c r="Y161" s="231">
        <v>9217.391304347826</v>
      </c>
      <c r="Z161" s="206" t="s">
        <v>882</v>
      </c>
      <c r="AA161" s="206">
        <v>611</v>
      </c>
      <c r="AB161" s="206" t="s">
        <v>641</v>
      </c>
      <c r="AC161" s="230">
        <v>45684</v>
      </c>
      <c r="AD161" s="206" t="s">
        <v>1107</v>
      </c>
      <c r="AE161" s="206" t="str">
        <f>IFERROR(VLOOKUP(Primary_Order[[#This Row],[AM]],SP!$E$19:$F$23,2,0),Primary_Order[[#This Row],[AM]])</f>
        <v>Eastern</v>
      </c>
      <c r="AF161" s="206" t="str">
        <f>VLOOKUP(Primary_Order[[#This Row],[Product ID]],SKU[],10,0)</f>
        <v>Mineral</v>
      </c>
      <c r="AG161" s="206" t="str">
        <f>VLOOKUP(Primary_Order[[#This Row],[Product ID]],SKU[],9,0)</f>
        <v>MCO</v>
      </c>
      <c r="AH161" s="206" t="str">
        <f>VLOOKUP(Primary_Order[[#This Row],[Product ID]],SKU[],12,0)</f>
        <v>20W40</v>
      </c>
      <c r="AI161" s="206" t="str">
        <f>VLOOKUP(Primary_Order[[#This Row],[Product ID]],SKU[],13,0)</f>
        <v>3000</v>
      </c>
      <c r="AJ161" s="233">
        <f>VLOOKUP(Primary_Order[[#This Row],[Product ID]],SKU[[SKU ID]:[Bottle Size(Ltr)]],6,0)*Primary_Order[[#This Row],[Free Quantity]]</f>
        <v>0</v>
      </c>
      <c r="AK161" s="206" t="str">
        <f>VLOOKUP(Primary_Order[[#This Row],[Product ID]],SKU[[SKU ID]:[Bottle Size(Ltr)]],4,0)</f>
        <v>20x1L</v>
      </c>
      <c r="AL161" s="231">
        <f>VLOOKUP(Primary_Order[[#This Row],[Product ID]],SKU[],14,0)*Primary_Order[[#This Row],[Total Qty]]</f>
        <v>8255.2000000000007</v>
      </c>
      <c r="AM161" s="231">
        <f>IF(Primary_Order[[#This Row],[Cost]]=0,0,Primary_Order[[#This Row],[Net Total(-15%)]]-Primary_Order[[#This Row],[Cost]])</f>
        <v>962.19130434782528</v>
      </c>
      <c r="AN161" s="206" t="str">
        <f>"O-"&amp;Primary_Order[[#This Row],[Date]]&amp;"-"&amp;Primary_Order[[#This Row],[MMD ID]]</f>
        <v>O-45684-D-0029</v>
      </c>
      <c r="AO161" s="206" t="str" cm="1">
        <f t="array" ref="AO16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2" spans="1:41" x14ac:dyDescent="0.5">
      <c r="A162" s="206" t="s">
        <v>1110</v>
      </c>
      <c r="B162" s="230">
        <v>45684</v>
      </c>
      <c r="C162" s="206" t="s">
        <v>598</v>
      </c>
      <c r="D162" s="206" t="s">
        <v>889</v>
      </c>
      <c r="E162" s="206" t="s">
        <v>602</v>
      </c>
      <c r="F162" s="206" t="s">
        <v>890</v>
      </c>
      <c r="G162" s="206" t="s">
        <v>27</v>
      </c>
      <c r="H162" s="206" t="s">
        <v>28</v>
      </c>
      <c r="I162" s="206" t="s">
        <v>599</v>
      </c>
      <c r="J162" s="206" t="s">
        <v>602</v>
      </c>
      <c r="K162" s="206" t="s">
        <v>54</v>
      </c>
      <c r="L162" s="206" t="str">
        <f>VLOOKUP(Primary_Order[[#This Row],[Product ID]],SKU[],3,0)</f>
        <v>3000 4T PLUS 10W40</v>
      </c>
      <c r="M162" s="231">
        <v>80</v>
      </c>
      <c r="N162" s="231">
        <v>535</v>
      </c>
      <c r="O162" s="231">
        <v>80</v>
      </c>
      <c r="P162" s="232"/>
      <c r="Q162" s="231">
        <v>0</v>
      </c>
      <c r="R162" s="231">
        <v>535</v>
      </c>
      <c r="S162" s="231">
        <v>80</v>
      </c>
      <c r="T162" s="231">
        <v>80</v>
      </c>
      <c r="U162" s="231">
        <v>42800</v>
      </c>
      <c r="V162" s="231">
        <v>0</v>
      </c>
      <c r="W162" s="231">
        <v>42800</v>
      </c>
      <c r="X162" s="231">
        <v>5582.608695652174</v>
      </c>
      <c r="Y162" s="231">
        <v>37217.391304347824</v>
      </c>
      <c r="Z162" s="206" t="s">
        <v>882</v>
      </c>
      <c r="AA162" s="206">
        <v>611</v>
      </c>
      <c r="AB162" s="206" t="s">
        <v>641</v>
      </c>
      <c r="AC162" s="230">
        <v>45684</v>
      </c>
      <c r="AD162" s="206" t="s">
        <v>1107</v>
      </c>
      <c r="AE162" s="206" t="str">
        <f>IFERROR(VLOOKUP(Primary_Order[[#This Row],[AM]],SP!$E$19:$F$23,2,0),Primary_Order[[#This Row],[AM]])</f>
        <v>Eastern</v>
      </c>
      <c r="AF162" s="206" t="str">
        <f>VLOOKUP(Primary_Order[[#This Row],[Product ID]],SKU[],10,0)</f>
        <v>Mineral</v>
      </c>
      <c r="AG162" s="206" t="str">
        <f>VLOOKUP(Primary_Order[[#This Row],[Product ID]],SKU[],9,0)</f>
        <v>MCO</v>
      </c>
      <c r="AH162" s="206" t="str">
        <f>VLOOKUP(Primary_Order[[#This Row],[Product ID]],SKU[],12,0)</f>
        <v>10W40</v>
      </c>
      <c r="AI162" s="206" t="str">
        <f>VLOOKUP(Primary_Order[[#This Row],[Product ID]],SKU[],13,0)</f>
        <v>3000</v>
      </c>
      <c r="AJ162" s="233">
        <f>VLOOKUP(Primary_Order[[#This Row],[Product ID]],SKU[[SKU ID]:[Bottle Size(Ltr)]],6,0)*Primary_Order[[#This Row],[Free Quantity]]</f>
        <v>0</v>
      </c>
      <c r="AK162" s="206" t="str">
        <f>VLOOKUP(Primary_Order[[#This Row],[Product ID]],SKU[[SKU ID]:[Bottle Size(Ltr)]],4,0)</f>
        <v>20x1L</v>
      </c>
      <c r="AL162" s="231">
        <f>VLOOKUP(Primary_Order[[#This Row],[Product ID]],SKU[],14,0)*Primary_Order[[#This Row],[Total Qty]]</f>
        <v>30788</v>
      </c>
      <c r="AM162" s="231">
        <f>IF(Primary_Order[[#This Row],[Cost]]=0,0,Primary_Order[[#This Row],[Net Total(-15%)]]-Primary_Order[[#This Row],[Cost]])</f>
        <v>6429.3913043478242</v>
      </c>
      <c r="AN162" s="206" t="str">
        <f>"O-"&amp;Primary_Order[[#This Row],[Date]]&amp;"-"&amp;Primary_Order[[#This Row],[MMD ID]]</f>
        <v>O-45684-D-0029</v>
      </c>
      <c r="AO162" s="206" t="str" cm="1">
        <f t="array" ref="AO16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3" spans="1:41" x14ac:dyDescent="0.5">
      <c r="A163" s="206" t="s">
        <v>1110</v>
      </c>
      <c r="B163" s="230">
        <v>45684</v>
      </c>
      <c r="C163" s="206" t="s">
        <v>598</v>
      </c>
      <c r="D163" s="206" t="s">
        <v>889</v>
      </c>
      <c r="E163" s="206" t="s">
        <v>602</v>
      </c>
      <c r="F163" s="206" t="s">
        <v>890</v>
      </c>
      <c r="G163" s="206" t="s">
        <v>27</v>
      </c>
      <c r="H163" s="206" t="s">
        <v>28</v>
      </c>
      <c r="I163" s="206" t="s">
        <v>599</v>
      </c>
      <c r="J163" s="206" t="s">
        <v>602</v>
      </c>
      <c r="K163" s="206" t="s">
        <v>81</v>
      </c>
      <c r="L163" s="206" t="str">
        <f>VLOOKUP(Primary_Order[[#This Row],[Product ID]],SKU[],3,0)</f>
        <v>3000 4T 20W50</v>
      </c>
      <c r="M163" s="231">
        <v>20</v>
      </c>
      <c r="N163" s="231">
        <v>495</v>
      </c>
      <c r="O163" s="231">
        <v>20</v>
      </c>
      <c r="P163" s="232"/>
      <c r="Q163" s="231">
        <v>0</v>
      </c>
      <c r="R163" s="231">
        <v>495</v>
      </c>
      <c r="S163" s="231">
        <v>20</v>
      </c>
      <c r="T163" s="231">
        <v>20</v>
      </c>
      <c r="U163" s="231">
        <v>9900</v>
      </c>
      <c r="V163" s="231">
        <v>0</v>
      </c>
      <c r="W163" s="231">
        <v>9900</v>
      </c>
      <c r="X163" s="231">
        <v>1291.304347826087</v>
      </c>
      <c r="Y163" s="231">
        <v>8608.6956521739139</v>
      </c>
      <c r="Z163" s="206" t="s">
        <v>882</v>
      </c>
      <c r="AA163" s="206">
        <v>611</v>
      </c>
      <c r="AB163" s="206" t="s">
        <v>641</v>
      </c>
      <c r="AC163" s="230">
        <v>45684</v>
      </c>
      <c r="AD163" s="206" t="s">
        <v>1107</v>
      </c>
      <c r="AE163" s="206" t="str">
        <f>IFERROR(VLOOKUP(Primary_Order[[#This Row],[AM]],SP!$E$19:$F$23,2,0),Primary_Order[[#This Row],[AM]])</f>
        <v>Eastern</v>
      </c>
      <c r="AF163" s="206" t="str">
        <f>VLOOKUP(Primary_Order[[#This Row],[Product ID]],SKU[],10,0)</f>
        <v>Mineral</v>
      </c>
      <c r="AG163" s="206" t="str">
        <f>VLOOKUP(Primary_Order[[#This Row],[Product ID]],SKU[],9,0)</f>
        <v>MCO</v>
      </c>
      <c r="AH163" s="206" t="str">
        <f>VLOOKUP(Primary_Order[[#This Row],[Product ID]],SKU[],12,0)</f>
        <v>20W50</v>
      </c>
      <c r="AI163" s="206" t="str">
        <f>VLOOKUP(Primary_Order[[#This Row],[Product ID]],SKU[],13,0)</f>
        <v>3000</v>
      </c>
      <c r="AJ163" s="233">
        <f>VLOOKUP(Primary_Order[[#This Row],[Product ID]],SKU[[SKU ID]:[Bottle Size(Ltr)]],6,0)*Primary_Order[[#This Row],[Free Quantity]]</f>
        <v>0</v>
      </c>
      <c r="AK163" s="206" t="str">
        <f>VLOOKUP(Primary_Order[[#This Row],[Product ID]],SKU[[SKU ID]:[Bottle Size(Ltr)]],4,0)</f>
        <v>20x1L</v>
      </c>
      <c r="AL163" s="231">
        <f>VLOOKUP(Primary_Order[[#This Row],[Product ID]],SKU[],14,0)*Primary_Order[[#This Row],[Total Qty]]</f>
        <v>7298.4000000000005</v>
      </c>
      <c r="AM163" s="231">
        <f>IF(Primary_Order[[#This Row],[Cost]]=0,0,Primary_Order[[#This Row],[Net Total(-15%)]]-Primary_Order[[#This Row],[Cost]])</f>
        <v>1310.2956521739134</v>
      </c>
      <c r="AN163" s="206" t="str">
        <f>"O-"&amp;Primary_Order[[#This Row],[Date]]&amp;"-"&amp;Primary_Order[[#This Row],[MMD ID]]</f>
        <v>O-45684-D-0029</v>
      </c>
      <c r="AO163" s="206" t="str" cm="1">
        <f t="array" ref="AO16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4" spans="1:41" x14ac:dyDescent="0.5">
      <c r="A164" s="206" t="s">
        <v>1117</v>
      </c>
      <c r="B164" s="230">
        <v>45683</v>
      </c>
      <c r="C164" s="206" t="s">
        <v>103</v>
      </c>
      <c r="D164" s="206" t="s">
        <v>1050</v>
      </c>
      <c r="E164" s="206" t="s">
        <v>1051</v>
      </c>
      <c r="F164" s="213" t="s">
        <v>1052</v>
      </c>
      <c r="G164" s="206" t="s">
        <v>83</v>
      </c>
      <c r="H164" s="206" t="s">
        <v>84</v>
      </c>
      <c r="I164" s="206" t="s">
        <v>85</v>
      </c>
      <c r="J164" s="206" t="s">
        <v>86</v>
      </c>
      <c r="K164" s="206" t="s">
        <v>53</v>
      </c>
      <c r="L164" s="206" t="str">
        <f>VLOOKUP(Primary_Order[[#This Row],[Product ID]],SKU[],3,0)</f>
        <v>3000 4T PLUS 20W40</v>
      </c>
      <c r="M164" s="231">
        <v>40</v>
      </c>
      <c r="N164" s="231">
        <v>530</v>
      </c>
      <c r="O164" s="231">
        <v>40</v>
      </c>
      <c r="P164" s="232"/>
      <c r="Q164" s="231">
        <v>0</v>
      </c>
      <c r="R164" s="231">
        <v>530</v>
      </c>
      <c r="S164" s="231">
        <v>40</v>
      </c>
      <c r="T164" s="231">
        <v>40</v>
      </c>
      <c r="U164" s="231">
        <v>21200</v>
      </c>
      <c r="V164" s="231">
        <v>0</v>
      </c>
      <c r="W164" s="231">
        <v>21200</v>
      </c>
      <c r="X164" s="231">
        <v>2765.217391304348</v>
      </c>
      <c r="Y164" s="231">
        <v>18434.782608695652</v>
      </c>
      <c r="Z164" s="206" t="s">
        <v>882</v>
      </c>
      <c r="AA164" s="206">
        <v>612</v>
      </c>
      <c r="AB164" s="206" t="s">
        <v>641</v>
      </c>
      <c r="AC164" s="230">
        <v>45685</v>
      </c>
      <c r="AD164" s="206" t="s">
        <v>50</v>
      </c>
      <c r="AE164" s="206" t="str">
        <f>IFERROR(VLOOKUP(Primary_Order[[#This Row],[AM]],SP!$E$19:$F$23,2,0),Primary_Order[[#This Row],[AM]])</f>
        <v>Northern</v>
      </c>
      <c r="AF164" s="206" t="str">
        <f>VLOOKUP(Primary_Order[[#This Row],[Product ID]],SKU[],10,0)</f>
        <v>Mineral</v>
      </c>
      <c r="AG164" s="206" t="str">
        <f>VLOOKUP(Primary_Order[[#This Row],[Product ID]],SKU[],9,0)</f>
        <v>MCO</v>
      </c>
      <c r="AH164" s="206" t="str">
        <f>VLOOKUP(Primary_Order[[#This Row],[Product ID]],SKU[],12,0)</f>
        <v>20W40</v>
      </c>
      <c r="AI164" s="206" t="str">
        <f>VLOOKUP(Primary_Order[[#This Row],[Product ID]],SKU[],13,0)</f>
        <v>3000</v>
      </c>
      <c r="AJ164" s="233">
        <f>VLOOKUP(Primary_Order[[#This Row],[Product ID]],SKU[[SKU ID]:[Bottle Size(Ltr)]],6,0)*Primary_Order[[#This Row],[Free Quantity]]</f>
        <v>0</v>
      </c>
      <c r="AK164" s="206" t="str">
        <f>VLOOKUP(Primary_Order[[#This Row],[Product ID]],SKU[[SKU ID]:[Bottle Size(Ltr)]],4,0)</f>
        <v>20x1L</v>
      </c>
      <c r="AL164" s="231">
        <f>VLOOKUP(Primary_Order[[#This Row],[Product ID]],SKU[],14,0)*Primary_Order[[#This Row],[Total Qty]]</f>
        <v>16510.400000000001</v>
      </c>
      <c r="AM164" s="231">
        <f>IF(Primary_Order[[#This Row],[Cost]]=0,0,Primary_Order[[#This Row],[Net Total(-15%)]]-Primary_Order[[#This Row],[Cost]])</f>
        <v>1924.3826086956506</v>
      </c>
      <c r="AN164" s="206" t="str">
        <f>"O-"&amp;Primary_Order[[#This Row],[Date]]&amp;"-"&amp;Primary_Order[[#This Row],[MMD ID]]</f>
        <v>O-45683-D-0011</v>
      </c>
      <c r="AO164" s="206" t="str" cm="1">
        <f t="array" ref="AO16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5" spans="1:41" x14ac:dyDescent="0.5">
      <c r="A165" s="206" t="s">
        <v>1117</v>
      </c>
      <c r="B165" s="230">
        <v>45683</v>
      </c>
      <c r="C165" s="206" t="s">
        <v>103</v>
      </c>
      <c r="D165" s="206" t="s">
        <v>1050</v>
      </c>
      <c r="E165" s="206" t="s">
        <v>1051</v>
      </c>
      <c r="F165" s="213" t="s">
        <v>1052</v>
      </c>
      <c r="G165" s="206" t="s">
        <v>83</v>
      </c>
      <c r="H165" s="206" t="s">
        <v>84</v>
      </c>
      <c r="I165" s="206" t="s">
        <v>85</v>
      </c>
      <c r="J165" s="206" t="s">
        <v>86</v>
      </c>
      <c r="K165" s="206" t="s">
        <v>54</v>
      </c>
      <c r="L165" s="206" t="str">
        <f>VLOOKUP(Primary_Order[[#This Row],[Product ID]],SKU[],3,0)</f>
        <v>3000 4T PLUS 10W40</v>
      </c>
      <c r="M165" s="231">
        <v>120</v>
      </c>
      <c r="N165" s="231">
        <v>535</v>
      </c>
      <c r="O165" s="231">
        <v>120</v>
      </c>
      <c r="P165" s="232"/>
      <c r="Q165" s="231">
        <v>0</v>
      </c>
      <c r="R165" s="231">
        <v>535</v>
      </c>
      <c r="S165" s="231">
        <v>120</v>
      </c>
      <c r="T165" s="231">
        <v>120</v>
      </c>
      <c r="U165" s="231">
        <v>64200</v>
      </c>
      <c r="V165" s="231">
        <v>0</v>
      </c>
      <c r="W165" s="231">
        <v>64200</v>
      </c>
      <c r="X165" s="231">
        <v>8373.9130434782601</v>
      </c>
      <c r="Y165" s="231">
        <v>55826.086956521736</v>
      </c>
      <c r="Z165" s="206" t="s">
        <v>882</v>
      </c>
      <c r="AA165" s="206">
        <v>612</v>
      </c>
      <c r="AB165" s="206" t="s">
        <v>641</v>
      </c>
      <c r="AC165" s="230">
        <v>45685</v>
      </c>
      <c r="AD165" s="206" t="s">
        <v>50</v>
      </c>
      <c r="AE165" s="206" t="str">
        <f>IFERROR(VLOOKUP(Primary_Order[[#This Row],[AM]],SP!$E$19:$F$23,2,0),Primary_Order[[#This Row],[AM]])</f>
        <v>Northern</v>
      </c>
      <c r="AF165" s="206" t="str">
        <f>VLOOKUP(Primary_Order[[#This Row],[Product ID]],SKU[],10,0)</f>
        <v>Mineral</v>
      </c>
      <c r="AG165" s="206" t="str">
        <f>VLOOKUP(Primary_Order[[#This Row],[Product ID]],SKU[],9,0)</f>
        <v>MCO</v>
      </c>
      <c r="AH165" s="206" t="str">
        <f>VLOOKUP(Primary_Order[[#This Row],[Product ID]],SKU[],12,0)</f>
        <v>10W40</v>
      </c>
      <c r="AI165" s="206" t="str">
        <f>VLOOKUP(Primary_Order[[#This Row],[Product ID]],SKU[],13,0)</f>
        <v>3000</v>
      </c>
      <c r="AJ165" s="233">
        <f>VLOOKUP(Primary_Order[[#This Row],[Product ID]],SKU[[SKU ID]:[Bottle Size(Ltr)]],6,0)*Primary_Order[[#This Row],[Free Quantity]]</f>
        <v>0</v>
      </c>
      <c r="AK165" s="206" t="str">
        <f>VLOOKUP(Primary_Order[[#This Row],[Product ID]],SKU[[SKU ID]:[Bottle Size(Ltr)]],4,0)</f>
        <v>20x1L</v>
      </c>
      <c r="AL165" s="231">
        <f>VLOOKUP(Primary_Order[[#This Row],[Product ID]],SKU[],14,0)*Primary_Order[[#This Row],[Total Qty]]</f>
        <v>46182</v>
      </c>
      <c r="AM165" s="231">
        <f>IF(Primary_Order[[#This Row],[Cost]]=0,0,Primary_Order[[#This Row],[Net Total(-15%)]]-Primary_Order[[#This Row],[Cost]])</f>
        <v>9644.0869565217363</v>
      </c>
      <c r="AN165" s="206" t="str">
        <f>"O-"&amp;Primary_Order[[#This Row],[Date]]&amp;"-"&amp;Primary_Order[[#This Row],[MMD ID]]</f>
        <v>O-45683-D-0011</v>
      </c>
      <c r="AO165" s="206" t="str" cm="1">
        <f t="array" ref="AO16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6" spans="1:41" x14ac:dyDescent="0.5">
      <c r="A166" s="206" t="s">
        <v>1117</v>
      </c>
      <c r="B166" s="230">
        <v>45683</v>
      </c>
      <c r="C166" s="206" t="s">
        <v>103</v>
      </c>
      <c r="D166" s="206" t="s">
        <v>1050</v>
      </c>
      <c r="E166" s="206" t="s">
        <v>1051</v>
      </c>
      <c r="F166" s="213" t="s">
        <v>1052</v>
      </c>
      <c r="G166" s="206" t="s">
        <v>83</v>
      </c>
      <c r="H166" s="206" t="s">
        <v>84</v>
      </c>
      <c r="I166" s="206" t="s">
        <v>85</v>
      </c>
      <c r="J166" s="206" t="s">
        <v>86</v>
      </c>
      <c r="K166" s="206" t="s">
        <v>32</v>
      </c>
      <c r="L166" s="206" t="str">
        <f>VLOOKUP(Primary_Order[[#This Row],[Product ID]],SKU[],3,0)</f>
        <v>3000 4T PLUS 10W30</v>
      </c>
      <c r="M166" s="231">
        <v>40</v>
      </c>
      <c r="N166" s="231">
        <v>640</v>
      </c>
      <c r="O166" s="231">
        <v>48</v>
      </c>
      <c r="P166" s="232"/>
      <c r="Q166" s="231">
        <v>0</v>
      </c>
      <c r="R166" s="231">
        <v>640</v>
      </c>
      <c r="S166" s="231">
        <v>40</v>
      </c>
      <c r="T166" s="231">
        <v>48</v>
      </c>
      <c r="U166" s="231">
        <v>25600</v>
      </c>
      <c r="V166" s="231">
        <v>0</v>
      </c>
      <c r="W166" s="231">
        <v>25600</v>
      </c>
      <c r="X166" s="231">
        <v>3339.1304347826085</v>
      </c>
      <c r="Y166" s="231">
        <v>22260.869565217392</v>
      </c>
      <c r="Z166" s="206" t="s">
        <v>882</v>
      </c>
      <c r="AA166" s="206">
        <v>612</v>
      </c>
      <c r="AB166" s="206" t="s">
        <v>641</v>
      </c>
      <c r="AC166" s="230">
        <v>45685</v>
      </c>
      <c r="AD166" s="206" t="s">
        <v>50</v>
      </c>
      <c r="AE166" s="206" t="str">
        <f>IFERROR(VLOOKUP(Primary_Order[[#This Row],[AM]],SP!$E$19:$F$23,2,0),Primary_Order[[#This Row],[AM]])</f>
        <v>Northern</v>
      </c>
      <c r="AF166" s="206" t="str">
        <f>VLOOKUP(Primary_Order[[#This Row],[Product ID]],SKU[],10,0)</f>
        <v>Mineral</v>
      </c>
      <c r="AG166" s="206" t="str">
        <f>VLOOKUP(Primary_Order[[#This Row],[Product ID]],SKU[],9,0)</f>
        <v>MCO</v>
      </c>
      <c r="AH166" s="206" t="str">
        <f>VLOOKUP(Primary_Order[[#This Row],[Product ID]],SKU[],12,0)</f>
        <v>10W30</v>
      </c>
      <c r="AI166" s="206" t="str">
        <f>VLOOKUP(Primary_Order[[#This Row],[Product ID]],SKU[],13,0)</f>
        <v>3000</v>
      </c>
      <c r="AJ166" s="233">
        <f>VLOOKUP(Primary_Order[[#This Row],[Product ID]],SKU[[SKU ID]:[Bottle Size(Ltr)]],6,0)*Primary_Order[[#This Row],[Free Quantity]]</f>
        <v>0</v>
      </c>
      <c r="AK166" s="206" t="str">
        <f>VLOOKUP(Primary_Order[[#This Row],[Product ID]],SKU[[SKU ID]:[Bottle Size(Ltr)]],4,0)</f>
        <v>20x1.2L</v>
      </c>
      <c r="AL166" s="231">
        <f>VLOOKUP(Primary_Order[[#This Row],[Product ID]],SKU[],14,0)*Primary_Order[[#This Row],[Total Qty]]</f>
        <v>17556</v>
      </c>
      <c r="AM166" s="231">
        <f>IF(Primary_Order[[#This Row],[Cost]]=0,0,Primary_Order[[#This Row],[Net Total(-15%)]]-Primary_Order[[#This Row],[Cost]])</f>
        <v>4704.8695652173919</v>
      </c>
      <c r="AN166" s="206" t="str">
        <f>"O-"&amp;Primary_Order[[#This Row],[Date]]&amp;"-"&amp;Primary_Order[[#This Row],[MMD ID]]</f>
        <v>O-45683-D-0011</v>
      </c>
      <c r="AO166" s="206" t="str" cm="1">
        <f t="array" ref="AO16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7" spans="1:41" x14ac:dyDescent="0.5">
      <c r="A167" s="206" t="s">
        <v>1118</v>
      </c>
      <c r="B167" s="230">
        <v>45685</v>
      </c>
      <c r="C167" s="206" t="s">
        <v>100</v>
      </c>
      <c r="D167" s="206" t="s">
        <v>1111</v>
      </c>
      <c r="E167" s="206" t="s">
        <v>1112</v>
      </c>
      <c r="F167" s="206" t="s">
        <v>1113</v>
      </c>
      <c r="G167" s="206" t="s">
        <v>45</v>
      </c>
      <c r="H167" s="206" t="s">
        <v>28</v>
      </c>
      <c r="I167" s="206" t="s">
        <v>101</v>
      </c>
      <c r="J167" s="206" t="s">
        <v>536</v>
      </c>
      <c r="K167" s="206" t="s">
        <v>33</v>
      </c>
      <c r="L167" s="206" t="str">
        <f>VLOOKUP(Primary_Order[[#This Row],[Product ID]],SKU[],3,0)</f>
        <v>3000 4T PLUS 20W40</v>
      </c>
      <c r="M167" s="231">
        <v>20</v>
      </c>
      <c r="N167" s="231">
        <v>640</v>
      </c>
      <c r="O167" s="231">
        <v>24</v>
      </c>
      <c r="P167" s="232">
        <v>0</v>
      </c>
      <c r="Q167" s="231">
        <v>0</v>
      </c>
      <c r="R167" s="231">
        <v>640</v>
      </c>
      <c r="S167" s="231">
        <v>20</v>
      </c>
      <c r="T167" s="231">
        <v>24</v>
      </c>
      <c r="U167" s="231">
        <v>12800</v>
      </c>
      <c r="V167" s="231">
        <v>0</v>
      </c>
      <c r="W167" s="231">
        <v>12800</v>
      </c>
      <c r="X167" s="231">
        <v>1669.5652173913043</v>
      </c>
      <c r="Y167" s="231">
        <v>11130.434782608696</v>
      </c>
      <c r="Z167" s="206" t="s">
        <v>882</v>
      </c>
      <c r="AA167" s="206">
        <v>613</v>
      </c>
      <c r="AB167" s="206" t="s">
        <v>641</v>
      </c>
      <c r="AC167" s="230">
        <v>45685</v>
      </c>
      <c r="AD167" s="206" t="s">
        <v>50</v>
      </c>
      <c r="AE167" s="206" t="str">
        <f>IFERROR(VLOOKUP(Primary_Order[[#This Row],[AM]],SP!$E$19:$F$23,2,0),Primary_Order[[#This Row],[AM]])</f>
        <v>Eastern</v>
      </c>
      <c r="AF167" s="206" t="str">
        <f>VLOOKUP(Primary_Order[[#This Row],[Product ID]],SKU[],10,0)</f>
        <v>Mineral</v>
      </c>
      <c r="AG167" s="206" t="str">
        <f>VLOOKUP(Primary_Order[[#This Row],[Product ID]],SKU[],9,0)</f>
        <v>MCO</v>
      </c>
      <c r="AH167" s="206" t="str">
        <f>VLOOKUP(Primary_Order[[#This Row],[Product ID]],SKU[],12,0)</f>
        <v>20W40</v>
      </c>
      <c r="AI167" s="206" t="str">
        <f>VLOOKUP(Primary_Order[[#This Row],[Product ID]],SKU[],13,0)</f>
        <v>3000</v>
      </c>
      <c r="AJ167" s="233">
        <f>VLOOKUP(Primary_Order[[#This Row],[Product ID]],SKU[[SKU ID]:[Bottle Size(Ltr)]],6,0)*Primary_Order[[#This Row],[Free Quantity]]</f>
        <v>0</v>
      </c>
      <c r="AK167" s="206" t="str">
        <f>VLOOKUP(Primary_Order[[#This Row],[Product ID]],SKU[[SKU ID]:[Bottle Size(Ltr)]],4,0)</f>
        <v>20x1.2L</v>
      </c>
      <c r="AL167" s="231">
        <f>VLOOKUP(Primary_Order[[#This Row],[Product ID]],SKU[],14,0)*Primary_Order[[#This Row],[Total Qty]]</f>
        <v>9397.9559070121941</v>
      </c>
      <c r="AM167" s="231">
        <f>IF(Primary_Order[[#This Row],[Cost]]=0,0,Primary_Order[[#This Row],[Net Total(-15%)]]-Primary_Order[[#This Row],[Cost]])</f>
        <v>1732.4788755965019</v>
      </c>
      <c r="AN167" s="206" t="str">
        <f>"O-"&amp;Primary_Order[[#This Row],[Date]]&amp;"-"&amp;Primary_Order[[#This Row],[MMD ID]]</f>
        <v>O-45685-D-0014</v>
      </c>
      <c r="AO167" s="206" t="str" cm="1">
        <f t="array" ref="AO16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8" spans="1:41" x14ac:dyDescent="0.5">
      <c r="A168" s="206" t="s">
        <v>1118</v>
      </c>
      <c r="B168" s="230">
        <v>45685</v>
      </c>
      <c r="C168" s="206" t="s">
        <v>100</v>
      </c>
      <c r="D168" s="206" t="s">
        <v>1111</v>
      </c>
      <c r="E168" s="206" t="s">
        <v>1112</v>
      </c>
      <c r="F168" s="206" t="s">
        <v>1113</v>
      </c>
      <c r="G168" s="206" t="s">
        <v>45</v>
      </c>
      <c r="H168" s="206" t="s">
        <v>28</v>
      </c>
      <c r="I168" s="206" t="s">
        <v>101</v>
      </c>
      <c r="J168" s="206" t="s">
        <v>536</v>
      </c>
      <c r="K168" s="206" t="s">
        <v>152</v>
      </c>
      <c r="L168" s="206" t="str">
        <f>VLOOKUP(Primary_Order[[#This Row],[Product ID]],SKU[],3,0)</f>
        <v>Inugel Expert Coolant</v>
      </c>
      <c r="M168" s="231">
        <v>20</v>
      </c>
      <c r="N168" s="231">
        <v>420</v>
      </c>
      <c r="O168" s="231">
        <v>20</v>
      </c>
      <c r="P168" s="232">
        <v>0</v>
      </c>
      <c r="Q168" s="231">
        <v>0</v>
      </c>
      <c r="R168" s="231">
        <v>420</v>
      </c>
      <c r="S168" s="231">
        <v>20</v>
      </c>
      <c r="T168" s="231">
        <v>20</v>
      </c>
      <c r="U168" s="231">
        <v>8400</v>
      </c>
      <c r="V168" s="231">
        <v>0</v>
      </c>
      <c r="W168" s="231">
        <v>8400</v>
      </c>
      <c r="X168" s="231">
        <v>1095.6521739130435</v>
      </c>
      <c r="Y168" s="231">
        <v>7304.347826086957</v>
      </c>
      <c r="Z168" s="206" t="s">
        <v>882</v>
      </c>
      <c r="AA168" s="206">
        <v>613</v>
      </c>
      <c r="AB168" s="206" t="s">
        <v>641</v>
      </c>
      <c r="AC168" s="230">
        <v>45685</v>
      </c>
      <c r="AD168" s="206" t="s">
        <v>50</v>
      </c>
      <c r="AE168" s="206" t="str">
        <f>IFERROR(VLOOKUP(Primary_Order[[#This Row],[AM]],SP!$E$19:$F$23,2,0),Primary_Order[[#This Row],[AM]])</f>
        <v>Eastern</v>
      </c>
      <c r="AF168" s="206" t="str">
        <f>VLOOKUP(Primary_Order[[#This Row],[Product ID]],SKU[],10,0)</f>
        <v>Care Products</v>
      </c>
      <c r="AG168" s="206" t="str">
        <f>VLOOKUP(Primary_Order[[#This Row],[Product ID]],SKU[],9,0)</f>
        <v>Care Products</v>
      </c>
      <c r="AH168" s="206" t="str">
        <f>VLOOKUP(Primary_Order[[#This Row],[Product ID]],SKU[],12,0)</f>
        <v>Care Products</v>
      </c>
      <c r="AI168" s="206" t="str">
        <f>VLOOKUP(Primary_Order[[#This Row],[Product ID]],SKU[],13,0)</f>
        <v>Coolant</v>
      </c>
      <c r="AJ168" s="233">
        <f>VLOOKUP(Primary_Order[[#This Row],[Product ID]],SKU[[SKU ID]:[Bottle Size(Ltr)]],6,0)*Primary_Order[[#This Row],[Free Quantity]]</f>
        <v>0</v>
      </c>
      <c r="AK168" s="206" t="str">
        <f>VLOOKUP(Primary_Order[[#This Row],[Product ID]],SKU[[SKU ID]:[Bottle Size(Ltr)]],4,0)</f>
        <v>20x1L</v>
      </c>
      <c r="AL168" s="231">
        <f>VLOOKUP(Primary_Order[[#This Row],[Product ID]],SKU[],14,0)*Primary_Order[[#This Row],[Total Qty]]</f>
        <v>4612.7999999999993</v>
      </c>
      <c r="AM168" s="231">
        <f>IF(Primary_Order[[#This Row],[Cost]]=0,0,Primary_Order[[#This Row],[Net Total(-15%)]]-Primary_Order[[#This Row],[Cost]])</f>
        <v>2691.5478260869577</v>
      </c>
      <c r="AN168" s="206" t="str">
        <f>"O-"&amp;Primary_Order[[#This Row],[Date]]&amp;"-"&amp;Primary_Order[[#This Row],[MMD ID]]</f>
        <v>O-45685-D-0014</v>
      </c>
      <c r="AO168" s="206" t="str" cm="1">
        <f t="array" ref="AO16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69" spans="1:41" x14ac:dyDescent="0.5">
      <c r="A169" s="206" t="s">
        <v>1118</v>
      </c>
      <c r="B169" s="230">
        <v>45685</v>
      </c>
      <c r="C169" s="206" t="s">
        <v>100</v>
      </c>
      <c r="D169" s="206" t="s">
        <v>1111</v>
      </c>
      <c r="E169" s="206" t="s">
        <v>1112</v>
      </c>
      <c r="F169" s="206" t="s">
        <v>1113</v>
      </c>
      <c r="G169" s="206" t="s">
        <v>45</v>
      </c>
      <c r="H169" s="206" t="s">
        <v>28</v>
      </c>
      <c r="I169" s="206" t="s">
        <v>101</v>
      </c>
      <c r="J169" s="206" t="s">
        <v>536</v>
      </c>
      <c r="K169" s="206" t="s">
        <v>81</v>
      </c>
      <c r="L169" s="206" t="str">
        <f>VLOOKUP(Primary_Order[[#This Row],[Product ID]],SKU[],3,0)</f>
        <v>3000 4T 20W50</v>
      </c>
      <c r="M169" s="231">
        <v>40</v>
      </c>
      <c r="N169" s="231">
        <v>490</v>
      </c>
      <c r="O169" s="231">
        <v>40</v>
      </c>
      <c r="P169" s="232">
        <v>0</v>
      </c>
      <c r="Q169" s="231">
        <v>0</v>
      </c>
      <c r="R169" s="231">
        <v>490</v>
      </c>
      <c r="S169" s="231">
        <v>40</v>
      </c>
      <c r="T169" s="231">
        <v>40</v>
      </c>
      <c r="U169" s="231">
        <v>19600</v>
      </c>
      <c r="V169" s="231">
        <v>0</v>
      </c>
      <c r="W169" s="231">
        <v>19600</v>
      </c>
      <c r="X169" s="231">
        <v>2556.521739130435</v>
      </c>
      <c r="Y169" s="231">
        <v>17043.478260869564</v>
      </c>
      <c r="Z169" s="206" t="s">
        <v>882</v>
      </c>
      <c r="AA169" s="206">
        <v>613</v>
      </c>
      <c r="AB169" s="206" t="s">
        <v>641</v>
      </c>
      <c r="AC169" s="230">
        <v>45685</v>
      </c>
      <c r="AD169" s="206" t="s">
        <v>50</v>
      </c>
      <c r="AE169" s="206" t="str">
        <f>IFERROR(VLOOKUP(Primary_Order[[#This Row],[AM]],SP!$E$19:$F$23,2,0),Primary_Order[[#This Row],[AM]])</f>
        <v>Eastern</v>
      </c>
      <c r="AF169" s="206" t="str">
        <f>VLOOKUP(Primary_Order[[#This Row],[Product ID]],SKU[],10,0)</f>
        <v>Mineral</v>
      </c>
      <c r="AG169" s="206" t="str">
        <f>VLOOKUP(Primary_Order[[#This Row],[Product ID]],SKU[],9,0)</f>
        <v>MCO</v>
      </c>
      <c r="AH169" s="206" t="str">
        <f>VLOOKUP(Primary_Order[[#This Row],[Product ID]],SKU[],12,0)</f>
        <v>20W50</v>
      </c>
      <c r="AI169" s="206" t="str">
        <f>VLOOKUP(Primary_Order[[#This Row],[Product ID]],SKU[],13,0)</f>
        <v>3000</v>
      </c>
      <c r="AJ169" s="233">
        <f>VLOOKUP(Primary_Order[[#This Row],[Product ID]],SKU[[SKU ID]:[Bottle Size(Ltr)]],6,0)*Primary_Order[[#This Row],[Free Quantity]]</f>
        <v>0</v>
      </c>
      <c r="AK169" s="206" t="str">
        <f>VLOOKUP(Primary_Order[[#This Row],[Product ID]],SKU[[SKU ID]:[Bottle Size(Ltr)]],4,0)</f>
        <v>20x1L</v>
      </c>
      <c r="AL169" s="231">
        <f>VLOOKUP(Primary_Order[[#This Row],[Product ID]],SKU[],14,0)*Primary_Order[[#This Row],[Total Qty]]</f>
        <v>14596.800000000001</v>
      </c>
      <c r="AM169" s="231">
        <f>IF(Primary_Order[[#This Row],[Cost]]=0,0,Primary_Order[[#This Row],[Net Total(-15%)]]-Primary_Order[[#This Row],[Cost]])</f>
        <v>2446.678260869563</v>
      </c>
      <c r="AN169" s="206" t="str">
        <f>"O-"&amp;Primary_Order[[#This Row],[Date]]&amp;"-"&amp;Primary_Order[[#This Row],[MMD ID]]</f>
        <v>O-45685-D-0014</v>
      </c>
      <c r="AO169" s="206" t="str" cm="1">
        <f t="array" ref="AO16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0" spans="1:41" x14ac:dyDescent="0.5">
      <c r="A170" s="206" t="s">
        <v>1119</v>
      </c>
      <c r="B170" s="230">
        <v>45685</v>
      </c>
      <c r="C170" s="206" t="s">
        <v>433</v>
      </c>
      <c r="D170" s="206" t="s">
        <v>1114</v>
      </c>
      <c r="E170" s="206" t="s">
        <v>1115</v>
      </c>
      <c r="F170" s="206" t="s">
        <v>1116</v>
      </c>
      <c r="G170" s="206" t="s">
        <v>64</v>
      </c>
      <c r="H170" s="206" t="s">
        <v>40</v>
      </c>
      <c r="I170" s="206" t="s">
        <v>434</v>
      </c>
      <c r="J170" s="206" t="s">
        <v>435</v>
      </c>
      <c r="K170" s="206" t="s">
        <v>31</v>
      </c>
      <c r="L170" s="206" t="str">
        <f>VLOOKUP(Primary_Order[[#This Row],[Product ID]],SKU[],3,0)</f>
        <v>3000 4T PLUS 10W30</v>
      </c>
      <c r="M170" s="231">
        <v>60</v>
      </c>
      <c r="N170" s="231">
        <v>530</v>
      </c>
      <c r="O170" s="231">
        <v>60</v>
      </c>
      <c r="P170" s="232">
        <v>0</v>
      </c>
      <c r="Q170" s="231">
        <v>0</v>
      </c>
      <c r="R170" s="231">
        <v>530</v>
      </c>
      <c r="S170" s="231">
        <v>60</v>
      </c>
      <c r="T170" s="231">
        <v>60</v>
      </c>
      <c r="U170" s="231">
        <v>31800</v>
      </c>
      <c r="V170" s="231">
        <v>0</v>
      </c>
      <c r="W170" s="231">
        <v>31800</v>
      </c>
      <c r="X170" s="231">
        <v>4147.826086956522</v>
      </c>
      <c r="Y170" s="231">
        <v>27652.17391304348</v>
      </c>
      <c r="Z170" s="206" t="s">
        <v>882</v>
      </c>
      <c r="AA170" s="206">
        <v>614</v>
      </c>
      <c r="AB170" s="206" t="s">
        <v>641</v>
      </c>
      <c r="AC170" s="230">
        <v>45685</v>
      </c>
      <c r="AD170" s="206" t="s">
        <v>50</v>
      </c>
      <c r="AE170" s="206" t="str">
        <f>IFERROR(VLOOKUP(Primary_Order[[#This Row],[AM]],SP!$E$19:$F$23,2,0),Primary_Order[[#This Row],[AM]])</f>
        <v>Central</v>
      </c>
      <c r="AF170" s="206" t="str">
        <f>VLOOKUP(Primary_Order[[#This Row],[Product ID]],SKU[],10,0)</f>
        <v>Mineral</v>
      </c>
      <c r="AG170" s="206" t="str">
        <f>VLOOKUP(Primary_Order[[#This Row],[Product ID]],SKU[],9,0)</f>
        <v>MCO</v>
      </c>
      <c r="AH170" s="206" t="str">
        <f>VLOOKUP(Primary_Order[[#This Row],[Product ID]],SKU[],12,0)</f>
        <v>10W30</v>
      </c>
      <c r="AI170" s="206" t="str">
        <f>VLOOKUP(Primary_Order[[#This Row],[Product ID]],SKU[],13,0)</f>
        <v>3000</v>
      </c>
      <c r="AJ170" s="233">
        <f>VLOOKUP(Primary_Order[[#This Row],[Product ID]],SKU[[SKU ID]:[Bottle Size(Ltr)]],6,0)*Primary_Order[[#This Row],[Free Quantity]]</f>
        <v>0</v>
      </c>
      <c r="AK170" s="206" t="str">
        <f>VLOOKUP(Primary_Order[[#This Row],[Product ID]],SKU[[SKU ID]:[Bottle Size(Ltr)]],4,0)</f>
        <v>20x1L</v>
      </c>
      <c r="AL170" s="231">
        <f>VLOOKUP(Primary_Order[[#This Row],[Product ID]],SKU[],14,0)*Primary_Order[[#This Row],[Total Qty]]</f>
        <v>22759.8</v>
      </c>
      <c r="AM170" s="231">
        <f>IF(Primary_Order[[#This Row],[Cost]]=0,0,Primary_Order[[#This Row],[Net Total(-15%)]]-Primary_Order[[#This Row],[Cost]])</f>
        <v>4892.3739130434806</v>
      </c>
      <c r="AN170" s="206" t="str">
        <f>"O-"&amp;Primary_Order[[#This Row],[Date]]&amp;"-"&amp;Primary_Order[[#This Row],[MMD ID]]</f>
        <v>O-45685-D-0031</v>
      </c>
      <c r="AO170" s="206" t="str" cm="1">
        <f t="array" ref="AO17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1" spans="1:41" x14ac:dyDescent="0.5">
      <c r="A171" s="206" t="s">
        <v>1119</v>
      </c>
      <c r="B171" s="230">
        <v>45685</v>
      </c>
      <c r="C171" s="206" t="s">
        <v>433</v>
      </c>
      <c r="D171" s="206" t="s">
        <v>1114</v>
      </c>
      <c r="E171" s="206" t="s">
        <v>1115</v>
      </c>
      <c r="F171" s="206" t="s">
        <v>1116</v>
      </c>
      <c r="G171" s="206" t="s">
        <v>64</v>
      </c>
      <c r="H171" s="206" t="s">
        <v>40</v>
      </c>
      <c r="I171" s="206" t="s">
        <v>434</v>
      </c>
      <c r="J171" s="206" t="s">
        <v>435</v>
      </c>
      <c r="K171" s="206" t="s">
        <v>53</v>
      </c>
      <c r="L171" s="206" t="str">
        <f>VLOOKUP(Primary_Order[[#This Row],[Product ID]],SKU[],3,0)</f>
        <v>3000 4T PLUS 20W40</v>
      </c>
      <c r="M171" s="231">
        <v>120</v>
      </c>
      <c r="N171" s="231">
        <v>525</v>
      </c>
      <c r="O171" s="231">
        <v>120</v>
      </c>
      <c r="P171" s="232">
        <v>0</v>
      </c>
      <c r="Q171" s="231">
        <v>0</v>
      </c>
      <c r="R171" s="231">
        <v>525</v>
      </c>
      <c r="S171" s="231">
        <v>120</v>
      </c>
      <c r="T171" s="231">
        <v>120</v>
      </c>
      <c r="U171" s="231">
        <v>63000</v>
      </c>
      <c r="V171" s="231">
        <v>0</v>
      </c>
      <c r="W171" s="231">
        <v>63000</v>
      </c>
      <c r="X171" s="231">
        <v>8217.391304347826</v>
      </c>
      <c r="Y171" s="231">
        <v>54782.608695652176</v>
      </c>
      <c r="Z171" s="206" t="s">
        <v>882</v>
      </c>
      <c r="AA171" s="206">
        <v>614</v>
      </c>
      <c r="AB171" s="206" t="s">
        <v>641</v>
      </c>
      <c r="AC171" s="230">
        <v>45685</v>
      </c>
      <c r="AD171" s="206" t="s">
        <v>50</v>
      </c>
      <c r="AE171" s="206" t="str">
        <f>IFERROR(VLOOKUP(Primary_Order[[#This Row],[AM]],SP!$E$19:$F$23,2,0),Primary_Order[[#This Row],[AM]])</f>
        <v>Central</v>
      </c>
      <c r="AF171" s="206" t="str">
        <f>VLOOKUP(Primary_Order[[#This Row],[Product ID]],SKU[],10,0)</f>
        <v>Mineral</v>
      </c>
      <c r="AG171" s="206" t="str">
        <f>VLOOKUP(Primary_Order[[#This Row],[Product ID]],SKU[],9,0)</f>
        <v>MCO</v>
      </c>
      <c r="AH171" s="206" t="str">
        <f>VLOOKUP(Primary_Order[[#This Row],[Product ID]],SKU[],12,0)</f>
        <v>20W40</v>
      </c>
      <c r="AI171" s="206" t="str">
        <f>VLOOKUP(Primary_Order[[#This Row],[Product ID]],SKU[],13,0)</f>
        <v>3000</v>
      </c>
      <c r="AJ171" s="233">
        <f>VLOOKUP(Primary_Order[[#This Row],[Product ID]],SKU[[SKU ID]:[Bottle Size(Ltr)]],6,0)*Primary_Order[[#This Row],[Free Quantity]]</f>
        <v>0</v>
      </c>
      <c r="AK171" s="206" t="str">
        <f>VLOOKUP(Primary_Order[[#This Row],[Product ID]],SKU[[SKU ID]:[Bottle Size(Ltr)]],4,0)</f>
        <v>20x1L</v>
      </c>
      <c r="AL171" s="231">
        <f>VLOOKUP(Primary_Order[[#This Row],[Product ID]],SKU[],14,0)*Primary_Order[[#This Row],[Total Qty]]</f>
        <v>49531.199999999997</v>
      </c>
      <c r="AM171" s="231">
        <f>IF(Primary_Order[[#This Row],[Cost]]=0,0,Primary_Order[[#This Row],[Net Total(-15%)]]-Primary_Order[[#This Row],[Cost]])</f>
        <v>5251.4086956521787</v>
      </c>
      <c r="AN171" s="206" t="str">
        <f>"O-"&amp;Primary_Order[[#This Row],[Date]]&amp;"-"&amp;Primary_Order[[#This Row],[MMD ID]]</f>
        <v>O-45685-D-0031</v>
      </c>
      <c r="AO171" s="206" t="str" cm="1">
        <f t="array" ref="AO17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2" spans="1:41" x14ac:dyDescent="0.5">
      <c r="A172" s="206" t="s">
        <v>1119</v>
      </c>
      <c r="B172" s="230">
        <v>45685</v>
      </c>
      <c r="C172" s="206" t="s">
        <v>433</v>
      </c>
      <c r="D172" s="206" t="s">
        <v>1114</v>
      </c>
      <c r="E172" s="206" t="s">
        <v>1115</v>
      </c>
      <c r="F172" s="206" t="s">
        <v>1116</v>
      </c>
      <c r="G172" s="206" t="s">
        <v>64</v>
      </c>
      <c r="H172" s="206" t="s">
        <v>40</v>
      </c>
      <c r="I172" s="206" t="s">
        <v>434</v>
      </c>
      <c r="J172" s="206" t="s">
        <v>435</v>
      </c>
      <c r="K172" s="206" t="s">
        <v>75</v>
      </c>
      <c r="L172" s="206" t="str">
        <f>VLOOKUP(Primary_Order[[#This Row],[Product ID]],SKU[],3,0)</f>
        <v>31004T GOLD 20W50</v>
      </c>
      <c r="M172" s="231">
        <v>20</v>
      </c>
      <c r="N172" s="231">
        <v>590</v>
      </c>
      <c r="O172" s="231">
        <v>20</v>
      </c>
      <c r="P172" s="232">
        <v>0</v>
      </c>
      <c r="Q172" s="231">
        <v>0</v>
      </c>
      <c r="R172" s="231">
        <v>590</v>
      </c>
      <c r="S172" s="231">
        <v>20</v>
      </c>
      <c r="T172" s="231">
        <v>20</v>
      </c>
      <c r="U172" s="231">
        <v>11800</v>
      </c>
      <c r="V172" s="231">
        <v>0</v>
      </c>
      <c r="W172" s="231">
        <v>11800</v>
      </c>
      <c r="X172" s="231">
        <v>1539.1304347826087</v>
      </c>
      <c r="Y172" s="231">
        <v>10260.869565217392</v>
      </c>
      <c r="Z172" s="206" t="s">
        <v>882</v>
      </c>
      <c r="AA172" s="206">
        <v>614</v>
      </c>
      <c r="AB172" s="206" t="s">
        <v>641</v>
      </c>
      <c r="AC172" s="230">
        <v>45685</v>
      </c>
      <c r="AD172" s="206" t="s">
        <v>50</v>
      </c>
      <c r="AE172" s="206" t="str">
        <f>IFERROR(VLOOKUP(Primary_Order[[#This Row],[AM]],SP!$E$19:$F$23,2,0),Primary_Order[[#This Row],[AM]])</f>
        <v>Central</v>
      </c>
      <c r="AF172" s="206" t="str">
        <f>VLOOKUP(Primary_Order[[#This Row],[Product ID]],SKU[],10,0)</f>
        <v>Technosynthese</v>
      </c>
      <c r="AG172" s="206" t="str">
        <f>VLOOKUP(Primary_Order[[#This Row],[Product ID]],SKU[],9,0)</f>
        <v>MCO</v>
      </c>
      <c r="AH172" s="206" t="str">
        <f>VLOOKUP(Primary_Order[[#This Row],[Product ID]],SKU[],12,0)</f>
        <v>20W50</v>
      </c>
      <c r="AI172" s="206" t="str">
        <f>VLOOKUP(Primary_Order[[#This Row],[Product ID]],SKU[],13,0)</f>
        <v>3100</v>
      </c>
      <c r="AJ172" s="233">
        <f>VLOOKUP(Primary_Order[[#This Row],[Product ID]],SKU[[SKU ID]:[Bottle Size(Ltr)]],6,0)*Primary_Order[[#This Row],[Free Quantity]]</f>
        <v>0</v>
      </c>
      <c r="AK172" s="206" t="str">
        <f>VLOOKUP(Primary_Order[[#This Row],[Product ID]],SKU[[SKU ID]:[Bottle Size(Ltr)]],4,0)</f>
        <v>20x1L</v>
      </c>
      <c r="AL172" s="231">
        <f>VLOOKUP(Primary_Order[[#This Row],[Product ID]],SKU[],14,0)*Primary_Order[[#This Row],[Total Qty]]</f>
        <v>9387.7999999999993</v>
      </c>
      <c r="AM172" s="231">
        <f>IF(Primary_Order[[#This Row],[Cost]]=0,0,Primary_Order[[#This Row],[Net Total(-15%)]]-Primary_Order[[#This Row],[Cost]])</f>
        <v>873.06956521739266</v>
      </c>
      <c r="AN172" s="206" t="str">
        <f>"O-"&amp;Primary_Order[[#This Row],[Date]]&amp;"-"&amp;Primary_Order[[#This Row],[MMD ID]]</f>
        <v>O-45685-D-0031</v>
      </c>
      <c r="AO172" s="206" t="str" cm="1">
        <f t="array" ref="AO17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3" spans="1:41" x14ac:dyDescent="0.5">
      <c r="A173" s="206" t="s">
        <v>1119</v>
      </c>
      <c r="B173" s="230">
        <v>45685</v>
      </c>
      <c r="C173" s="206" t="s">
        <v>433</v>
      </c>
      <c r="D173" s="206" t="s">
        <v>1114</v>
      </c>
      <c r="E173" s="206" t="s">
        <v>1115</v>
      </c>
      <c r="F173" s="206" t="s">
        <v>1116</v>
      </c>
      <c r="G173" s="206" t="s">
        <v>64</v>
      </c>
      <c r="H173" s="206" t="s">
        <v>40</v>
      </c>
      <c r="I173" s="206" t="s">
        <v>434</v>
      </c>
      <c r="J173" s="206" t="s">
        <v>435</v>
      </c>
      <c r="K173" s="206" t="s">
        <v>77</v>
      </c>
      <c r="L173" s="206" t="str">
        <f>VLOOKUP(Primary_Order[[#This Row],[Product ID]],SKU[],3,0)</f>
        <v>31004T GOLD 10W30</v>
      </c>
      <c r="M173" s="231">
        <v>20</v>
      </c>
      <c r="N173" s="231">
        <v>590</v>
      </c>
      <c r="O173" s="231">
        <v>20</v>
      </c>
      <c r="P173" s="232">
        <v>0</v>
      </c>
      <c r="Q173" s="231">
        <v>0</v>
      </c>
      <c r="R173" s="231">
        <v>590</v>
      </c>
      <c r="S173" s="231">
        <v>20</v>
      </c>
      <c r="T173" s="231">
        <v>20</v>
      </c>
      <c r="U173" s="231">
        <v>11800</v>
      </c>
      <c r="V173" s="231">
        <v>0</v>
      </c>
      <c r="W173" s="231">
        <v>11800</v>
      </c>
      <c r="X173" s="231">
        <v>1539.1304347826087</v>
      </c>
      <c r="Y173" s="231">
        <v>10260.869565217392</v>
      </c>
      <c r="Z173" s="206" t="s">
        <v>882</v>
      </c>
      <c r="AA173" s="206">
        <v>614</v>
      </c>
      <c r="AB173" s="206" t="s">
        <v>641</v>
      </c>
      <c r="AC173" s="230">
        <v>45685</v>
      </c>
      <c r="AD173" s="206" t="s">
        <v>50</v>
      </c>
      <c r="AE173" s="206" t="str">
        <f>IFERROR(VLOOKUP(Primary_Order[[#This Row],[AM]],SP!$E$19:$F$23,2,0),Primary_Order[[#This Row],[AM]])</f>
        <v>Central</v>
      </c>
      <c r="AF173" s="206" t="str">
        <f>VLOOKUP(Primary_Order[[#This Row],[Product ID]],SKU[],10,0)</f>
        <v>Technosynthese</v>
      </c>
      <c r="AG173" s="206" t="str">
        <f>VLOOKUP(Primary_Order[[#This Row],[Product ID]],SKU[],9,0)</f>
        <v>MCO</v>
      </c>
      <c r="AH173" s="206" t="str">
        <f>VLOOKUP(Primary_Order[[#This Row],[Product ID]],SKU[],12,0)</f>
        <v>10W30</v>
      </c>
      <c r="AI173" s="206" t="str">
        <f>VLOOKUP(Primary_Order[[#This Row],[Product ID]],SKU[],13,0)</f>
        <v>3100</v>
      </c>
      <c r="AJ173" s="233">
        <f>VLOOKUP(Primary_Order[[#This Row],[Product ID]],SKU[[SKU ID]:[Bottle Size(Ltr)]],6,0)*Primary_Order[[#This Row],[Free Quantity]]</f>
        <v>0</v>
      </c>
      <c r="AK173" s="206" t="str">
        <f>VLOOKUP(Primary_Order[[#This Row],[Product ID]],SKU[[SKU ID]:[Bottle Size(Ltr)]],4,0)</f>
        <v>20x1L</v>
      </c>
      <c r="AL173" s="231">
        <f>VLOOKUP(Primary_Order[[#This Row],[Product ID]],SKU[],14,0)*Primary_Order[[#This Row],[Total Qty]]</f>
        <v>8502</v>
      </c>
      <c r="AM173" s="231">
        <f>IF(Primary_Order[[#This Row],[Cost]]=0,0,Primary_Order[[#This Row],[Net Total(-15%)]]-Primary_Order[[#This Row],[Cost]])</f>
        <v>1758.8695652173919</v>
      </c>
      <c r="AN173" s="206" t="str">
        <f>"O-"&amp;Primary_Order[[#This Row],[Date]]&amp;"-"&amp;Primary_Order[[#This Row],[MMD ID]]</f>
        <v>O-45685-D-0031</v>
      </c>
      <c r="AO173" s="206" t="str" cm="1">
        <f t="array" ref="AO17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4" spans="1:41" x14ac:dyDescent="0.5">
      <c r="A174" s="206" t="s">
        <v>1119</v>
      </c>
      <c r="B174" s="230">
        <v>45685</v>
      </c>
      <c r="C174" s="206" t="s">
        <v>433</v>
      </c>
      <c r="D174" s="206" t="s">
        <v>1114</v>
      </c>
      <c r="E174" s="206" t="s">
        <v>1115</v>
      </c>
      <c r="F174" s="206" t="s">
        <v>1116</v>
      </c>
      <c r="G174" s="206" t="s">
        <v>64</v>
      </c>
      <c r="H174" s="206" t="s">
        <v>40</v>
      </c>
      <c r="I174" s="206" t="s">
        <v>434</v>
      </c>
      <c r="J174" s="206" t="s">
        <v>435</v>
      </c>
      <c r="K174" s="206" t="s">
        <v>56</v>
      </c>
      <c r="L174" s="206" t="str">
        <f>VLOOKUP(Primary_Order[[#This Row],[Product ID]],SKU[],3,0)</f>
        <v>7100 4T 10W30 ESTER CORE®</v>
      </c>
      <c r="M174" s="231">
        <v>24</v>
      </c>
      <c r="N174" s="231">
        <v>1070</v>
      </c>
      <c r="O174" s="231">
        <v>24</v>
      </c>
      <c r="P174" s="232">
        <v>0</v>
      </c>
      <c r="Q174" s="231">
        <v>0</v>
      </c>
      <c r="R174" s="231">
        <v>1070</v>
      </c>
      <c r="S174" s="231">
        <v>24</v>
      </c>
      <c r="T174" s="231">
        <v>24</v>
      </c>
      <c r="U174" s="231">
        <v>25680</v>
      </c>
      <c r="V174" s="231">
        <v>0</v>
      </c>
      <c r="W174" s="231">
        <v>25680</v>
      </c>
      <c r="X174" s="231">
        <v>3349.5652173913045</v>
      </c>
      <c r="Y174" s="231">
        <v>22330.434782608696</v>
      </c>
      <c r="Z174" s="206" t="s">
        <v>882</v>
      </c>
      <c r="AA174" s="206">
        <v>614</v>
      </c>
      <c r="AB174" s="206" t="s">
        <v>641</v>
      </c>
      <c r="AC174" s="230">
        <v>45685</v>
      </c>
      <c r="AD174" s="206" t="s">
        <v>50</v>
      </c>
      <c r="AE174" s="206" t="str">
        <f>IFERROR(VLOOKUP(Primary_Order[[#This Row],[AM]],SP!$E$19:$F$23,2,0),Primary_Order[[#This Row],[AM]])</f>
        <v>Central</v>
      </c>
      <c r="AF174" s="206" t="str">
        <f>VLOOKUP(Primary_Order[[#This Row],[Product ID]],SKU[],10,0)</f>
        <v>Synthetic</v>
      </c>
      <c r="AG174" s="206" t="str">
        <f>VLOOKUP(Primary_Order[[#This Row],[Product ID]],SKU[],9,0)</f>
        <v>MCO</v>
      </c>
      <c r="AH174" s="206" t="str">
        <f>VLOOKUP(Primary_Order[[#This Row],[Product ID]],SKU[],12,0)</f>
        <v>10W30</v>
      </c>
      <c r="AI174" s="206" t="str">
        <f>VLOOKUP(Primary_Order[[#This Row],[Product ID]],SKU[],13,0)</f>
        <v>7100</v>
      </c>
      <c r="AJ174" s="233">
        <f>VLOOKUP(Primary_Order[[#This Row],[Product ID]],SKU[[SKU ID]:[Bottle Size(Ltr)]],6,0)*Primary_Order[[#This Row],[Free Quantity]]</f>
        <v>0</v>
      </c>
      <c r="AK174" s="206" t="str">
        <f>VLOOKUP(Primary_Order[[#This Row],[Product ID]],SKU[[SKU ID]:[Bottle Size(Ltr)]],4,0)</f>
        <v>12x1L</v>
      </c>
      <c r="AL174" s="231">
        <f>VLOOKUP(Primary_Order[[#This Row],[Product ID]],SKU[],14,0)*Primary_Order[[#This Row],[Total Qty]]</f>
        <v>16556.64</v>
      </c>
      <c r="AM174" s="231">
        <f>IF(Primary_Order[[#This Row],[Cost]]=0,0,Primary_Order[[#This Row],[Net Total(-15%)]]-Primary_Order[[#This Row],[Cost]])</f>
        <v>5773.7947826086966</v>
      </c>
      <c r="AN174" s="206" t="str">
        <f>"O-"&amp;Primary_Order[[#This Row],[Date]]&amp;"-"&amp;Primary_Order[[#This Row],[MMD ID]]</f>
        <v>O-45685-D-0031</v>
      </c>
      <c r="AO174" s="206" t="str" cm="1">
        <f t="array" ref="AO17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5" spans="1:41" x14ac:dyDescent="0.5">
      <c r="A175" s="206" t="s">
        <v>1119</v>
      </c>
      <c r="B175" s="230">
        <v>45685</v>
      </c>
      <c r="C175" s="206" t="s">
        <v>433</v>
      </c>
      <c r="D175" s="206" t="s">
        <v>1114</v>
      </c>
      <c r="E175" s="206" t="s">
        <v>1115</v>
      </c>
      <c r="F175" s="206" t="s">
        <v>1116</v>
      </c>
      <c r="G175" s="206" t="s">
        <v>64</v>
      </c>
      <c r="H175" s="206" t="s">
        <v>40</v>
      </c>
      <c r="I175" s="206" t="s">
        <v>434</v>
      </c>
      <c r="J175" s="206" t="s">
        <v>435</v>
      </c>
      <c r="K175" s="206" t="s">
        <v>58</v>
      </c>
      <c r="L175" s="206" t="str">
        <f>VLOOKUP(Primary_Order[[#This Row],[Product ID]],SKU[],3,0)</f>
        <v>7100 4T 20W50 ESTER CORE®</v>
      </c>
      <c r="M175" s="231">
        <v>24</v>
      </c>
      <c r="N175" s="231">
        <v>1070</v>
      </c>
      <c r="O175" s="231">
        <v>24</v>
      </c>
      <c r="P175" s="232">
        <v>0</v>
      </c>
      <c r="Q175" s="231">
        <v>0</v>
      </c>
      <c r="R175" s="231">
        <v>1070</v>
      </c>
      <c r="S175" s="231">
        <v>24</v>
      </c>
      <c r="T175" s="231">
        <v>24</v>
      </c>
      <c r="U175" s="231">
        <v>25680</v>
      </c>
      <c r="V175" s="231">
        <v>0</v>
      </c>
      <c r="W175" s="231">
        <v>25680</v>
      </c>
      <c r="X175" s="231">
        <v>3349.5652173913045</v>
      </c>
      <c r="Y175" s="231">
        <v>22330.434782608696</v>
      </c>
      <c r="Z175" s="206" t="s">
        <v>882</v>
      </c>
      <c r="AA175" s="206">
        <v>614</v>
      </c>
      <c r="AB175" s="206" t="s">
        <v>641</v>
      </c>
      <c r="AC175" s="230">
        <v>45685</v>
      </c>
      <c r="AD175" s="206" t="s">
        <v>50</v>
      </c>
      <c r="AE175" s="206" t="str">
        <f>IFERROR(VLOOKUP(Primary_Order[[#This Row],[AM]],SP!$E$19:$F$23,2,0),Primary_Order[[#This Row],[AM]])</f>
        <v>Central</v>
      </c>
      <c r="AF175" s="206" t="str">
        <f>VLOOKUP(Primary_Order[[#This Row],[Product ID]],SKU[],10,0)</f>
        <v>Synthetic</v>
      </c>
      <c r="AG175" s="206" t="str">
        <f>VLOOKUP(Primary_Order[[#This Row],[Product ID]],SKU[],9,0)</f>
        <v>MCO</v>
      </c>
      <c r="AH175" s="206" t="str">
        <f>VLOOKUP(Primary_Order[[#This Row],[Product ID]],SKU[],12,0)</f>
        <v>20W50</v>
      </c>
      <c r="AI175" s="206" t="str">
        <f>VLOOKUP(Primary_Order[[#This Row],[Product ID]],SKU[],13,0)</f>
        <v>7100</v>
      </c>
      <c r="AJ175" s="233">
        <f>VLOOKUP(Primary_Order[[#This Row],[Product ID]],SKU[[SKU ID]:[Bottle Size(Ltr)]],6,0)*Primary_Order[[#This Row],[Free Quantity]]</f>
        <v>0</v>
      </c>
      <c r="AK175" s="206" t="str">
        <f>VLOOKUP(Primary_Order[[#This Row],[Product ID]],SKU[[SKU ID]:[Bottle Size(Ltr)]],4,0)</f>
        <v>12x1L</v>
      </c>
      <c r="AL175" s="231">
        <f>VLOOKUP(Primary_Order[[#This Row],[Product ID]],SKU[],14,0)*Primary_Order[[#This Row],[Total Qty]]</f>
        <v>18328.761599999998</v>
      </c>
      <c r="AM175" s="231">
        <f>IF(Primary_Order[[#This Row],[Cost]]=0,0,Primary_Order[[#This Row],[Net Total(-15%)]]-Primary_Order[[#This Row],[Cost]])</f>
        <v>4001.673182608698</v>
      </c>
      <c r="AN175" s="206" t="str">
        <f>"O-"&amp;Primary_Order[[#This Row],[Date]]&amp;"-"&amp;Primary_Order[[#This Row],[MMD ID]]</f>
        <v>O-45685-D-0031</v>
      </c>
      <c r="AO175" s="206" t="str" cm="1">
        <f t="array" ref="AO17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6" spans="1:41" x14ac:dyDescent="0.5">
      <c r="A176" s="206" t="s">
        <v>1119</v>
      </c>
      <c r="B176" s="230">
        <v>45685</v>
      </c>
      <c r="C176" s="206" t="s">
        <v>433</v>
      </c>
      <c r="D176" s="206" t="s">
        <v>1114</v>
      </c>
      <c r="E176" s="206" t="s">
        <v>1115</v>
      </c>
      <c r="F176" s="206" t="s">
        <v>1116</v>
      </c>
      <c r="G176" s="206" t="s">
        <v>64</v>
      </c>
      <c r="H176" s="206" t="s">
        <v>40</v>
      </c>
      <c r="I176" s="206" t="s">
        <v>434</v>
      </c>
      <c r="J176" s="206" t="s">
        <v>435</v>
      </c>
      <c r="K176" s="206" t="s">
        <v>81</v>
      </c>
      <c r="L176" s="206" t="str">
        <f>VLOOKUP(Primary_Order[[#This Row],[Product ID]],SKU[],3,0)</f>
        <v>3000 4T 20W50</v>
      </c>
      <c r="M176" s="231">
        <v>100</v>
      </c>
      <c r="N176" s="231">
        <v>478</v>
      </c>
      <c r="O176" s="231">
        <v>100</v>
      </c>
      <c r="P176" s="232">
        <v>0</v>
      </c>
      <c r="Q176" s="231">
        <v>0</v>
      </c>
      <c r="R176" s="231">
        <v>478</v>
      </c>
      <c r="S176" s="231">
        <v>100</v>
      </c>
      <c r="T176" s="231">
        <v>100</v>
      </c>
      <c r="U176" s="231">
        <v>47800</v>
      </c>
      <c r="V176" s="231">
        <v>0</v>
      </c>
      <c r="W176" s="231">
        <v>47800</v>
      </c>
      <c r="X176" s="231">
        <v>6234.782608695652</v>
      </c>
      <c r="Y176" s="231">
        <v>41565.217391304344</v>
      </c>
      <c r="Z176" s="206" t="s">
        <v>882</v>
      </c>
      <c r="AA176" s="206">
        <v>614</v>
      </c>
      <c r="AB176" s="206" t="s">
        <v>641</v>
      </c>
      <c r="AC176" s="230">
        <v>45685</v>
      </c>
      <c r="AD176" s="206" t="s">
        <v>50</v>
      </c>
      <c r="AE176" s="206" t="str">
        <f>IFERROR(VLOOKUP(Primary_Order[[#This Row],[AM]],SP!$E$19:$F$23,2,0),Primary_Order[[#This Row],[AM]])</f>
        <v>Central</v>
      </c>
      <c r="AF176" s="206" t="str">
        <f>VLOOKUP(Primary_Order[[#This Row],[Product ID]],SKU[],10,0)</f>
        <v>Mineral</v>
      </c>
      <c r="AG176" s="206" t="str">
        <f>VLOOKUP(Primary_Order[[#This Row],[Product ID]],SKU[],9,0)</f>
        <v>MCO</v>
      </c>
      <c r="AH176" s="206" t="str">
        <f>VLOOKUP(Primary_Order[[#This Row],[Product ID]],SKU[],12,0)</f>
        <v>20W50</v>
      </c>
      <c r="AI176" s="206" t="str">
        <f>VLOOKUP(Primary_Order[[#This Row],[Product ID]],SKU[],13,0)</f>
        <v>3000</v>
      </c>
      <c r="AJ176" s="233">
        <f>VLOOKUP(Primary_Order[[#This Row],[Product ID]],SKU[[SKU ID]:[Bottle Size(Ltr)]],6,0)*Primary_Order[[#This Row],[Free Quantity]]</f>
        <v>0</v>
      </c>
      <c r="AK176" s="206" t="str">
        <f>VLOOKUP(Primary_Order[[#This Row],[Product ID]],SKU[[SKU ID]:[Bottle Size(Ltr)]],4,0)</f>
        <v>20x1L</v>
      </c>
      <c r="AL176" s="231">
        <f>VLOOKUP(Primary_Order[[#This Row],[Product ID]],SKU[],14,0)*Primary_Order[[#This Row],[Total Qty]]</f>
        <v>36492</v>
      </c>
      <c r="AM176" s="231">
        <f>IF(Primary_Order[[#This Row],[Cost]]=0,0,Primary_Order[[#This Row],[Net Total(-15%)]]-Primary_Order[[#This Row],[Cost]])</f>
        <v>5073.2173913043443</v>
      </c>
      <c r="AN176" s="206" t="str">
        <f>"O-"&amp;Primary_Order[[#This Row],[Date]]&amp;"-"&amp;Primary_Order[[#This Row],[MMD ID]]</f>
        <v>O-45685-D-0031</v>
      </c>
      <c r="AO176" s="206" t="str" cm="1">
        <f t="array" ref="AO17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7" spans="1:41" x14ac:dyDescent="0.5">
      <c r="A177" s="206" t="s">
        <v>1123</v>
      </c>
      <c r="B177" s="230">
        <v>45686</v>
      </c>
      <c r="C177" s="206" t="s">
        <v>141</v>
      </c>
      <c r="D177" s="206" t="s">
        <v>1188</v>
      </c>
      <c r="E177" s="206" t="s">
        <v>52</v>
      </c>
      <c r="F177" s="206" t="s">
        <v>50</v>
      </c>
      <c r="G177" s="206" t="s">
        <v>87</v>
      </c>
      <c r="H177" s="206" t="s">
        <v>87</v>
      </c>
      <c r="I177" s="206" t="s">
        <v>1293</v>
      </c>
      <c r="J177" s="206" t="s">
        <v>52</v>
      </c>
      <c r="K177" s="206" t="s">
        <v>131</v>
      </c>
      <c r="L177" s="206" t="str">
        <f>VLOOKUP(Primary_Order[[#This Row],[Product ID]],SKU[],3,0)</f>
        <v>ECO TEC Clean 0W20</v>
      </c>
      <c r="M177" s="231">
        <v>52</v>
      </c>
      <c r="N177" s="231">
        <v>2880</v>
      </c>
      <c r="O177" s="231">
        <v>208</v>
      </c>
      <c r="P177" s="232"/>
      <c r="Q177" s="231">
        <v>0</v>
      </c>
      <c r="R177" s="231">
        <v>2880</v>
      </c>
      <c r="S177" s="231">
        <v>52</v>
      </c>
      <c r="T177" s="231">
        <v>208</v>
      </c>
      <c r="U177" s="231">
        <v>149760</v>
      </c>
      <c r="V177" s="231">
        <v>0</v>
      </c>
      <c r="W177" s="231">
        <v>149760</v>
      </c>
      <c r="X177" s="231">
        <v>19533.91304347826</v>
      </c>
      <c r="Y177" s="231">
        <v>130226.08695652174</v>
      </c>
      <c r="Z177" s="206"/>
      <c r="AA177" s="206">
        <v>615</v>
      </c>
      <c r="AB177" s="206" t="s">
        <v>641</v>
      </c>
      <c r="AC177" s="230">
        <v>45686</v>
      </c>
      <c r="AD177" s="206" t="s">
        <v>50</v>
      </c>
      <c r="AE177" s="206" t="str">
        <f>IFERROR(VLOOKUP(Primary_Order[[#This Row],[AM]],SP!$E$19:$F$23,2,0),Primary_Order[[#This Row],[AM]])</f>
        <v>Captive Sales</v>
      </c>
      <c r="AF177" s="206" t="str">
        <f>VLOOKUP(Primary_Order[[#This Row],[Product ID]],SKU[],10,0)</f>
        <v>Synthetic</v>
      </c>
      <c r="AG177" s="206" t="str">
        <f>VLOOKUP(Primary_Order[[#This Row],[Product ID]],SKU[],9,0)</f>
        <v>PCMO</v>
      </c>
      <c r="AH177" s="206" t="str">
        <f>VLOOKUP(Primary_Order[[#This Row],[Product ID]],SKU[],12,0)</f>
        <v>0W20</v>
      </c>
      <c r="AI177" s="206" t="str">
        <f>VLOOKUP(Primary_Order[[#This Row],[Product ID]],SKU[],13,0)</f>
        <v>Clean</v>
      </c>
      <c r="AJ177" s="233">
        <f>VLOOKUP(Primary_Order[[#This Row],[Product ID]],SKU[[SKU ID]:[Bottle Size(Ltr)]],6,0)*Primary_Order[[#This Row],[Free Quantity]]</f>
        <v>0</v>
      </c>
      <c r="AK177" s="206" t="str">
        <f>VLOOKUP(Primary_Order[[#This Row],[Product ID]],SKU[[SKU ID]:[Bottle Size(Ltr)]],4,0)</f>
        <v>4x4L</v>
      </c>
      <c r="AL177" s="231">
        <f>VLOOKUP(Primary_Order[[#This Row],[Product ID]],SKU[],14,0)*Primary_Order[[#This Row],[Total Qty]]</f>
        <v>120823.03999999999</v>
      </c>
      <c r="AM177" s="231">
        <f>IF(Primary_Order[[#This Row],[Cost]]=0,0,Primary_Order[[#This Row],[Net Total(-15%)]]-Primary_Order[[#This Row],[Cost]])</f>
        <v>9403.04695652175</v>
      </c>
      <c r="AN177" s="206" t="str">
        <f>"O-"&amp;Primary_Order[[#This Row],[Date]]&amp;"-"&amp;Primary_Order[[#This Row],[MMD ID]]</f>
        <v>O-45686-D-0026</v>
      </c>
      <c r="AO177" s="206" t="str" cm="1">
        <f t="array" ref="AO17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8" spans="1:41" x14ac:dyDescent="0.5">
      <c r="A178" s="206" t="s">
        <v>1124</v>
      </c>
      <c r="B178" s="230">
        <v>45686</v>
      </c>
      <c r="C178" s="206" t="s">
        <v>1154</v>
      </c>
      <c r="D178" s="206" t="s">
        <v>1188</v>
      </c>
      <c r="E178" s="206" t="s">
        <v>52</v>
      </c>
      <c r="F178" s="206" t="s">
        <v>50</v>
      </c>
      <c r="G178" s="206" t="s">
        <v>87</v>
      </c>
      <c r="H178" s="206" t="s">
        <v>87</v>
      </c>
      <c r="I178" s="206" t="s">
        <v>1293</v>
      </c>
      <c r="J178" s="206" t="s">
        <v>52</v>
      </c>
      <c r="K178" s="206" t="s">
        <v>157</v>
      </c>
      <c r="L178" s="206" t="str">
        <f>VLOOKUP(Primary_Order[[#This Row],[Product ID]],SKU[],3,0)</f>
        <v>ECO TEC Plus 5W30</v>
      </c>
      <c r="M178" s="231">
        <v>280</v>
      </c>
      <c r="N178" s="231">
        <v>2360</v>
      </c>
      <c r="O178" s="231">
        <v>1120</v>
      </c>
      <c r="P178" s="232"/>
      <c r="Q178" s="231">
        <v>0</v>
      </c>
      <c r="R178" s="231">
        <v>2360</v>
      </c>
      <c r="S178" s="231">
        <v>280</v>
      </c>
      <c r="T178" s="231">
        <v>1120</v>
      </c>
      <c r="U178" s="231">
        <v>660800</v>
      </c>
      <c r="V178" s="231">
        <v>0</v>
      </c>
      <c r="W178" s="231">
        <v>660800</v>
      </c>
      <c r="X178" s="231">
        <v>86191.304347826081</v>
      </c>
      <c r="Y178" s="231">
        <v>574608.69565217395</v>
      </c>
      <c r="Z178" s="206" t="s">
        <v>882</v>
      </c>
      <c r="AA178" s="206">
        <v>616</v>
      </c>
      <c r="AB178" s="206" t="s">
        <v>641</v>
      </c>
      <c r="AC178" s="230">
        <v>45686</v>
      </c>
      <c r="AD178" s="206" t="s">
        <v>50</v>
      </c>
      <c r="AE178" s="206" t="str">
        <f>IFERROR(VLOOKUP(Primary_Order[[#This Row],[AM]],SP!$E$19:$F$23,2,0),Primary_Order[[#This Row],[AM]])</f>
        <v>Captive Sales</v>
      </c>
      <c r="AF178" s="206" t="str">
        <f>VLOOKUP(Primary_Order[[#This Row],[Product ID]],SKU[],10,0)</f>
        <v>Synthetic</v>
      </c>
      <c r="AG178" s="206" t="str">
        <f>VLOOKUP(Primary_Order[[#This Row],[Product ID]],SKU[],9,0)</f>
        <v>PCMO</v>
      </c>
      <c r="AH178" s="206" t="str">
        <f>VLOOKUP(Primary_Order[[#This Row],[Product ID]],SKU[],12,0)</f>
        <v>5W30</v>
      </c>
      <c r="AI178" s="206" t="str">
        <f>VLOOKUP(Primary_Order[[#This Row],[Product ID]],SKU[],13,0)</f>
        <v xml:space="preserve">ECO </v>
      </c>
      <c r="AJ178" s="233">
        <f>VLOOKUP(Primary_Order[[#This Row],[Product ID]],SKU[[SKU ID]:[Bottle Size(Ltr)]],6,0)*Primary_Order[[#This Row],[Free Quantity]]</f>
        <v>0</v>
      </c>
      <c r="AK178" s="206" t="str">
        <f>VLOOKUP(Primary_Order[[#This Row],[Product ID]],SKU[[SKU ID]:[Bottle Size(Ltr)]],4,0)</f>
        <v>4x4L</v>
      </c>
      <c r="AL178" s="231">
        <f>VLOOKUP(Primary_Order[[#This Row],[Product ID]],SKU[],14,0)*Primary_Order[[#This Row],[Total Qty]]</f>
        <v>529835.6</v>
      </c>
      <c r="AM178" s="231">
        <f>IF(Primary_Order[[#This Row],[Cost]]=0,0,Primary_Order[[#This Row],[Net Total(-15%)]]-Primary_Order[[#This Row],[Cost]])</f>
        <v>44773.095652173972</v>
      </c>
      <c r="AN178" s="206" t="str">
        <f>"O-"&amp;Primary_Order[[#This Row],[Date]]&amp;"-"&amp;Primary_Order[[#This Row],[MMD ID]]</f>
        <v>O-45686-d-0026</v>
      </c>
      <c r="AO178" s="206" t="str" cm="1">
        <f t="array" ref="AO17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79" spans="1:41" x14ac:dyDescent="0.5">
      <c r="A179" s="206" t="s">
        <v>1127</v>
      </c>
      <c r="B179" s="230">
        <v>45685</v>
      </c>
      <c r="C179" s="206" t="s">
        <v>102</v>
      </c>
      <c r="D179" s="206" t="s">
        <v>46</v>
      </c>
      <c r="E179" s="206" t="s">
        <v>1047</v>
      </c>
      <c r="F179" s="206" t="s">
        <v>1048</v>
      </c>
      <c r="G179" s="206" t="s">
        <v>45</v>
      </c>
      <c r="H179" s="206" t="s">
        <v>28</v>
      </c>
      <c r="I179" s="206" t="s">
        <v>46</v>
      </c>
      <c r="J179" s="206" t="s">
        <v>47</v>
      </c>
      <c r="K179" s="206" t="s">
        <v>156</v>
      </c>
      <c r="L179" s="206" t="str">
        <f>VLOOKUP(Primary_Order[[#This Row],[Product ID]],SKU[],3,0)</f>
        <v>2000 Multi Power 20W50</v>
      </c>
      <c r="M179" s="231">
        <v>4</v>
      </c>
      <c r="N179" s="231">
        <v>1800</v>
      </c>
      <c r="O179" s="231">
        <v>16</v>
      </c>
      <c r="P179" s="232">
        <v>0</v>
      </c>
      <c r="Q179" s="231">
        <v>0</v>
      </c>
      <c r="R179" s="231">
        <v>1800</v>
      </c>
      <c r="S179" s="231">
        <v>4</v>
      </c>
      <c r="T179" s="231">
        <v>16</v>
      </c>
      <c r="U179" s="231">
        <v>7200</v>
      </c>
      <c r="V179" s="231">
        <v>0</v>
      </c>
      <c r="W179" s="231">
        <v>7200</v>
      </c>
      <c r="X179" s="231">
        <v>939.13043478260875</v>
      </c>
      <c r="Y179" s="231">
        <v>6260.869565217391</v>
      </c>
      <c r="Z179" s="206" t="s">
        <v>882</v>
      </c>
      <c r="AA179" s="206">
        <v>617</v>
      </c>
      <c r="AB179" s="206" t="s">
        <v>641</v>
      </c>
      <c r="AC179" s="230">
        <v>45687</v>
      </c>
      <c r="AD179" s="206" t="s">
        <v>50</v>
      </c>
      <c r="AE179" s="206" t="str">
        <f>IFERROR(VLOOKUP(Primary_Order[[#This Row],[AM]],SP!$E$19:$F$23,2,0),Primary_Order[[#This Row],[AM]])</f>
        <v>Eastern</v>
      </c>
      <c r="AF179" s="206" t="str">
        <f>VLOOKUP(Primary_Order[[#This Row],[Product ID]],SKU[],10,0)</f>
        <v>Mineral</v>
      </c>
      <c r="AG179" s="206" t="str">
        <f>VLOOKUP(Primary_Order[[#This Row],[Product ID]],SKU[],9,0)</f>
        <v>PCMO</v>
      </c>
      <c r="AH179" s="206" t="str">
        <f>VLOOKUP(Primary_Order[[#This Row],[Product ID]],SKU[],12,0)</f>
        <v>20W50</v>
      </c>
      <c r="AI179" s="206" t="str">
        <f>VLOOKUP(Primary_Order[[#This Row],[Product ID]],SKU[],13,0)</f>
        <v>2000</v>
      </c>
      <c r="AJ179" s="233">
        <f>VLOOKUP(Primary_Order[[#This Row],[Product ID]],SKU[[SKU ID]:[Bottle Size(Ltr)]],6,0)*Primary_Order[[#This Row],[Free Quantity]]</f>
        <v>0</v>
      </c>
      <c r="AK179" s="206" t="str">
        <f>VLOOKUP(Primary_Order[[#This Row],[Product ID]],SKU[[SKU ID]:[Bottle Size(Ltr)]],4,0)</f>
        <v>4X4L</v>
      </c>
      <c r="AL179" s="231">
        <f>VLOOKUP(Primary_Order[[#This Row],[Product ID]],SKU[],14,0)*Primary_Order[[#This Row],[Total Qty]]</f>
        <v>4381.8</v>
      </c>
      <c r="AM179" s="231">
        <f>IF(Primary_Order[[#This Row],[Cost]]=0,0,Primary_Order[[#This Row],[Net Total(-15%)]]-Primary_Order[[#This Row],[Cost]])</f>
        <v>1879.0695652173908</v>
      </c>
      <c r="AN179" s="206" t="str">
        <f>"O-"&amp;Primary_Order[[#This Row],[Date]]&amp;"-"&amp;Primary_Order[[#This Row],[MMD ID]]</f>
        <v>O-45685-D-0003</v>
      </c>
      <c r="AO179" s="206" t="str" cm="1">
        <f t="array" ref="AO17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0" spans="1:41" x14ac:dyDescent="0.5">
      <c r="A180" s="206" t="s">
        <v>1127</v>
      </c>
      <c r="B180" s="230">
        <v>45685</v>
      </c>
      <c r="C180" s="206" t="s">
        <v>102</v>
      </c>
      <c r="D180" s="206" t="s">
        <v>46</v>
      </c>
      <c r="E180" s="206" t="s">
        <v>1047</v>
      </c>
      <c r="F180" s="206" t="s">
        <v>1048</v>
      </c>
      <c r="G180" s="206" t="s">
        <v>45</v>
      </c>
      <c r="H180" s="206" t="s">
        <v>28</v>
      </c>
      <c r="I180" s="206" t="s">
        <v>46</v>
      </c>
      <c r="J180" s="206" t="s">
        <v>47</v>
      </c>
      <c r="K180" s="206" t="s">
        <v>131</v>
      </c>
      <c r="L180" s="206" t="str">
        <f>VLOOKUP(Primary_Order[[#This Row],[Product ID]],SKU[],3,0)</f>
        <v>ECO TEC Clean 0W20</v>
      </c>
      <c r="M180" s="231">
        <v>2</v>
      </c>
      <c r="N180" s="231">
        <v>4000</v>
      </c>
      <c r="O180" s="231">
        <v>8</v>
      </c>
      <c r="P180" s="232">
        <v>0</v>
      </c>
      <c r="Q180" s="231">
        <v>0</v>
      </c>
      <c r="R180" s="231">
        <v>4000</v>
      </c>
      <c r="S180" s="231">
        <v>2</v>
      </c>
      <c r="T180" s="231">
        <v>8</v>
      </c>
      <c r="U180" s="231">
        <v>8000</v>
      </c>
      <c r="V180" s="231">
        <v>0</v>
      </c>
      <c r="W180" s="231">
        <v>8000</v>
      </c>
      <c r="X180" s="231">
        <v>1043.4782608695652</v>
      </c>
      <c r="Y180" s="231">
        <v>6956.521739130435</v>
      </c>
      <c r="Z180" s="206" t="s">
        <v>882</v>
      </c>
      <c r="AA180" s="206">
        <v>617</v>
      </c>
      <c r="AB180" s="206" t="s">
        <v>641</v>
      </c>
      <c r="AC180" s="230">
        <v>45687</v>
      </c>
      <c r="AD180" s="206" t="s">
        <v>50</v>
      </c>
      <c r="AE180" s="206" t="str">
        <f>IFERROR(VLOOKUP(Primary_Order[[#This Row],[AM]],SP!$E$19:$F$23,2,0),Primary_Order[[#This Row],[AM]])</f>
        <v>Eastern</v>
      </c>
      <c r="AF180" s="206" t="str">
        <f>VLOOKUP(Primary_Order[[#This Row],[Product ID]],SKU[],10,0)</f>
        <v>Synthetic</v>
      </c>
      <c r="AG180" s="206" t="str">
        <f>VLOOKUP(Primary_Order[[#This Row],[Product ID]],SKU[],9,0)</f>
        <v>PCMO</v>
      </c>
      <c r="AH180" s="206" t="str">
        <f>VLOOKUP(Primary_Order[[#This Row],[Product ID]],SKU[],12,0)</f>
        <v>0W20</v>
      </c>
      <c r="AI180" s="206" t="str">
        <f>VLOOKUP(Primary_Order[[#This Row],[Product ID]],SKU[],13,0)</f>
        <v>Clean</v>
      </c>
      <c r="AJ180" s="233">
        <f>VLOOKUP(Primary_Order[[#This Row],[Product ID]],SKU[[SKU ID]:[Bottle Size(Ltr)]],6,0)*Primary_Order[[#This Row],[Free Quantity]]</f>
        <v>0</v>
      </c>
      <c r="AK180" s="206" t="str">
        <f>VLOOKUP(Primary_Order[[#This Row],[Product ID]],SKU[[SKU ID]:[Bottle Size(Ltr)]],4,0)</f>
        <v>4x4L</v>
      </c>
      <c r="AL180" s="231">
        <f>VLOOKUP(Primary_Order[[#This Row],[Product ID]],SKU[],14,0)*Primary_Order[[#This Row],[Total Qty]]</f>
        <v>4647.04</v>
      </c>
      <c r="AM180" s="231">
        <f>IF(Primary_Order[[#This Row],[Cost]]=0,0,Primary_Order[[#This Row],[Net Total(-15%)]]-Primary_Order[[#This Row],[Cost]])</f>
        <v>2309.481739130435</v>
      </c>
      <c r="AN180" s="206" t="str">
        <f>"O-"&amp;Primary_Order[[#This Row],[Date]]&amp;"-"&amp;Primary_Order[[#This Row],[MMD ID]]</f>
        <v>O-45685-D-0003</v>
      </c>
      <c r="AO180" s="206" t="str" cm="1">
        <f t="array" ref="AO18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1" spans="1:41" x14ac:dyDescent="0.5">
      <c r="A181" s="206" t="s">
        <v>1128</v>
      </c>
      <c r="B181" s="230">
        <v>45685</v>
      </c>
      <c r="C181" s="206" t="s">
        <v>102</v>
      </c>
      <c r="D181" s="206" t="s">
        <v>46</v>
      </c>
      <c r="E181" s="206" t="s">
        <v>1047</v>
      </c>
      <c r="F181" s="206" t="s">
        <v>1048</v>
      </c>
      <c r="G181" s="206" t="s">
        <v>45</v>
      </c>
      <c r="H181" s="206" t="s">
        <v>28</v>
      </c>
      <c r="I181" s="206" t="s">
        <v>46</v>
      </c>
      <c r="J181" s="206" t="s">
        <v>47</v>
      </c>
      <c r="K181" s="206" t="s">
        <v>31</v>
      </c>
      <c r="L181" s="206" t="str">
        <f>VLOOKUP(Primary_Order[[#This Row],[Product ID]],SKU[],3,0)</f>
        <v>3000 4T PLUS 10W30</v>
      </c>
      <c r="M181" s="231">
        <v>100</v>
      </c>
      <c r="N181" s="231">
        <v>535</v>
      </c>
      <c r="O181" s="231">
        <v>100</v>
      </c>
      <c r="P181" s="232">
        <v>0</v>
      </c>
      <c r="Q181" s="231">
        <v>0</v>
      </c>
      <c r="R181" s="231">
        <v>535</v>
      </c>
      <c r="S181" s="231">
        <v>100</v>
      </c>
      <c r="T181" s="231">
        <v>100</v>
      </c>
      <c r="U181" s="231">
        <v>53500</v>
      </c>
      <c r="V181" s="231">
        <v>0</v>
      </c>
      <c r="W181" s="231">
        <v>53500</v>
      </c>
      <c r="X181" s="231">
        <v>6978.260869565217</v>
      </c>
      <c r="Y181" s="231">
        <v>46521.739130434784</v>
      </c>
      <c r="Z181" s="206" t="s">
        <v>882</v>
      </c>
      <c r="AA181" s="206">
        <v>618</v>
      </c>
      <c r="AB181" s="206" t="s">
        <v>641</v>
      </c>
      <c r="AC181" s="230">
        <v>45687</v>
      </c>
      <c r="AD181" s="206" t="s">
        <v>50</v>
      </c>
      <c r="AE181" s="206" t="str">
        <f>IFERROR(VLOOKUP(Primary_Order[[#This Row],[AM]],SP!$E$19:$F$23,2,0),Primary_Order[[#This Row],[AM]])</f>
        <v>Eastern</v>
      </c>
      <c r="AF181" s="206" t="str">
        <f>VLOOKUP(Primary_Order[[#This Row],[Product ID]],SKU[],10,0)</f>
        <v>Mineral</v>
      </c>
      <c r="AG181" s="206" t="str">
        <f>VLOOKUP(Primary_Order[[#This Row],[Product ID]],SKU[],9,0)</f>
        <v>MCO</v>
      </c>
      <c r="AH181" s="206" t="str">
        <f>VLOOKUP(Primary_Order[[#This Row],[Product ID]],SKU[],12,0)</f>
        <v>10W30</v>
      </c>
      <c r="AI181" s="206" t="str">
        <f>VLOOKUP(Primary_Order[[#This Row],[Product ID]],SKU[],13,0)</f>
        <v>3000</v>
      </c>
      <c r="AJ181" s="233">
        <f>VLOOKUP(Primary_Order[[#This Row],[Product ID]],SKU[[SKU ID]:[Bottle Size(Ltr)]],6,0)*Primary_Order[[#This Row],[Free Quantity]]</f>
        <v>0</v>
      </c>
      <c r="AK181" s="206" t="str">
        <f>VLOOKUP(Primary_Order[[#This Row],[Product ID]],SKU[[SKU ID]:[Bottle Size(Ltr)]],4,0)</f>
        <v>20x1L</v>
      </c>
      <c r="AL181" s="231">
        <f>VLOOKUP(Primary_Order[[#This Row],[Product ID]],SKU[],14,0)*Primary_Order[[#This Row],[Total Qty]]</f>
        <v>37933</v>
      </c>
      <c r="AM181" s="231">
        <f>IF(Primary_Order[[#This Row],[Cost]]=0,0,Primary_Order[[#This Row],[Net Total(-15%)]]-Primary_Order[[#This Row],[Cost]])</f>
        <v>8588.7391304347839</v>
      </c>
      <c r="AN181" s="206" t="str">
        <f>"O-"&amp;Primary_Order[[#This Row],[Date]]&amp;"-"&amp;Primary_Order[[#This Row],[MMD ID]]</f>
        <v>O-45685-D-0003</v>
      </c>
      <c r="AO181" s="206" t="str" cm="1">
        <f t="array" ref="AO18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2" spans="1:41" x14ac:dyDescent="0.5">
      <c r="A182" s="206" t="s">
        <v>1128</v>
      </c>
      <c r="B182" s="230">
        <v>45685</v>
      </c>
      <c r="C182" s="206" t="s">
        <v>102</v>
      </c>
      <c r="D182" s="206" t="s">
        <v>46</v>
      </c>
      <c r="E182" s="206" t="s">
        <v>1047</v>
      </c>
      <c r="F182" s="206" t="s">
        <v>1048</v>
      </c>
      <c r="G182" s="206" t="s">
        <v>45</v>
      </c>
      <c r="H182" s="206" t="s">
        <v>28</v>
      </c>
      <c r="I182" s="206" t="s">
        <v>46</v>
      </c>
      <c r="J182" s="206" t="s">
        <v>47</v>
      </c>
      <c r="K182" s="206" t="s">
        <v>54</v>
      </c>
      <c r="L182" s="206" t="str">
        <f>VLOOKUP(Primary_Order[[#This Row],[Product ID]],SKU[],3,0)</f>
        <v>3000 4T PLUS 10W40</v>
      </c>
      <c r="M182" s="231">
        <v>400</v>
      </c>
      <c r="N182" s="231">
        <v>540</v>
      </c>
      <c r="O182" s="231">
        <v>400</v>
      </c>
      <c r="P182" s="232">
        <v>0</v>
      </c>
      <c r="Q182" s="231">
        <v>0</v>
      </c>
      <c r="R182" s="231">
        <v>540</v>
      </c>
      <c r="S182" s="231">
        <v>400</v>
      </c>
      <c r="T182" s="231">
        <v>400</v>
      </c>
      <c r="U182" s="231">
        <v>216000</v>
      </c>
      <c r="V182" s="231">
        <v>0</v>
      </c>
      <c r="W182" s="231">
        <v>216000</v>
      </c>
      <c r="X182" s="231">
        <v>28173.91304347826</v>
      </c>
      <c r="Y182" s="231">
        <v>187826.08695652173</v>
      </c>
      <c r="Z182" s="206" t="s">
        <v>882</v>
      </c>
      <c r="AA182" s="206">
        <v>618</v>
      </c>
      <c r="AB182" s="206" t="s">
        <v>641</v>
      </c>
      <c r="AC182" s="230">
        <v>45687</v>
      </c>
      <c r="AD182" s="206" t="s">
        <v>50</v>
      </c>
      <c r="AE182" s="206" t="str">
        <f>IFERROR(VLOOKUP(Primary_Order[[#This Row],[AM]],SP!$E$19:$F$23,2,0),Primary_Order[[#This Row],[AM]])</f>
        <v>Eastern</v>
      </c>
      <c r="AF182" s="206" t="str">
        <f>VLOOKUP(Primary_Order[[#This Row],[Product ID]],SKU[],10,0)</f>
        <v>Mineral</v>
      </c>
      <c r="AG182" s="206" t="str">
        <f>VLOOKUP(Primary_Order[[#This Row],[Product ID]],SKU[],9,0)</f>
        <v>MCO</v>
      </c>
      <c r="AH182" s="206" t="str">
        <f>VLOOKUP(Primary_Order[[#This Row],[Product ID]],SKU[],12,0)</f>
        <v>10W40</v>
      </c>
      <c r="AI182" s="206" t="str">
        <f>VLOOKUP(Primary_Order[[#This Row],[Product ID]],SKU[],13,0)</f>
        <v>3000</v>
      </c>
      <c r="AJ182" s="233">
        <f>VLOOKUP(Primary_Order[[#This Row],[Product ID]],SKU[[SKU ID]:[Bottle Size(Ltr)]],6,0)*Primary_Order[[#This Row],[Free Quantity]]</f>
        <v>0</v>
      </c>
      <c r="AK182" s="206" t="str">
        <f>VLOOKUP(Primary_Order[[#This Row],[Product ID]],SKU[[SKU ID]:[Bottle Size(Ltr)]],4,0)</f>
        <v>20x1L</v>
      </c>
      <c r="AL182" s="231">
        <f>VLOOKUP(Primary_Order[[#This Row],[Product ID]],SKU[],14,0)*Primary_Order[[#This Row],[Total Qty]]</f>
        <v>153940</v>
      </c>
      <c r="AM182" s="231">
        <f>IF(Primary_Order[[#This Row],[Cost]]=0,0,Primary_Order[[#This Row],[Net Total(-15%)]]-Primary_Order[[#This Row],[Cost]])</f>
        <v>33886.086956521729</v>
      </c>
      <c r="AN182" s="206" t="str">
        <f>"O-"&amp;Primary_Order[[#This Row],[Date]]&amp;"-"&amp;Primary_Order[[#This Row],[MMD ID]]</f>
        <v>O-45685-D-0003</v>
      </c>
      <c r="AO182" s="206" t="str" cm="1">
        <f t="array" ref="AO18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3" spans="1:41" x14ac:dyDescent="0.5">
      <c r="A183" s="206" t="s">
        <v>1128</v>
      </c>
      <c r="B183" s="230">
        <v>45685</v>
      </c>
      <c r="C183" s="206" t="s">
        <v>102</v>
      </c>
      <c r="D183" s="206" t="s">
        <v>46</v>
      </c>
      <c r="E183" s="206" t="s">
        <v>1047</v>
      </c>
      <c r="F183" s="206" t="s">
        <v>1048</v>
      </c>
      <c r="G183" s="206" t="s">
        <v>45</v>
      </c>
      <c r="H183" s="206" t="s">
        <v>28</v>
      </c>
      <c r="I183" s="206" t="s">
        <v>46</v>
      </c>
      <c r="J183" s="206" t="s">
        <v>47</v>
      </c>
      <c r="K183" s="206" t="s">
        <v>75</v>
      </c>
      <c r="L183" s="206" t="str">
        <f>VLOOKUP(Primary_Order[[#This Row],[Product ID]],SKU[],3,0)</f>
        <v>31004T GOLD 20W50</v>
      </c>
      <c r="M183" s="231">
        <v>60</v>
      </c>
      <c r="N183" s="231">
        <v>600</v>
      </c>
      <c r="O183" s="231">
        <v>60</v>
      </c>
      <c r="P183" s="232">
        <v>0</v>
      </c>
      <c r="Q183" s="231">
        <v>0</v>
      </c>
      <c r="R183" s="231">
        <v>600</v>
      </c>
      <c r="S183" s="231">
        <v>60</v>
      </c>
      <c r="T183" s="231">
        <v>60</v>
      </c>
      <c r="U183" s="231">
        <v>36000</v>
      </c>
      <c r="V183" s="231">
        <v>0</v>
      </c>
      <c r="W183" s="231">
        <v>36000</v>
      </c>
      <c r="X183" s="231">
        <v>4695.652173913043</v>
      </c>
      <c r="Y183" s="231">
        <v>31304.347826086956</v>
      </c>
      <c r="Z183" s="206" t="s">
        <v>882</v>
      </c>
      <c r="AA183" s="206">
        <v>618</v>
      </c>
      <c r="AB183" s="206" t="s">
        <v>641</v>
      </c>
      <c r="AC183" s="230">
        <v>45687</v>
      </c>
      <c r="AD183" s="206" t="s">
        <v>50</v>
      </c>
      <c r="AE183" s="206" t="str">
        <f>IFERROR(VLOOKUP(Primary_Order[[#This Row],[AM]],SP!$E$19:$F$23,2,0),Primary_Order[[#This Row],[AM]])</f>
        <v>Eastern</v>
      </c>
      <c r="AF183" s="206" t="str">
        <f>VLOOKUP(Primary_Order[[#This Row],[Product ID]],SKU[],10,0)</f>
        <v>Technosynthese</v>
      </c>
      <c r="AG183" s="206" t="str">
        <f>VLOOKUP(Primary_Order[[#This Row],[Product ID]],SKU[],9,0)</f>
        <v>MCO</v>
      </c>
      <c r="AH183" s="206" t="str">
        <f>VLOOKUP(Primary_Order[[#This Row],[Product ID]],SKU[],12,0)</f>
        <v>20W50</v>
      </c>
      <c r="AI183" s="206" t="str">
        <f>VLOOKUP(Primary_Order[[#This Row],[Product ID]],SKU[],13,0)</f>
        <v>3100</v>
      </c>
      <c r="AJ183" s="233">
        <f>VLOOKUP(Primary_Order[[#This Row],[Product ID]],SKU[[SKU ID]:[Bottle Size(Ltr)]],6,0)*Primary_Order[[#This Row],[Free Quantity]]</f>
        <v>0</v>
      </c>
      <c r="AK183" s="206" t="str">
        <f>VLOOKUP(Primary_Order[[#This Row],[Product ID]],SKU[[SKU ID]:[Bottle Size(Ltr)]],4,0)</f>
        <v>20x1L</v>
      </c>
      <c r="AL183" s="231">
        <f>VLOOKUP(Primary_Order[[#This Row],[Product ID]],SKU[],14,0)*Primary_Order[[#This Row],[Total Qty]]</f>
        <v>28163.399999999998</v>
      </c>
      <c r="AM183" s="231">
        <f>IF(Primary_Order[[#This Row],[Cost]]=0,0,Primary_Order[[#This Row],[Net Total(-15%)]]-Primary_Order[[#This Row],[Cost]])</f>
        <v>3140.9478260869582</v>
      </c>
      <c r="AN183" s="206" t="str">
        <f>"O-"&amp;Primary_Order[[#This Row],[Date]]&amp;"-"&amp;Primary_Order[[#This Row],[MMD ID]]</f>
        <v>O-45685-D-0003</v>
      </c>
      <c r="AO183" s="206" t="str" cm="1">
        <f t="array" ref="AO18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4" spans="1:41" x14ac:dyDescent="0.5">
      <c r="A184" s="206" t="s">
        <v>1128</v>
      </c>
      <c r="B184" s="230">
        <v>45685</v>
      </c>
      <c r="C184" s="206" t="s">
        <v>102</v>
      </c>
      <c r="D184" s="206" t="s">
        <v>46</v>
      </c>
      <c r="E184" s="206" t="s">
        <v>1047</v>
      </c>
      <c r="F184" s="206" t="s">
        <v>1048</v>
      </c>
      <c r="G184" s="206" t="s">
        <v>45</v>
      </c>
      <c r="H184" s="206" t="s">
        <v>28</v>
      </c>
      <c r="I184" s="206" t="s">
        <v>46</v>
      </c>
      <c r="J184" s="206" t="s">
        <v>47</v>
      </c>
      <c r="K184" s="206" t="s">
        <v>35</v>
      </c>
      <c r="L184" s="206" t="str">
        <f>VLOOKUP(Primary_Order[[#This Row],[Product ID]],SKU[],3,0)</f>
        <v>51004T 10W30 ESTER</v>
      </c>
      <c r="M184" s="231">
        <v>24</v>
      </c>
      <c r="N184" s="231">
        <v>860</v>
      </c>
      <c r="O184" s="231">
        <v>24</v>
      </c>
      <c r="P184" s="232">
        <v>0</v>
      </c>
      <c r="Q184" s="231">
        <v>0</v>
      </c>
      <c r="R184" s="231">
        <v>860</v>
      </c>
      <c r="S184" s="231">
        <v>24</v>
      </c>
      <c r="T184" s="231">
        <v>24</v>
      </c>
      <c r="U184" s="231">
        <v>20640</v>
      </c>
      <c r="V184" s="231">
        <v>0</v>
      </c>
      <c r="W184" s="231">
        <v>20640</v>
      </c>
      <c r="X184" s="231">
        <v>2692.1739130434785</v>
      </c>
      <c r="Y184" s="231">
        <v>17947.82608695652</v>
      </c>
      <c r="Z184" s="206" t="s">
        <v>882</v>
      </c>
      <c r="AA184" s="206">
        <v>618</v>
      </c>
      <c r="AB184" s="206" t="s">
        <v>641</v>
      </c>
      <c r="AC184" s="230">
        <v>45687</v>
      </c>
      <c r="AD184" s="206" t="s">
        <v>50</v>
      </c>
      <c r="AE184" s="206" t="str">
        <f>IFERROR(VLOOKUP(Primary_Order[[#This Row],[AM]],SP!$E$19:$F$23,2,0),Primary_Order[[#This Row],[AM]])</f>
        <v>Eastern</v>
      </c>
      <c r="AF184" s="206" t="str">
        <f>VLOOKUP(Primary_Order[[#This Row],[Product ID]],SKU[],10,0)</f>
        <v>Technosynthese</v>
      </c>
      <c r="AG184" s="206" t="str">
        <f>VLOOKUP(Primary_Order[[#This Row],[Product ID]],SKU[],9,0)</f>
        <v>MCO</v>
      </c>
      <c r="AH184" s="206" t="str">
        <f>VLOOKUP(Primary_Order[[#This Row],[Product ID]],SKU[],12,0)</f>
        <v>10W30</v>
      </c>
      <c r="AI184" s="206" t="str">
        <f>VLOOKUP(Primary_Order[[#This Row],[Product ID]],SKU[],13,0)</f>
        <v>5100</v>
      </c>
      <c r="AJ184" s="233">
        <f>VLOOKUP(Primary_Order[[#This Row],[Product ID]],SKU[[SKU ID]:[Bottle Size(Ltr)]],6,0)*Primary_Order[[#This Row],[Free Quantity]]</f>
        <v>0</v>
      </c>
      <c r="AK184" s="206" t="str">
        <f>VLOOKUP(Primary_Order[[#This Row],[Product ID]],SKU[[SKU ID]:[Bottle Size(Ltr)]],4,0)</f>
        <v>12x1L</v>
      </c>
      <c r="AL184" s="231">
        <f>VLOOKUP(Primary_Order[[#This Row],[Product ID]],SKU[],14,0)*Primary_Order[[#This Row],[Total Qty]]</f>
        <v>14463.36</v>
      </c>
      <c r="AM184" s="231">
        <f>IF(Primary_Order[[#This Row],[Cost]]=0,0,Primary_Order[[#This Row],[Net Total(-15%)]]-Primary_Order[[#This Row],[Cost]])</f>
        <v>3484.4660869565196</v>
      </c>
      <c r="AN184" s="206" t="str">
        <f>"O-"&amp;Primary_Order[[#This Row],[Date]]&amp;"-"&amp;Primary_Order[[#This Row],[MMD ID]]</f>
        <v>O-45685-D-0003</v>
      </c>
      <c r="AO184" s="206" t="str" cm="1">
        <f t="array" ref="AO18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5" spans="1:41" x14ac:dyDescent="0.5">
      <c r="A185" s="206" t="s">
        <v>1129</v>
      </c>
      <c r="B185" s="230">
        <v>45685</v>
      </c>
      <c r="C185" s="206" t="s">
        <v>1130</v>
      </c>
      <c r="D185" s="206" t="s">
        <v>88</v>
      </c>
      <c r="E185" s="206" t="s">
        <v>52</v>
      </c>
      <c r="F185" s="206" t="s">
        <v>50</v>
      </c>
      <c r="G185" s="206" t="s">
        <v>87</v>
      </c>
      <c r="H185" s="206" t="s">
        <v>87</v>
      </c>
      <c r="I185" s="206" t="s">
        <v>88</v>
      </c>
      <c r="J185" s="206" t="s">
        <v>52</v>
      </c>
      <c r="K185" s="206" t="s">
        <v>106</v>
      </c>
      <c r="L185" s="206" t="str">
        <f>VLOOKUP(Primary_Order[[#This Row],[Product ID]],SKU[],3,0)</f>
        <v>300V FL 10W40 ESTER CORE®</v>
      </c>
      <c r="M185" s="231">
        <v>102</v>
      </c>
      <c r="N185" s="231">
        <v>1650</v>
      </c>
      <c r="O185" s="231">
        <v>102</v>
      </c>
      <c r="P185" s="232">
        <v>0</v>
      </c>
      <c r="Q185" s="231">
        <v>0</v>
      </c>
      <c r="R185" s="231">
        <v>1650</v>
      </c>
      <c r="S185" s="231">
        <v>102</v>
      </c>
      <c r="T185" s="231">
        <v>102</v>
      </c>
      <c r="U185" s="231">
        <v>168300</v>
      </c>
      <c r="V185" s="231">
        <v>0</v>
      </c>
      <c r="W185" s="231">
        <v>168300</v>
      </c>
      <c r="X185" s="231">
        <v>21952.17391304348</v>
      </c>
      <c r="Y185" s="231">
        <v>146347.82608695651</v>
      </c>
      <c r="Z185" s="206" t="s">
        <v>882</v>
      </c>
      <c r="AA185" s="206">
        <v>620</v>
      </c>
      <c r="AB185" s="206" t="s">
        <v>641</v>
      </c>
      <c r="AC185" s="230">
        <v>45687</v>
      </c>
      <c r="AD185" s="206" t="s">
        <v>50</v>
      </c>
      <c r="AE185" s="206" t="str">
        <f>IFERROR(VLOOKUP(Primary_Order[[#This Row],[AM]],SP!$E$19:$F$23,2,0),Primary_Order[[#This Row],[AM]])</f>
        <v>Captive Sales</v>
      </c>
      <c r="AF185" s="206" t="str">
        <f>VLOOKUP(Primary_Order[[#This Row],[Product ID]],SKU[],10,0)</f>
        <v>Synthetic</v>
      </c>
      <c r="AG185" s="206" t="str">
        <f>VLOOKUP(Primary_Order[[#This Row],[Product ID]],SKU[],9,0)</f>
        <v>MCO</v>
      </c>
      <c r="AH185" s="206" t="str">
        <f>VLOOKUP(Primary_Order[[#This Row],[Product ID]],SKU[],12,0)</f>
        <v>10W40</v>
      </c>
      <c r="AI185" s="206" t="str">
        <f>VLOOKUP(Primary_Order[[#This Row],[Product ID]],SKU[],13,0)</f>
        <v>300V</v>
      </c>
      <c r="AJ185" s="233">
        <f>VLOOKUP(Primary_Order[[#This Row],[Product ID]],SKU[[SKU ID]:[Bottle Size(Ltr)]],6,0)*Primary_Order[[#This Row],[Free Quantity]]</f>
        <v>0</v>
      </c>
      <c r="AK185" s="206" t="str">
        <f>VLOOKUP(Primary_Order[[#This Row],[Product ID]],SKU[[SKU ID]:[Bottle Size(Ltr)]],4,0)</f>
        <v>12x1L</v>
      </c>
      <c r="AL185" s="231">
        <f>VLOOKUP(Primary_Order[[#This Row],[Product ID]],SKU[],14,0)*Primary_Order[[#This Row],[Total Qty]]</f>
        <v>123858.59999999999</v>
      </c>
      <c r="AM185" s="231">
        <f>IF(Primary_Order[[#This Row],[Cost]]=0,0,Primary_Order[[#This Row],[Net Total(-15%)]]-Primary_Order[[#This Row],[Cost]])</f>
        <v>22489.226086956522</v>
      </c>
      <c r="AN185" s="206" t="str">
        <f>"O-"&amp;Primary_Order[[#This Row],[Date]]&amp;"-"&amp;Primary_Order[[#This Row],[MMD ID]]</f>
        <v>O-45685-d-0025</v>
      </c>
      <c r="AO185" s="206" t="str" cm="1">
        <f t="array" ref="AO18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6" spans="1:41" x14ac:dyDescent="0.5">
      <c r="A186" s="206" t="s">
        <v>1129</v>
      </c>
      <c r="B186" s="230">
        <v>45685</v>
      </c>
      <c r="C186" s="206" t="s">
        <v>1130</v>
      </c>
      <c r="D186" s="206" t="s">
        <v>88</v>
      </c>
      <c r="E186" s="206" t="s">
        <v>52</v>
      </c>
      <c r="F186" s="206" t="s">
        <v>50</v>
      </c>
      <c r="G186" s="206" t="s">
        <v>87</v>
      </c>
      <c r="H186" s="206" t="s">
        <v>87</v>
      </c>
      <c r="I186" s="206" t="s">
        <v>88</v>
      </c>
      <c r="J186" s="206" t="s">
        <v>52</v>
      </c>
      <c r="K186" s="206" t="s">
        <v>152</v>
      </c>
      <c r="L186" s="206" t="str">
        <f>VLOOKUP(Primary_Order[[#This Row],[Product ID]],SKU[],3,0)</f>
        <v>Inugel Expert Coolant</v>
      </c>
      <c r="M186" s="231">
        <v>100</v>
      </c>
      <c r="N186" s="231">
        <v>340</v>
      </c>
      <c r="O186" s="231">
        <v>100</v>
      </c>
      <c r="P186" s="232">
        <v>0</v>
      </c>
      <c r="Q186" s="231">
        <v>0</v>
      </c>
      <c r="R186" s="231">
        <v>340</v>
      </c>
      <c r="S186" s="231">
        <v>100</v>
      </c>
      <c r="T186" s="231">
        <v>100</v>
      </c>
      <c r="U186" s="231">
        <v>34000</v>
      </c>
      <c r="V186" s="231">
        <v>0</v>
      </c>
      <c r="W186" s="231">
        <v>34000</v>
      </c>
      <c r="X186" s="231">
        <v>4434.782608695652</v>
      </c>
      <c r="Y186" s="231">
        <v>29565.217391304348</v>
      </c>
      <c r="Z186" s="206" t="s">
        <v>882</v>
      </c>
      <c r="AA186" s="206">
        <v>620</v>
      </c>
      <c r="AB186" s="206" t="s">
        <v>641</v>
      </c>
      <c r="AC186" s="230">
        <v>45687</v>
      </c>
      <c r="AD186" s="206" t="s">
        <v>50</v>
      </c>
      <c r="AE186" s="206" t="str">
        <f>IFERROR(VLOOKUP(Primary_Order[[#This Row],[AM]],SP!$E$19:$F$23,2,0),Primary_Order[[#This Row],[AM]])</f>
        <v>Captive Sales</v>
      </c>
      <c r="AF186" s="206" t="str">
        <f>VLOOKUP(Primary_Order[[#This Row],[Product ID]],SKU[],10,0)</f>
        <v>Care Products</v>
      </c>
      <c r="AG186" s="206" t="str">
        <f>VLOOKUP(Primary_Order[[#This Row],[Product ID]],SKU[],9,0)</f>
        <v>Care Products</v>
      </c>
      <c r="AH186" s="206" t="str">
        <f>VLOOKUP(Primary_Order[[#This Row],[Product ID]],SKU[],12,0)</f>
        <v>Care Products</v>
      </c>
      <c r="AI186" s="206" t="str">
        <f>VLOOKUP(Primary_Order[[#This Row],[Product ID]],SKU[],13,0)</f>
        <v>Coolant</v>
      </c>
      <c r="AJ186" s="233">
        <f>VLOOKUP(Primary_Order[[#This Row],[Product ID]],SKU[[SKU ID]:[Bottle Size(Ltr)]],6,0)*Primary_Order[[#This Row],[Free Quantity]]</f>
        <v>0</v>
      </c>
      <c r="AK186" s="206" t="str">
        <f>VLOOKUP(Primary_Order[[#This Row],[Product ID]],SKU[[SKU ID]:[Bottle Size(Ltr)]],4,0)</f>
        <v>20x1L</v>
      </c>
      <c r="AL186" s="231">
        <f>VLOOKUP(Primary_Order[[#This Row],[Product ID]],SKU[],14,0)*Primary_Order[[#This Row],[Total Qty]]</f>
        <v>23064</v>
      </c>
      <c r="AM186" s="231">
        <f>IF(Primary_Order[[#This Row],[Cost]]=0,0,Primary_Order[[#This Row],[Net Total(-15%)]]-Primary_Order[[#This Row],[Cost]])</f>
        <v>6501.217391304348</v>
      </c>
      <c r="AN186" s="206" t="str">
        <f>"O-"&amp;Primary_Order[[#This Row],[Date]]&amp;"-"&amp;Primary_Order[[#This Row],[MMD ID]]</f>
        <v>O-45685-d-0025</v>
      </c>
      <c r="AO186" s="206" t="str" cm="1">
        <f t="array" ref="AO18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7" spans="1:41" x14ac:dyDescent="0.5">
      <c r="A187" s="206" t="s">
        <v>1132</v>
      </c>
      <c r="B187" s="230">
        <v>45685</v>
      </c>
      <c r="C187" s="206" t="s">
        <v>1131</v>
      </c>
      <c r="D187" s="206" t="s">
        <v>129</v>
      </c>
      <c r="E187" s="206" t="s">
        <v>52</v>
      </c>
      <c r="F187" s="206" t="s">
        <v>50</v>
      </c>
      <c r="G187" s="206" t="s">
        <v>39</v>
      </c>
      <c r="H187" s="206" t="s">
        <v>40</v>
      </c>
      <c r="I187" s="206" t="s">
        <v>129</v>
      </c>
      <c r="J187" s="206" t="s">
        <v>52</v>
      </c>
      <c r="K187" s="206" t="s">
        <v>189</v>
      </c>
      <c r="L187" s="206" t="str">
        <f>VLOOKUP(Primary_Order[[#This Row],[Product ID]],SKU[],3,0)</f>
        <v>4000 Motion Plus 10W30</v>
      </c>
      <c r="M187" s="231">
        <v>2</v>
      </c>
      <c r="N187" s="231">
        <v>1800</v>
      </c>
      <c r="O187" s="231">
        <v>8</v>
      </c>
      <c r="P187" s="232">
        <v>0</v>
      </c>
      <c r="Q187" s="231">
        <v>0</v>
      </c>
      <c r="R187" s="231">
        <v>1800</v>
      </c>
      <c r="S187" s="231">
        <v>2</v>
      </c>
      <c r="T187" s="231">
        <v>8</v>
      </c>
      <c r="U187" s="231">
        <v>3600</v>
      </c>
      <c r="V187" s="231">
        <v>0</v>
      </c>
      <c r="W187" s="231">
        <v>3600</v>
      </c>
      <c r="X187" s="231">
        <v>469.56521739130437</v>
      </c>
      <c r="Y187" s="231">
        <v>3130.4347826086955</v>
      </c>
      <c r="Z187" s="206" t="s">
        <v>882</v>
      </c>
      <c r="AA187" s="206">
        <v>619</v>
      </c>
      <c r="AB187" s="206" t="s">
        <v>641</v>
      </c>
      <c r="AC187" s="230">
        <v>45687</v>
      </c>
      <c r="AD187" s="206" t="s">
        <v>50</v>
      </c>
      <c r="AE187" s="206" t="str">
        <f>IFERROR(VLOOKUP(Primary_Order[[#This Row],[AM]],SP!$E$19:$F$23,2,0),Primary_Order[[#This Row],[AM]])</f>
        <v>Central</v>
      </c>
      <c r="AF187" s="206" t="str">
        <f>VLOOKUP(Primary_Order[[#This Row],[Product ID]],SKU[],10,0)</f>
        <v>Mineral</v>
      </c>
      <c r="AG187" s="206" t="str">
        <f>VLOOKUP(Primary_Order[[#This Row],[Product ID]],SKU[],9,0)</f>
        <v>PCMO</v>
      </c>
      <c r="AH187" s="206" t="str">
        <f>VLOOKUP(Primary_Order[[#This Row],[Product ID]],SKU[],12,0)</f>
        <v>10W30</v>
      </c>
      <c r="AI187" s="206" t="str">
        <f>VLOOKUP(Primary_Order[[#This Row],[Product ID]],SKU[],13,0)</f>
        <v>4000</v>
      </c>
      <c r="AJ187" s="233">
        <f>VLOOKUP(Primary_Order[[#This Row],[Product ID]],SKU[[SKU ID]:[Bottle Size(Ltr)]],6,0)*Primary_Order[[#This Row],[Free Quantity]]</f>
        <v>0</v>
      </c>
      <c r="AK187" s="206" t="str">
        <f>VLOOKUP(Primary_Order[[#This Row],[Product ID]],SKU[[SKU ID]:[Bottle Size(Ltr)]],4,0)</f>
        <v>4x4L</v>
      </c>
      <c r="AL187" s="231">
        <f>VLOOKUP(Primary_Order[[#This Row],[Product ID]],SKU[],14,0)*Primary_Order[[#This Row],[Total Qty]]</f>
        <v>2905.48</v>
      </c>
      <c r="AM187" s="231">
        <f>IF(Primary_Order[[#This Row],[Cost]]=0,0,Primary_Order[[#This Row],[Net Total(-15%)]]-Primary_Order[[#This Row],[Cost]])</f>
        <v>224.9547826086955</v>
      </c>
      <c r="AN187" s="206" t="str">
        <f>"O-"&amp;Primary_Order[[#This Row],[Date]]&amp;"-"&amp;Primary_Order[[#This Row],[MMD ID]]</f>
        <v>O-45685-D-0055</v>
      </c>
      <c r="AO187" s="206" t="str" cm="1">
        <f t="array" ref="AO18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8" spans="1:41" x14ac:dyDescent="0.5">
      <c r="A188" s="206" t="s">
        <v>1133</v>
      </c>
      <c r="B188" s="230">
        <v>45685</v>
      </c>
      <c r="C188" s="206" t="s">
        <v>110</v>
      </c>
      <c r="D188" s="206" t="s">
        <v>88</v>
      </c>
      <c r="E188" s="206" t="s">
        <v>52</v>
      </c>
      <c r="F188" s="206" t="s">
        <v>50</v>
      </c>
      <c r="G188" s="206" t="s">
        <v>87</v>
      </c>
      <c r="H188" s="206" t="s">
        <v>87</v>
      </c>
      <c r="I188" s="206" t="s">
        <v>88</v>
      </c>
      <c r="J188" s="206" t="s">
        <v>52</v>
      </c>
      <c r="K188" s="206" t="s">
        <v>36</v>
      </c>
      <c r="L188" s="206" t="str">
        <f>VLOOKUP(Primary_Order[[#This Row],[Product ID]],SKU[],3,0)</f>
        <v>51004T 10W40 ESTER</v>
      </c>
      <c r="M188" s="231">
        <v>492</v>
      </c>
      <c r="N188" s="231">
        <v>830</v>
      </c>
      <c r="O188" s="231">
        <v>492</v>
      </c>
      <c r="P188" s="232">
        <v>0</v>
      </c>
      <c r="Q188" s="231">
        <v>0</v>
      </c>
      <c r="R188" s="231">
        <v>830</v>
      </c>
      <c r="S188" s="231">
        <v>492</v>
      </c>
      <c r="T188" s="231">
        <v>492</v>
      </c>
      <c r="U188" s="231">
        <v>408360</v>
      </c>
      <c r="V188" s="231">
        <v>0</v>
      </c>
      <c r="W188" s="231">
        <v>408360</v>
      </c>
      <c r="X188" s="231">
        <v>53264.34782608696</v>
      </c>
      <c r="Y188" s="231">
        <v>355095.65217391303</v>
      </c>
      <c r="Z188" s="206" t="s">
        <v>882</v>
      </c>
      <c r="AA188" s="206">
        <v>621</v>
      </c>
      <c r="AB188" s="206" t="s">
        <v>641</v>
      </c>
      <c r="AC188" s="230">
        <v>45687</v>
      </c>
      <c r="AD188" s="206" t="s">
        <v>50</v>
      </c>
      <c r="AE188" s="206" t="str">
        <f>IFERROR(VLOOKUP(Primary_Order[[#This Row],[AM]],SP!$E$19:$F$23,2,0),Primary_Order[[#This Row],[AM]])</f>
        <v>Captive Sales</v>
      </c>
      <c r="AF188" s="206" t="str">
        <f>VLOOKUP(Primary_Order[[#This Row],[Product ID]],SKU[],10,0)</f>
        <v>Technosynthese</v>
      </c>
      <c r="AG188" s="206" t="str">
        <f>VLOOKUP(Primary_Order[[#This Row],[Product ID]],SKU[],9,0)</f>
        <v>MCO</v>
      </c>
      <c r="AH188" s="206" t="str">
        <f>VLOOKUP(Primary_Order[[#This Row],[Product ID]],SKU[],12,0)</f>
        <v>10W40</v>
      </c>
      <c r="AI188" s="206" t="str">
        <f>VLOOKUP(Primary_Order[[#This Row],[Product ID]],SKU[],13,0)</f>
        <v>5100</v>
      </c>
      <c r="AJ188" s="233">
        <f>VLOOKUP(Primary_Order[[#This Row],[Product ID]],SKU[[SKU ID]:[Bottle Size(Ltr)]],6,0)*Primary_Order[[#This Row],[Free Quantity]]</f>
        <v>0</v>
      </c>
      <c r="AK188" s="206" t="str">
        <f>VLOOKUP(Primary_Order[[#This Row],[Product ID]],SKU[[SKU ID]:[Bottle Size(Ltr)]],4,0)</f>
        <v>12x1L</v>
      </c>
      <c r="AL188" s="231">
        <f>VLOOKUP(Primary_Order[[#This Row],[Product ID]],SKU[],14,0)*Primary_Order[[#This Row],[Total Qty]]</f>
        <v>299298.36000000004</v>
      </c>
      <c r="AM188" s="231">
        <f>IF(Primary_Order[[#This Row],[Cost]]=0,0,Primary_Order[[#This Row],[Net Total(-15%)]]-Primary_Order[[#This Row],[Cost]])</f>
        <v>55797.292173912982</v>
      </c>
      <c r="AN188" s="206" t="str">
        <f>"O-"&amp;Primary_Order[[#This Row],[Date]]&amp;"-"&amp;Primary_Order[[#This Row],[MMD ID]]</f>
        <v>O-45685-D-0025</v>
      </c>
      <c r="AO188" s="206" t="str" cm="1">
        <f t="array" ref="AO18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89" spans="1:41" x14ac:dyDescent="0.5">
      <c r="A189" s="206" t="s">
        <v>1133</v>
      </c>
      <c r="B189" s="230">
        <v>45685</v>
      </c>
      <c r="C189" s="206" t="s">
        <v>110</v>
      </c>
      <c r="D189" s="206" t="s">
        <v>88</v>
      </c>
      <c r="E189" s="206" t="s">
        <v>52</v>
      </c>
      <c r="F189" s="206" t="s">
        <v>50</v>
      </c>
      <c r="G189" s="206" t="s">
        <v>87</v>
      </c>
      <c r="H189" s="206" t="s">
        <v>87</v>
      </c>
      <c r="I189" s="206" t="s">
        <v>88</v>
      </c>
      <c r="J189" s="206" t="s">
        <v>52</v>
      </c>
      <c r="K189" s="206" t="s">
        <v>57</v>
      </c>
      <c r="L189" s="206" t="str">
        <f>VLOOKUP(Primary_Order[[#This Row],[Product ID]],SKU[],3,0)</f>
        <v>7100 4T 10W40 ESTER CORE®</v>
      </c>
      <c r="M189" s="231">
        <v>4500</v>
      </c>
      <c r="N189" s="231">
        <v>1040</v>
      </c>
      <c r="O189" s="231">
        <v>4500</v>
      </c>
      <c r="P189" s="232">
        <v>0</v>
      </c>
      <c r="Q189" s="231">
        <v>0</v>
      </c>
      <c r="R189" s="231">
        <v>1040</v>
      </c>
      <c r="S189" s="231">
        <v>4500</v>
      </c>
      <c r="T189" s="231">
        <v>4500</v>
      </c>
      <c r="U189" s="231">
        <v>4680000</v>
      </c>
      <c r="V189" s="231">
        <v>0</v>
      </c>
      <c r="W189" s="231">
        <v>4680000</v>
      </c>
      <c r="X189" s="231">
        <v>610434.78260869568</v>
      </c>
      <c r="Y189" s="231">
        <v>4069565.2173913042</v>
      </c>
      <c r="Z189" s="206" t="s">
        <v>882</v>
      </c>
      <c r="AA189" s="206">
        <v>621</v>
      </c>
      <c r="AB189" s="206" t="s">
        <v>641</v>
      </c>
      <c r="AC189" s="230">
        <v>45687</v>
      </c>
      <c r="AD189" s="206" t="s">
        <v>50</v>
      </c>
      <c r="AE189" s="206" t="str">
        <f>IFERROR(VLOOKUP(Primary_Order[[#This Row],[AM]],SP!$E$19:$F$23,2,0),Primary_Order[[#This Row],[AM]])</f>
        <v>Captive Sales</v>
      </c>
      <c r="AF189" s="206" t="str">
        <f>VLOOKUP(Primary_Order[[#This Row],[Product ID]],SKU[],10,0)</f>
        <v>Synthetic</v>
      </c>
      <c r="AG189" s="206" t="str">
        <f>VLOOKUP(Primary_Order[[#This Row],[Product ID]],SKU[],9,0)</f>
        <v>MCO</v>
      </c>
      <c r="AH189" s="206" t="str">
        <f>VLOOKUP(Primary_Order[[#This Row],[Product ID]],SKU[],12,0)</f>
        <v>10W40</v>
      </c>
      <c r="AI189" s="206" t="str">
        <f>VLOOKUP(Primary_Order[[#This Row],[Product ID]],SKU[],13,0)</f>
        <v>7100</v>
      </c>
      <c r="AJ189" s="233">
        <f>VLOOKUP(Primary_Order[[#This Row],[Product ID]],SKU[[SKU ID]:[Bottle Size(Ltr)]],6,0)*Primary_Order[[#This Row],[Free Quantity]]</f>
        <v>0</v>
      </c>
      <c r="AK189" s="206" t="str">
        <f>VLOOKUP(Primary_Order[[#This Row],[Product ID]],SKU[[SKU ID]:[Bottle Size(Ltr)]],4,0)</f>
        <v>12x1L</v>
      </c>
      <c r="AL189" s="231">
        <f>VLOOKUP(Primary_Order[[#This Row],[Product ID]],SKU[],14,0)*Primary_Order[[#This Row],[Total Qty]]</f>
        <v>3122955</v>
      </c>
      <c r="AM189" s="231">
        <f>IF(Primary_Order[[#This Row],[Cost]]=0,0,Primary_Order[[#This Row],[Net Total(-15%)]]-Primary_Order[[#This Row],[Cost]])</f>
        <v>946610.21739130421</v>
      </c>
      <c r="AN189" s="206" t="str">
        <f>"O-"&amp;Primary_Order[[#This Row],[Date]]&amp;"-"&amp;Primary_Order[[#This Row],[MMD ID]]</f>
        <v>O-45685-D-0025</v>
      </c>
      <c r="AO189" s="206" t="str" cm="1">
        <f t="array" ref="AO18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0" spans="1:41" x14ac:dyDescent="0.5">
      <c r="A190" s="206" t="s">
        <v>1134</v>
      </c>
      <c r="B190" s="230">
        <v>45687</v>
      </c>
      <c r="C190" s="206" t="s">
        <v>116</v>
      </c>
      <c r="D190" s="206" t="s">
        <v>1031</v>
      </c>
      <c r="E190" s="206" t="s">
        <v>1032</v>
      </c>
      <c r="F190" s="206" t="s">
        <v>283</v>
      </c>
      <c r="G190" s="206" t="s">
        <v>79</v>
      </c>
      <c r="H190" s="206" t="s">
        <v>40</v>
      </c>
      <c r="I190" s="206" t="s">
        <v>284</v>
      </c>
      <c r="J190" s="206" t="s">
        <v>285</v>
      </c>
      <c r="K190" s="206" t="s">
        <v>31</v>
      </c>
      <c r="L190" s="206" t="str">
        <f>VLOOKUP(Primary_Order[[#This Row],[Product ID]],SKU[],3,0)</f>
        <v>3000 4T PLUS 10W30</v>
      </c>
      <c r="M190" s="231">
        <v>1200</v>
      </c>
      <c r="N190" s="231">
        <v>530</v>
      </c>
      <c r="O190" s="231">
        <v>1200</v>
      </c>
      <c r="P190" s="232"/>
      <c r="Q190" s="231">
        <v>0</v>
      </c>
      <c r="R190" s="231">
        <v>530</v>
      </c>
      <c r="S190" s="231">
        <v>1200</v>
      </c>
      <c r="T190" s="231">
        <v>1200</v>
      </c>
      <c r="U190" s="231">
        <v>636000</v>
      </c>
      <c r="V190" s="231">
        <v>0</v>
      </c>
      <c r="W190" s="231">
        <v>636000</v>
      </c>
      <c r="X190" s="231">
        <v>82956.521739130432</v>
      </c>
      <c r="Y190" s="231">
        <v>553043.47826086951</v>
      </c>
      <c r="Z190" s="206" t="s">
        <v>882</v>
      </c>
      <c r="AA190" s="206">
        <v>622</v>
      </c>
      <c r="AB190" s="206" t="s">
        <v>641</v>
      </c>
      <c r="AC190" s="230">
        <v>45687</v>
      </c>
      <c r="AD190" s="206" t="s">
        <v>1126</v>
      </c>
      <c r="AE190" s="206" t="str">
        <f>IFERROR(VLOOKUP(Primary_Order[[#This Row],[AM]],SP!$E$19:$F$23,2,0),Primary_Order[[#This Row],[AM]])</f>
        <v>Central</v>
      </c>
      <c r="AF190" s="206" t="str">
        <f>VLOOKUP(Primary_Order[[#This Row],[Product ID]],SKU[],10,0)</f>
        <v>Mineral</v>
      </c>
      <c r="AG190" s="206" t="str">
        <f>VLOOKUP(Primary_Order[[#This Row],[Product ID]],SKU[],9,0)</f>
        <v>MCO</v>
      </c>
      <c r="AH190" s="206" t="str">
        <f>VLOOKUP(Primary_Order[[#This Row],[Product ID]],SKU[],12,0)</f>
        <v>10W30</v>
      </c>
      <c r="AI190" s="206" t="str">
        <f>VLOOKUP(Primary_Order[[#This Row],[Product ID]],SKU[],13,0)</f>
        <v>3000</v>
      </c>
      <c r="AJ190" s="233">
        <f>VLOOKUP(Primary_Order[[#This Row],[Product ID]],SKU[[SKU ID]:[Bottle Size(Ltr)]],6,0)*Primary_Order[[#This Row],[Free Quantity]]</f>
        <v>0</v>
      </c>
      <c r="AK190" s="206" t="str">
        <f>VLOOKUP(Primary_Order[[#This Row],[Product ID]],SKU[[SKU ID]:[Bottle Size(Ltr)]],4,0)</f>
        <v>20x1L</v>
      </c>
      <c r="AL190" s="231">
        <f>VLOOKUP(Primary_Order[[#This Row],[Product ID]],SKU[],14,0)*Primary_Order[[#This Row],[Total Qty]]</f>
        <v>455196</v>
      </c>
      <c r="AM190" s="231">
        <f>IF(Primary_Order[[#This Row],[Cost]]=0,0,Primary_Order[[#This Row],[Net Total(-15%)]]-Primary_Order[[#This Row],[Cost]])</f>
        <v>97847.47826086951</v>
      </c>
      <c r="AN190" s="206" t="str">
        <f>"O-"&amp;Primary_Order[[#This Row],[Date]]&amp;"-"&amp;Primary_Order[[#This Row],[MMD ID]]</f>
        <v>O-45687-D-0009</v>
      </c>
      <c r="AO190" s="206" t="str" cm="1">
        <f t="array" ref="AO19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1" spans="1:41" x14ac:dyDescent="0.5">
      <c r="A191" s="206" t="s">
        <v>1134</v>
      </c>
      <c r="B191" s="230">
        <v>45687</v>
      </c>
      <c r="C191" s="206" t="s">
        <v>116</v>
      </c>
      <c r="D191" s="206" t="s">
        <v>1031</v>
      </c>
      <c r="E191" s="206" t="s">
        <v>1032</v>
      </c>
      <c r="F191" s="206" t="s">
        <v>283</v>
      </c>
      <c r="G191" s="206" t="s">
        <v>79</v>
      </c>
      <c r="H191" s="206" t="s">
        <v>40</v>
      </c>
      <c r="I191" s="206" t="s">
        <v>284</v>
      </c>
      <c r="J191" s="206" t="s">
        <v>285</v>
      </c>
      <c r="K191" s="206" t="s">
        <v>53</v>
      </c>
      <c r="L191" s="206" t="str">
        <f>VLOOKUP(Primary_Order[[#This Row],[Product ID]],SKU[],3,0)</f>
        <v>3000 4T PLUS 20W40</v>
      </c>
      <c r="M191" s="231">
        <v>1200</v>
      </c>
      <c r="N191" s="231">
        <v>530</v>
      </c>
      <c r="O191" s="231">
        <v>1200</v>
      </c>
      <c r="P191" s="232"/>
      <c r="Q191" s="231">
        <v>0</v>
      </c>
      <c r="R191" s="231">
        <v>530</v>
      </c>
      <c r="S191" s="231">
        <v>1200</v>
      </c>
      <c r="T191" s="231">
        <v>1200</v>
      </c>
      <c r="U191" s="231">
        <v>636000</v>
      </c>
      <c r="V191" s="231">
        <v>0</v>
      </c>
      <c r="W191" s="231">
        <v>636000</v>
      </c>
      <c r="X191" s="231">
        <v>82956.521739130432</v>
      </c>
      <c r="Y191" s="231">
        <v>553043.47826086951</v>
      </c>
      <c r="Z191" s="206" t="s">
        <v>882</v>
      </c>
      <c r="AA191" s="206">
        <v>622</v>
      </c>
      <c r="AB191" s="206" t="s">
        <v>641</v>
      </c>
      <c r="AC191" s="230">
        <v>45687</v>
      </c>
      <c r="AD191" s="206" t="s">
        <v>1126</v>
      </c>
      <c r="AE191" s="206" t="str">
        <f>IFERROR(VLOOKUP(Primary_Order[[#This Row],[AM]],SP!$E$19:$F$23,2,0),Primary_Order[[#This Row],[AM]])</f>
        <v>Central</v>
      </c>
      <c r="AF191" s="206" t="str">
        <f>VLOOKUP(Primary_Order[[#This Row],[Product ID]],SKU[],10,0)</f>
        <v>Mineral</v>
      </c>
      <c r="AG191" s="206" t="str">
        <f>VLOOKUP(Primary_Order[[#This Row],[Product ID]],SKU[],9,0)</f>
        <v>MCO</v>
      </c>
      <c r="AH191" s="206" t="str">
        <f>VLOOKUP(Primary_Order[[#This Row],[Product ID]],SKU[],12,0)</f>
        <v>20W40</v>
      </c>
      <c r="AI191" s="206" t="str">
        <f>VLOOKUP(Primary_Order[[#This Row],[Product ID]],SKU[],13,0)</f>
        <v>3000</v>
      </c>
      <c r="AJ191" s="233">
        <f>VLOOKUP(Primary_Order[[#This Row],[Product ID]],SKU[[SKU ID]:[Bottle Size(Ltr)]],6,0)*Primary_Order[[#This Row],[Free Quantity]]</f>
        <v>0</v>
      </c>
      <c r="AK191" s="206" t="str">
        <f>VLOOKUP(Primary_Order[[#This Row],[Product ID]],SKU[[SKU ID]:[Bottle Size(Ltr)]],4,0)</f>
        <v>20x1L</v>
      </c>
      <c r="AL191" s="231">
        <f>VLOOKUP(Primary_Order[[#This Row],[Product ID]],SKU[],14,0)*Primary_Order[[#This Row],[Total Qty]]</f>
        <v>495312</v>
      </c>
      <c r="AM191" s="231">
        <f>IF(Primary_Order[[#This Row],[Cost]]=0,0,Primary_Order[[#This Row],[Net Total(-15%)]]-Primary_Order[[#This Row],[Cost]])</f>
        <v>57731.47826086951</v>
      </c>
      <c r="AN191" s="206" t="str">
        <f>"O-"&amp;Primary_Order[[#This Row],[Date]]&amp;"-"&amp;Primary_Order[[#This Row],[MMD ID]]</f>
        <v>O-45687-D-0009</v>
      </c>
      <c r="AO191" s="206" t="str" cm="1">
        <f t="array" ref="AO19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2" spans="1:41" x14ac:dyDescent="0.5">
      <c r="A192" s="206" t="s">
        <v>1134</v>
      </c>
      <c r="B192" s="230">
        <v>45687</v>
      </c>
      <c r="C192" s="206" t="s">
        <v>116</v>
      </c>
      <c r="D192" s="206" t="s">
        <v>1031</v>
      </c>
      <c r="E192" s="206" t="s">
        <v>1032</v>
      </c>
      <c r="F192" s="206" t="s">
        <v>283</v>
      </c>
      <c r="G192" s="206" t="s">
        <v>79</v>
      </c>
      <c r="H192" s="206" t="s">
        <v>40</v>
      </c>
      <c r="I192" s="206" t="s">
        <v>284</v>
      </c>
      <c r="J192" s="206" t="s">
        <v>285</v>
      </c>
      <c r="K192" s="206" t="s">
        <v>56</v>
      </c>
      <c r="L192" s="206" t="str">
        <f>VLOOKUP(Primary_Order[[#This Row],[Product ID]],SKU[],3,0)</f>
        <v>7100 4T 10W30 ESTER CORE®</v>
      </c>
      <c r="M192" s="231">
        <v>240</v>
      </c>
      <c r="N192" s="231">
        <v>1060</v>
      </c>
      <c r="O192" s="231">
        <v>240</v>
      </c>
      <c r="P192" s="232"/>
      <c r="Q192" s="231">
        <v>0</v>
      </c>
      <c r="R192" s="231">
        <v>1060</v>
      </c>
      <c r="S192" s="231">
        <v>240</v>
      </c>
      <c r="T192" s="231">
        <v>240</v>
      </c>
      <c r="U192" s="231">
        <v>254400</v>
      </c>
      <c r="V192" s="231">
        <v>0</v>
      </c>
      <c r="W192" s="231">
        <v>254400</v>
      </c>
      <c r="X192" s="231">
        <v>33182.608695652176</v>
      </c>
      <c r="Y192" s="231">
        <v>221217.39130434784</v>
      </c>
      <c r="Z192" s="206" t="s">
        <v>882</v>
      </c>
      <c r="AA192" s="206">
        <v>622</v>
      </c>
      <c r="AB192" s="206" t="s">
        <v>641</v>
      </c>
      <c r="AC192" s="230">
        <v>45687</v>
      </c>
      <c r="AD192" s="206" t="s">
        <v>1126</v>
      </c>
      <c r="AE192" s="206" t="str">
        <f>IFERROR(VLOOKUP(Primary_Order[[#This Row],[AM]],SP!$E$19:$F$23,2,0),Primary_Order[[#This Row],[AM]])</f>
        <v>Central</v>
      </c>
      <c r="AF192" s="206" t="str">
        <f>VLOOKUP(Primary_Order[[#This Row],[Product ID]],SKU[],10,0)</f>
        <v>Synthetic</v>
      </c>
      <c r="AG192" s="206" t="str">
        <f>VLOOKUP(Primary_Order[[#This Row],[Product ID]],SKU[],9,0)</f>
        <v>MCO</v>
      </c>
      <c r="AH192" s="206" t="str">
        <f>VLOOKUP(Primary_Order[[#This Row],[Product ID]],SKU[],12,0)</f>
        <v>10W30</v>
      </c>
      <c r="AI192" s="206" t="str">
        <f>VLOOKUP(Primary_Order[[#This Row],[Product ID]],SKU[],13,0)</f>
        <v>7100</v>
      </c>
      <c r="AJ192" s="233">
        <f>VLOOKUP(Primary_Order[[#This Row],[Product ID]],SKU[[SKU ID]:[Bottle Size(Ltr)]],6,0)*Primary_Order[[#This Row],[Free Quantity]]</f>
        <v>0</v>
      </c>
      <c r="AK192" s="206" t="str">
        <f>VLOOKUP(Primary_Order[[#This Row],[Product ID]],SKU[[SKU ID]:[Bottle Size(Ltr)]],4,0)</f>
        <v>12x1L</v>
      </c>
      <c r="AL192" s="231">
        <f>VLOOKUP(Primary_Order[[#This Row],[Product ID]],SKU[],14,0)*Primary_Order[[#This Row],[Total Qty]]</f>
        <v>165566.39999999999</v>
      </c>
      <c r="AM192" s="231">
        <f>IF(Primary_Order[[#This Row],[Cost]]=0,0,Primary_Order[[#This Row],[Net Total(-15%)]]-Primary_Order[[#This Row],[Cost]])</f>
        <v>55650.991304347845</v>
      </c>
      <c r="AN192" s="206" t="str">
        <f>"O-"&amp;Primary_Order[[#This Row],[Date]]&amp;"-"&amp;Primary_Order[[#This Row],[MMD ID]]</f>
        <v>O-45687-D-0009</v>
      </c>
      <c r="AO192" s="206" t="str" cm="1">
        <f t="array" ref="AO19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3" spans="1:41" x14ac:dyDescent="0.5">
      <c r="A193" s="206" t="s">
        <v>1134</v>
      </c>
      <c r="B193" s="230">
        <v>45687</v>
      </c>
      <c r="C193" s="206" t="s">
        <v>116</v>
      </c>
      <c r="D193" s="206" t="s">
        <v>1031</v>
      </c>
      <c r="E193" s="206" t="s">
        <v>1032</v>
      </c>
      <c r="F193" s="206" t="s">
        <v>283</v>
      </c>
      <c r="G193" s="206" t="s">
        <v>79</v>
      </c>
      <c r="H193" s="206" t="s">
        <v>40</v>
      </c>
      <c r="I193" s="206" t="s">
        <v>284</v>
      </c>
      <c r="J193" s="206" t="s">
        <v>285</v>
      </c>
      <c r="K193" s="206" t="s">
        <v>58</v>
      </c>
      <c r="L193" s="206" t="str">
        <f>VLOOKUP(Primary_Order[[#This Row],[Product ID]],SKU[],3,0)</f>
        <v>7100 4T 20W50 ESTER CORE®</v>
      </c>
      <c r="M193" s="231">
        <v>120</v>
      </c>
      <c r="N193" s="231">
        <v>1070</v>
      </c>
      <c r="O193" s="231">
        <v>120</v>
      </c>
      <c r="P193" s="232"/>
      <c r="Q193" s="231">
        <v>0</v>
      </c>
      <c r="R193" s="231">
        <v>1070</v>
      </c>
      <c r="S193" s="231">
        <v>120</v>
      </c>
      <c r="T193" s="231">
        <v>120</v>
      </c>
      <c r="U193" s="231">
        <v>128400</v>
      </c>
      <c r="V193" s="231">
        <v>0</v>
      </c>
      <c r="W193" s="231">
        <v>128400</v>
      </c>
      <c r="X193" s="231">
        <v>16747.82608695652</v>
      </c>
      <c r="Y193" s="231">
        <v>111652.17391304347</v>
      </c>
      <c r="Z193" s="206" t="s">
        <v>882</v>
      </c>
      <c r="AA193" s="206">
        <v>622</v>
      </c>
      <c r="AB193" s="206" t="s">
        <v>641</v>
      </c>
      <c r="AC193" s="230">
        <v>45687</v>
      </c>
      <c r="AD193" s="206" t="s">
        <v>1126</v>
      </c>
      <c r="AE193" s="206" t="str">
        <f>IFERROR(VLOOKUP(Primary_Order[[#This Row],[AM]],SP!$E$19:$F$23,2,0),Primary_Order[[#This Row],[AM]])</f>
        <v>Central</v>
      </c>
      <c r="AF193" s="206" t="str">
        <f>VLOOKUP(Primary_Order[[#This Row],[Product ID]],SKU[],10,0)</f>
        <v>Synthetic</v>
      </c>
      <c r="AG193" s="206" t="str">
        <f>VLOOKUP(Primary_Order[[#This Row],[Product ID]],SKU[],9,0)</f>
        <v>MCO</v>
      </c>
      <c r="AH193" s="206" t="str">
        <f>VLOOKUP(Primary_Order[[#This Row],[Product ID]],SKU[],12,0)</f>
        <v>20W50</v>
      </c>
      <c r="AI193" s="206" t="str">
        <f>VLOOKUP(Primary_Order[[#This Row],[Product ID]],SKU[],13,0)</f>
        <v>7100</v>
      </c>
      <c r="AJ193" s="233">
        <f>VLOOKUP(Primary_Order[[#This Row],[Product ID]],SKU[[SKU ID]:[Bottle Size(Ltr)]],6,0)*Primary_Order[[#This Row],[Free Quantity]]</f>
        <v>0</v>
      </c>
      <c r="AK193" s="206" t="str">
        <f>VLOOKUP(Primary_Order[[#This Row],[Product ID]],SKU[[SKU ID]:[Bottle Size(Ltr)]],4,0)</f>
        <v>12x1L</v>
      </c>
      <c r="AL193" s="231">
        <f>VLOOKUP(Primary_Order[[#This Row],[Product ID]],SKU[],14,0)*Primary_Order[[#This Row],[Total Qty]]</f>
        <v>91643.808000000005</v>
      </c>
      <c r="AM193" s="231">
        <f>IF(Primary_Order[[#This Row],[Cost]]=0,0,Primary_Order[[#This Row],[Net Total(-15%)]]-Primary_Order[[#This Row],[Cost]])</f>
        <v>20008.365913043468</v>
      </c>
      <c r="AN193" s="206" t="str">
        <f>"O-"&amp;Primary_Order[[#This Row],[Date]]&amp;"-"&amp;Primary_Order[[#This Row],[MMD ID]]</f>
        <v>O-45687-D-0009</v>
      </c>
      <c r="AO193" s="206" t="str" cm="1">
        <f t="array" ref="AO19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4" spans="1:41" x14ac:dyDescent="0.5">
      <c r="A194" s="206" t="s">
        <v>1134</v>
      </c>
      <c r="B194" s="230">
        <v>45687</v>
      </c>
      <c r="C194" s="206" t="s">
        <v>116</v>
      </c>
      <c r="D194" s="206" t="s">
        <v>1031</v>
      </c>
      <c r="E194" s="206" t="s">
        <v>1032</v>
      </c>
      <c r="F194" s="206" t="s">
        <v>283</v>
      </c>
      <c r="G194" s="206" t="s">
        <v>79</v>
      </c>
      <c r="H194" s="206" t="s">
        <v>40</v>
      </c>
      <c r="I194" s="206" t="s">
        <v>284</v>
      </c>
      <c r="J194" s="206" t="s">
        <v>285</v>
      </c>
      <c r="K194" s="206" t="s">
        <v>59</v>
      </c>
      <c r="L194" s="206" t="str">
        <f>VLOOKUP(Primary_Order[[#This Row],[Product ID]],SKU[],3,0)</f>
        <v>Scooter LE 4T 10W30 HC-TECH®</v>
      </c>
      <c r="M194" s="231">
        <v>300</v>
      </c>
      <c r="N194" s="231">
        <v>485</v>
      </c>
      <c r="O194" s="231">
        <v>240</v>
      </c>
      <c r="P194" s="232"/>
      <c r="Q194" s="231">
        <v>0</v>
      </c>
      <c r="R194" s="231">
        <v>485</v>
      </c>
      <c r="S194" s="231">
        <v>300</v>
      </c>
      <c r="T194" s="231">
        <v>240</v>
      </c>
      <c r="U194" s="231">
        <v>145500</v>
      </c>
      <c r="V194" s="231">
        <v>0</v>
      </c>
      <c r="W194" s="231">
        <v>145500</v>
      </c>
      <c r="X194" s="231">
        <v>18978.260869565216</v>
      </c>
      <c r="Y194" s="231">
        <v>126521.73913043478</v>
      </c>
      <c r="Z194" s="206" t="s">
        <v>882</v>
      </c>
      <c r="AA194" s="206">
        <v>622</v>
      </c>
      <c r="AB194" s="206" t="s">
        <v>641</v>
      </c>
      <c r="AC194" s="230">
        <v>45687</v>
      </c>
      <c r="AD194" s="206" t="s">
        <v>1126</v>
      </c>
      <c r="AE194" s="206" t="str">
        <f>IFERROR(VLOOKUP(Primary_Order[[#This Row],[AM]],SP!$E$19:$F$23,2,0),Primary_Order[[#This Row],[AM]])</f>
        <v>Central</v>
      </c>
      <c r="AF194" s="206" t="str">
        <f>VLOOKUP(Primary_Order[[#This Row],[Product ID]],SKU[],10,0)</f>
        <v>Mineral</v>
      </c>
      <c r="AG194" s="206" t="str">
        <f>VLOOKUP(Primary_Order[[#This Row],[Product ID]],SKU[],9,0)</f>
        <v>MCO</v>
      </c>
      <c r="AH194" s="206" t="str">
        <f>VLOOKUP(Primary_Order[[#This Row],[Product ID]],SKU[],12,0)</f>
        <v>10W30</v>
      </c>
      <c r="AI194" s="206" t="str">
        <f>VLOOKUP(Primary_Order[[#This Row],[Product ID]],SKU[],13,0)</f>
        <v>Scooter</v>
      </c>
      <c r="AJ194" s="233">
        <f>VLOOKUP(Primary_Order[[#This Row],[Product ID]],SKU[[SKU ID]:[Bottle Size(Ltr)]],6,0)*Primary_Order[[#This Row],[Free Quantity]]</f>
        <v>0</v>
      </c>
      <c r="AK194" s="206" t="str">
        <f>VLOOKUP(Primary_Order[[#This Row],[Product ID]],SKU[[SKU ID]:[Bottle Size(Ltr)]],4,0)</f>
        <v>20x0.8L</v>
      </c>
      <c r="AL194" s="231">
        <f>VLOOKUP(Primary_Order[[#This Row],[Product ID]],SKU[],14,0)*Primary_Order[[#This Row],[Total Qty]]</f>
        <v>99999</v>
      </c>
      <c r="AM194" s="231">
        <f>IF(Primary_Order[[#This Row],[Cost]]=0,0,Primary_Order[[#This Row],[Net Total(-15%)]]-Primary_Order[[#This Row],[Cost]])</f>
        <v>26522.739130434784</v>
      </c>
      <c r="AN194" s="206" t="str">
        <f>"O-"&amp;Primary_Order[[#This Row],[Date]]&amp;"-"&amp;Primary_Order[[#This Row],[MMD ID]]</f>
        <v>O-45687-D-0009</v>
      </c>
      <c r="AO194" s="206" t="str" cm="1">
        <f t="array" ref="AO19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5" spans="1:41" x14ac:dyDescent="0.5">
      <c r="A195" s="206" t="s">
        <v>1134</v>
      </c>
      <c r="B195" s="230">
        <v>45687</v>
      </c>
      <c r="C195" s="206" t="s">
        <v>116</v>
      </c>
      <c r="D195" s="206" t="s">
        <v>1031</v>
      </c>
      <c r="E195" s="206" t="s">
        <v>1032</v>
      </c>
      <c r="F195" s="206" t="s">
        <v>283</v>
      </c>
      <c r="G195" s="206" t="s">
        <v>79</v>
      </c>
      <c r="H195" s="206" t="s">
        <v>40</v>
      </c>
      <c r="I195" s="206" t="s">
        <v>284</v>
      </c>
      <c r="J195" s="206" t="s">
        <v>285</v>
      </c>
      <c r="K195" s="206" t="s">
        <v>43</v>
      </c>
      <c r="L195" s="206" t="str">
        <f>VLOOKUP(Primary_Order[[#This Row],[Product ID]],SKU[],3,0)</f>
        <v>7100 4T 10W30 ESTER CORE®</v>
      </c>
      <c r="M195" s="231">
        <v>100</v>
      </c>
      <c r="N195" s="231">
        <v>1295</v>
      </c>
      <c r="O195" s="231">
        <v>120</v>
      </c>
      <c r="P195" s="232"/>
      <c r="Q195" s="231">
        <v>0</v>
      </c>
      <c r="R195" s="231">
        <v>1295</v>
      </c>
      <c r="S195" s="231">
        <v>100</v>
      </c>
      <c r="T195" s="231">
        <v>120</v>
      </c>
      <c r="U195" s="231">
        <v>129500</v>
      </c>
      <c r="V195" s="231">
        <v>0</v>
      </c>
      <c r="W195" s="231">
        <v>129500</v>
      </c>
      <c r="X195" s="231">
        <v>16891.304347826088</v>
      </c>
      <c r="Y195" s="231">
        <v>112608.69565217392</v>
      </c>
      <c r="Z195" s="206" t="s">
        <v>882</v>
      </c>
      <c r="AA195" s="206">
        <v>622</v>
      </c>
      <c r="AB195" s="206" t="s">
        <v>641</v>
      </c>
      <c r="AC195" s="230">
        <v>45687</v>
      </c>
      <c r="AD195" s="206" t="s">
        <v>1126</v>
      </c>
      <c r="AE195" s="206" t="str">
        <f>IFERROR(VLOOKUP(Primary_Order[[#This Row],[AM]],SP!$E$19:$F$23,2,0),Primary_Order[[#This Row],[AM]])</f>
        <v>Central</v>
      </c>
      <c r="AF195" s="206" t="str">
        <f>VLOOKUP(Primary_Order[[#This Row],[Product ID]],SKU[],10,0)</f>
        <v>Synthetic</v>
      </c>
      <c r="AG195" s="206" t="str">
        <f>VLOOKUP(Primary_Order[[#This Row],[Product ID]],SKU[],9,0)</f>
        <v>MCO</v>
      </c>
      <c r="AH195" s="206" t="str">
        <f>VLOOKUP(Primary_Order[[#This Row],[Product ID]],SKU[],12,0)</f>
        <v>10W30</v>
      </c>
      <c r="AI195" s="206" t="str">
        <f>VLOOKUP(Primary_Order[[#This Row],[Product ID]],SKU[],13,0)</f>
        <v>7100</v>
      </c>
      <c r="AJ195" s="233">
        <f>VLOOKUP(Primary_Order[[#This Row],[Product ID]],SKU[[SKU ID]:[Bottle Size(Ltr)]],6,0)*Primary_Order[[#This Row],[Free Quantity]]</f>
        <v>0</v>
      </c>
      <c r="AK195" s="206" t="str">
        <f>VLOOKUP(Primary_Order[[#This Row],[Product ID]],SKU[[SKU ID]:[Bottle Size(Ltr)]],4,0)</f>
        <v>20x1.2L</v>
      </c>
      <c r="AL195" s="231">
        <f>VLOOKUP(Primary_Order[[#This Row],[Product ID]],SKU[],14,0)*Primary_Order[[#This Row],[Total Qty]]</f>
        <v>77730</v>
      </c>
      <c r="AM195" s="231">
        <f>IF(Primary_Order[[#This Row],[Cost]]=0,0,Primary_Order[[#This Row],[Net Total(-15%)]]-Primary_Order[[#This Row],[Cost]])</f>
        <v>34878.695652173919</v>
      </c>
      <c r="AN195" s="206" t="str">
        <f>"O-"&amp;Primary_Order[[#This Row],[Date]]&amp;"-"&amp;Primary_Order[[#This Row],[MMD ID]]</f>
        <v>O-45687-D-0009</v>
      </c>
      <c r="AO195" s="206" t="str" cm="1">
        <f t="array" ref="AO19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6" spans="1:41" x14ac:dyDescent="0.5">
      <c r="A196" s="206" t="s">
        <v>1135</v>
      </c>
      <c r="B196" s="230">
        <v>45687</v>
      </c>
      <c r="C196" s="206" t="s">
        <v>90</v>
      </c>
      <c r="D196" s="206" t="s">
        <v>91</v>
      </c>
      <c r="E196" s="206" t="s">
        <v>1027</v>
      </c>
      <c r="F196" s="206" t="s">
        <v>1028</v>
      </c>
      <c r="G196" s="206" t="s">
        <v>39</v>
      </c>
      <c r="H196" s="206" t="s">
        <v>40</v>
      </c>
      <c r="I196" s="206" t="s">
        <v>91</v>
      </c>
      <c r="J196" s="206" t="s">
        <v>93</v>
      </c>
      <c r="K196" s="206" t="s">
        <v>81</v>
      </c>
      <c r="L196" s="206" t="str">
        <f>VLOOKUP(Primary_Order[[#This Row],[Product ID]],SKU[],3,0)</f>
        <v>3000 4T 20W50</v>
      </c>
      <c r="M196" s="231">
        <v>300</v>
      </c>
      <c r="N196" s="231">
        <v>452.25</v>
      </c>
      <c r="O196" s="231">
        <v>300</v>
      </c>
      <c r="P196" s="232">
        <v>0</v>
      </c>
      <c r="Q196" s="231">
        <v>0</v>
      </c>
      <c r="R196" s="231">
        <v>452.25</v>
      </c>
      <c r="S196" s="231">
        <v>300</v>
      </c>
      <c r="T196" s="231">
        <v>300</v>
      </c>
      <c r="U196" s="231">
        <v>135675</v>
      </c>
      <c r="V196" s="231">
        <v>0</v>
      </c>
      <c r="W196" s="231">
        <v>135675</v>
      </c>
      <c r="X196" s="231">
        <v>17696.739130434784</v>
      </c>
      <c r="Y196" s="231">
        <v>117978.26086956522</v>
      </c>
      <c r="Z196" s="206" t="s">
        <v>882</v>
      </c>
      <c r="AA196" s="206">
        <v>623</v>
      </c>
      <c r="AB196" s="206" t="s">
        <v>641</v>
      </c>
      <c r="AC196" s="230">
        <v>45687</v>
      </c>
      <c r="AD196" s="206" t="s">
        <v>1125</v>
      </c>
      <c r="AE196" s="206" t="str">
        <f>IFERROR(VLOOKUP(Primary_Order[[#This Row],[AM]],SP!$E$19:$F$23,2,0),Primary_Order[[#This Row],[AM]])</f>
        <v>Central</v>
      </c>
      <c r="AF196" s="206" t="str">
        <f>VLOOKUP(Primary_Order[[#This Row],[Product ID]],SKU[],10,0)</f>
        <v>Mineral</v>
      </c>
      <c r="AG196" s="206" t="str">
        <f>VLOOKUP(Primary_Order[[#This Row],[Product ID]],SKU[],9,0)</f>
        <v>MCO</v>
      </c>
      <c r="AH196" s="206" t="str">
        <f>VLOOKUP(Primary_Order[[#This Row],[Product ID]],SKU[],12,0)</f>
        <v>20W50</v>
      </c>
      <c r="AI196" s="206" t="str">
        <f>VLOOKUP(Primary_Order[[#This Row],[Product ID]],SKU[],13,0)</f>
        <v>3000</v>
      </c>
      <c r="AJ196" s="233">
        <f>VLOOKUP(Primary_Order[[#This Row],[Product ID]],SKU[[SKU ID]:[Bottle Size(Ltr)]],6,0)*Primary_Order[[#This Row],[Free Quantity]]</f>
        <v>0</v>
      </c>
      <c r="AK196" s="206" t="str">
        <f>VLOOKUP(Primary_Order[[#This Row],[Product ID]],SKU[[SKU ID]:[Bottle Size(Ltr)]],4,0)</f>
        <v>20x1L</v>
      </c>
      <c r="AL196" s="231">
        <f>VLOOKUP(Primary_Order[[#This Row],[Product ID]],SKU[],14,0)*Primary_Order[[#This Row],[Total Qty]]</f>
        <v>109476</v>
      </c>
      <c r="AM196" s="231">
        <f>IF(Primary_Order[[#This Row],[Cost]]=0,0,Primary_Order[[#This Row],[Net Total(-15%)]]-Primary_Order[[#This Row],[Cost]])</f>
        <v>8502.2608695652161</v>
      </c>
      <c r="AN196" s="206" t="str">
        <f>"O-"&amp;Primary_Order[[#This Row],[Date]]&amp;"-"&amp;Primary_Order[[#This Row],[MMD ID]]</f>
        <v>O-45687-D-0006</v>
      </c>
      <c r="AO196" s="206" t="str" cm="1">
        <f t="array" ref="AO19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7" spans="1:41" x14ac:dyDescent="0.5">
      <c r="A197" s="206" t="s">
        <v>1135</v>
      </c>
      <c r="B197" s="230">
        <v>45687</v>
      </c>
      <c r="C197" s="206" t="s">
        <v>90</v>
      </c>
      <c r="D197" s="206" t="s">
        <v>91</v>
      </c>
      <c r="E197" s="206" t="s">
        <v>1027</v>
      </c>
      <c r="F197" s="206" t="s">
        <v>1028</v>
      </c>
      <c r="G197" s="206" t="s">
        <v>39</v>
      </c>
      <c r="H197" s="206" t="s">
        <v>40</v>
      </c>
      <c r="I197" s="206" t="s">
        <v>91</v>
      </c>
      <c r="J197" s="206" t="s">
        <v>93</v>
      </c>
      <c r="K197" s="206" t="s">
        <v>99</v>
      </c>
      <c r="L197" s="206" t="str">
        <f>VLOOKUP(Primary_Order[[#This Row],[Product ID]],SKU[],3,0)</f>
        <v>3000 4T 20W50</v>
      </c>
      <c r="M197" s="231">
        <v>100</v>
      </c>
      <c r="N197" s="231">
        <v>552.25</v>
      </c>
      <c r="O197" s="231">
        <v>120</v>
      </c>
      <c r="P197" s="232">
        <v>0</v>
      </c>
      <c r="Q197" s="231">
        <v>0</v>
      </c>
      <c r="R197" s="231">
        <v>552.25</v>
      </c>
      <c r="S197" s="231">
        <v>100</v>
      </c>
      <c r="T197" s="231">
        <v>120</v>
      </c>
      <c r="U197" s="231">
        <v>55225</v>
      </c>
      <c r="V197" s="231">
        <v>0</v>
      </c>
      <c r="W197" s="231">
        <v>55225</v>
      </c>
      <c r="X197" s="231">
        <v>7203.260869565217</v>
      </c>
      <c r="Y197" s="231">
        <v>48021.739130434784</v>
      </c>
      <c r="Z197" s="206" t="s">
        <v>882</v>
      </c>
      <c r="AA197" s="206">
        <v>623</v>
      </c>
      <c r="AB197" s="206" t="s">
        <v>641</v>
      </c>
      <c r="AC197" s="230">
        <v>45687</v>
      </c>
      <c r="AD197" s="206" t="s">
        <v>1125</v>
      </c>
      <c r="AE197" s="206" t="str">
        <f>IFERROR(VLOOKUP(Primary_Order[[#This Row],[AM]],SP!$E$19:$F$23,2,0),Primary_Order[[#This Row],[AM]])</f>
        <v>Central</v>
      </c>
      <c r="AF197" s="206" t="str">
        <f>VLOOKUP(Primary_Order[[#This Row],[Product ID]],SKU[],10,0)</f>
        <v>Mineral</v>
      </c>
      <c r="AG197" s="206" t="str">
        <f>VLOOKUP(Primary_Order[[#This Row],[Product ID]],SKU[],9,0)</f>
        <v>MCO</v>
      </c>
      <c r="AH197" s="206" t="str">
        <f>VLOOKUP(Primary_Order[[#This Row],[Product ID]],SKU[],12,0)</f>
        <v>20W50</v>
      </c>
      <c r="AI197" s="206" t="str">
        <f>VLOOKUP(Primary_Order[[#This Row],[Product ID]],SKU[],13,0)</f>
        <v>3000</v>
      </c>
      <c r="AJ197" s="233">
        <f>VLOOKUP(Primary_Order[[#This Row],[Product ID]],SKU[[SKU ID]:[Bottle Size(Ltr)]],6,0)*Primary_Order[[#This Row],[Free Quantity]]</f>
        <v>0</v>
      </c>
      <c r="AK197" s="206" t="str">
        <f>VLOOKUP(Primary_Order[[#This Row],[Product ID]],SKU[[SKU ID]:[Bottle Size(Ltr)]],4,0)</f>
        <v>20x1.2L</v>
      </c>
      <c r="AL197" s="231">
        <f>VLOOKUP(Primary_Order[[#This Row],[Product ID]],SKU[],14,0)*Primary_Order[[#This Row],[Total Qty]]</f>
        <v>43461</v>
      </c>
      <c r="AM197" s="231">
        <f>IF(Primary_Order[[#This Row],[Cost]]=0,0,Primary_Order[[#This Row],[Net Total(-15%)]]-Primary_Order[[#This Row],[Cost]])</f>
        <v>4560.7391304347839</v>
      </c>
      <c r="AN197" s="206" t="str">
        <f>"O-"&amp;Primary_Order[[#This Row],[Date]]&amp;"-"&amp;Primary_Order[[#This Row],[MMD ID]]</f>
        <v>O-45687-D-0006</v>
      </c>
      <c r="AO197" s="206" t="str" cm="1">
        <f t="array" ref="AO19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8" spans="1:41" x14ac:dyDescent="0.5">
      <c r="A198" s="206" t="s">
        <v>1136</v>
      </c>
      <c r="B198" s="230">
        <v>45679</v>
      </c>
      <c r="C198" s="206" t="s">
        <v>123</v>
      </c>
      <c r="D198" s="206" t="s">
        <v>437</v>
      </c>
      <c r="E198" s="206" t="s">
        <v>940</v>
      </c>
      <c r="F198" s="206" t="s">
        <v>438</v>
      </c>
      <c r="G198" s="206" t="s">
        <v>79</v>
      </c>
      <c r="H198" s="206" t="s">
        <v>40</v>
      </c>
      <c r="I198" s="206" t="s">
        <v>124</v>
      </c>
      <c r="J198" s="206" t="s">
        <v>80</v>
      </c>
      <c r="K198" s="206" t="s">
        <v>53</v>
      </c>
      <c r="L198" s="206" t="str">
        <f>VLOOKUP(Primary_Order[[#This Row],[Product ID]],SKU[],3,0)</f>
        <v>3000 4T PLUS 20W40</v>
      </c>
      <c r="M198" s="231">
        <v>20</v>
      </c>
      <c r="N198" s="231">
        <v>530</v>
      </c>
      <c r="O198" s="231">
        <v>20</v>
      </c>
      <c r="P198" s="232"/>
      <c r="Q198" s="231">
        <v>0</v>
      </c>
      <c r="R198" s="231">
        <v>530</v>
      </c>
      <c r="S198" s="231">
        <v>20</v>
      </c>
      <c r="T198" s="231">
        <v>20</v>
      </c>
      <c r="U198" s="231">
        <v>10600</v>
      </c>
      <c r="V198" s="231">
        <v>0</v>
      </c>
      <c r="W198" s="231">
        <v>10600</v>
      </c>
      <c r="X198" s="231">
        <v>1382.608695652174</v>
      </c>
      <c r="Y198" s="231">
        <v>9217.391304347826</v>
      </c>
      <c r="Z198" s="206" t="s">
        <v>882</v>
      </c>
      <c r="AA198" s="206">
        <v>624</v>
      </c>
      <c r="AB198" s="206" t="s">
        <v>641</v>
      </c>
      <c r="AC198" s="230">
        <v>45687</v>
      </c>
      <c r="AD198" s="206" t="s">
        <v>1082</v>
      </c>
      <c r="AE198" s="206" t="str">
        <f>IFERROR(VLOOKUP(Primary_Order[[#This Row],[AM]],SP!$E$19:$F$23,2,0),Primary_Order[[#This Row],[AM]])</f>
        <v>Central</v>
      </c>
      <c r="AF198" s="206" t="str">
        <f>VLOOKUP(Primary_Order[[#This Row],[Product ID]],SKU[],10,0)</f>
        <v>Mineral</v>
      </c>
      <c r="AG198" s="206" t="str">
        <f>VLOOKUP(Primary_Order[[#This Row],[Product ID]],SKU[],9,0)</f>
        <v>MCO</v>
      </c>
      <c r="AH198" s="206" t="str">
        <f>VLOOKUP(Primary_Order[[#This Row],[Product ID]],SKU[],12,0)</f>
        <v>20W40</v>
      </c>
      <c r="AI198" s="206" t="str">
        <f>VLOOKUP(Primary_Order[[#This Row],[Product ID]],SKU[],13,0)</f>
        <v>3000</v>
      </c>
      <c r="AJ198" s="233">
        <f>VLOOKUP(Primary_Order[[#This Row],[Product ID]],SKU[[SKU ID]:[Bottle Size(Ltr)]],6,0)*Primary_Order[[#This Row],[Free Quantity]]</f>
        <v>0</v>
      </c>
      <c r="AK198" s="206" t="str">
        <f>VLOOKUP(Primary_Order[[#This Row],[Product ID]],SKU[[SKU ID]:[Bottle Size(Ltr)]],4,0)</f>
        <v>20x1L</v>
      </c>
      <c r="AL198" s="231">
        <f>VLOOKUP(Primary_Order[[#This Row],[Product ID]],SKU[],14,0)*Primary_Order[[#This Row],[Total Qty]]</f>
        <v>8255.2000000000007</v>
      </c>
      <c r="AM198" s="231">
        <f>IF(Primary_Order[[#This Row],[Cost]]=0,0,Primary_Order[[#This Row],[Net Total(-15%)]]-Primary_Order[[#This Row],[Cost]])</f>
        <v>962.19130434782528</v>
      </c>
      <c r="AN198" s="206" t="str">
        <f>"O-"&amp;Primary_Order[[#This Row],[Date]]&amp;"-"&amp;Primary_Order[[#This Row],[MMD ID]]</f>
        <v>O-45679-D-0015</v>
      </c>
      <c r="AO198" s="206" t="str" cm="1">
        <f t="array" ref="AO19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199" spans="1:41" x14ac:dyDescent="0.5">
      <c r="A199" s="206" t="s">
        <v>1136</v>
      </c>
      <c r="B199" s="230">
        <v>45679</v>
      </c>
      <c r="C199" s="206" t="s">
        <v>123</v>
      </c>
      <c r="D199" s="206" t="s">
        <v>437</v>
      </c>
      <c r="E199" s="206" t="s">
        <v>940</v>
      </c>
      <c r="F199" s="206" t="s">
        <v>438</v>
      </c>
      <c r="G199" s="206" t="s">
        <v>79</v>
      </c>
      <c r="H199" s="206" t="s">
        <v>40</v>
      </c>
      <c r="I199" s="206" t="s">
        <v>124</v>
      </c>
      <c r="J199" s="206" t="s">
        <v>80</v>
      </c>
      <c r="K199" s="206" t="s">
        <v>81</v>
      </c>
      <c r="L199" s="206" t="str">
        <f>VLOOKUP(Primary_Order[[#This Row],[Product ID]],SKU[],3,0)</f>
        <v>3000 4T 20W50</v>
      </c>
      <c r="M199" s="231">
        <v>1280</v>
      </c>
      <c r="N199" s="231">
        <v>495</v>
      </c>
      <c r="O199" s="231">
        <v>1280</v>
      </c>
      <c r="P199" s="232"/>
      <c r="Q199" s="231">
        <v>0</v>
      </c>
      <c r="R199" s="231">
        <v>495</v>
      </c>
      <c r="S199" s="231">
        <v>1280</v>
      </c>
      <c r="T199" s="231">
        <v>1280</v>
      </c>
      <c r="U199" s="231">
        <v>633600</v>
      </c>
      <c r="V199" s="231">
        <v>0</v>
      </c>
      <c r="W199" s="231">
        <v>633600</v>
      </c>
      <c r="X199" s="231">
        <v>82643.478260869568</v>
      </c>
      <c r="Y199" s="231">
        <v>550956.52173913049</v>
      </c>
      <c r="Z199" s="206" t="s">
        <v>882</v>
      </c>
      <c r="AA199" s="206">
        <v>624</v>
      </c>
      <c r="AB199" s="206" t="s">
        <v>641</v>
      </c>
      <c r="AC199" s="230">
        <v>45687</v>
      </c>
      <c r="AD199" s="206" t="s">
        <v>1082</v>
      </c>
      <c r="AE199" s="206" t="str">
        <f>IFERROR(VLOOKUP(Primary_Order[[#This Row],[AM]],SP!$E$19:$F$23,2,0),Primary_Order[[#This Row],[AM]])</f>
        <v>Central</v>
      </c>
      <c r="AF199" s="206" t="str">
        <f>VLOOKUP(Primary_Order[[#This Row],[Product ID]],SKU[],10,0)</f>
        <v>Mineral</v>
      </c>
      <c r="AG199" s="206" t="str">
        <f>VLOOKUP(Primary_Order[[#This Row],[Product ID]],SKU[],9,0)</f>
        <v>MCO</v>
      </c>
      <c r="AH199" s="206" t="str">
        <f>VLOOKUP(Primary_Order[[#This Row],[Product ID]],SKU[],12,0)</f>
        <v>20W50</v>
      </c>
      <c r="AI199" s="206" t="str">
        <f>VLOOKUP(Primary_Order[[#This Row],[Product ID]],SKU[],13,0)</f>
        <v>3000</v>
      </c>
      <c r="AJ199" s="233">
        <f>VLOOKUP(Primary_Order[[#This Row],[Product ID]],SKU[[SKU ID]:[Bottle Size(Ltr)]],6,0)*Primary_Order[[#This Row],[Free Quantity]]</f>
        <v>0</v>
      </c>
      <c r="AK199" s="206" t="str">
        <f>VLOOKUP(Primary_Order[[#This Row],[Product ID]],SKU[[SKU ID]:[Bottle Size(Ltr)]],4,0)</f>
        <v>20x1L</v>
      </c>
      <c r="AL199" s="231">
        <f>VLOOKUP(Primary_Order[[#This Row],[Product ID]],SKU[],14,0)*Primary_Order[[#This Row],[Total Qty]]</f>
        <v>467097.60000000003</v>
      </c>
      <c r="AM199" s="231">
        <f>IF(Primary_Order[[#This Row],[Cost]]=0,0,Primary_Order[[#This Row],[Net Total(-15%)]]-Primary_Order[[#This Row],[Cost]])</f>
        <v>83858.921739130456</v>
      </c>
      <c r="AN199" s="206" t="str">
        <f>"O-"&amp;Primary_Order[[#This Row],[Date]]&amp;"-"&amp;Primary_Order[[#This Row],[MMD ID]]</f>
        <v>O-45679-D-0015</v>
      </c>
      <c r="AO199" s="206" t="str" cm="1">
        <f t="array" ref="AO19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0" spans="1:41" x14ac:dyDescent="0.5">
      <c r="A200" s="206" t="s">
        <v>1136</v>
      </c>
      <c r="B200" s="230">
        <v>45679</v>
      </c>
      <c r="C200" s="206" t="s">
        <v>123</v>
      </c>
      <c r="D200" s="206" t="s">
        <v>437</v>
      </c>
      <c r="E200" s="206" t="s">
        <v>940</v>
      </c>
      <c r="F200" s="206" t="s">
        <v>438</v>
      </c>
      <c r="G200" s="206" t="s">
        <v>79</v>
      </c>
      <c r="H200" s="206" t="s">
        <v>40</v>
      </c>
      <c r="I200" s="206" t="s">
        <v>124</v>
      </c>
      <c r="J200" s="206" t="s">
        <v>80</v>
      </c>
      <c r="K200" s="206" t="s">
        <v>99</v>
      </c>
      <c r="L200" s="206" t="str">
        <f>VLOOKUP(Primary_Order[[#This Row],[Product ID]],SKU[],3,0)</f>
        <v>3000 4T 20W50</v>
      </c>
      <c r="M200" s="231">
        <v>600</v>
      </c>
      <c r="N200" s="231">
        <v>595</v>
      </c>
      <c r="O200" s="231">
        <v>720</v>
      </c>
      <c r="P200" s="232"/>
      <c r="Q200" s="231">
        <v>0</v>
      </c>
      <c r="R200" s="231">
        <v>595</v>
      </c>
      <c r="S200" s="231">
        <v>600</v>
      </c>
      <c r="T200" s="231">
        <v>720</v>
      </c>
      <c r="U200" s="231">
        <v>357000</v>
      </c>
      <c r="V200" s="231">
        <v>0</v>
      </c>
      <c r="W200" s="231">
        <v>357000</v>
      </c>
      <c r="X200" s="231">
        <v>46565.217391304344</v>
      </c>
      <c r="Y200" s="231">
        <v>310434.78260869568</v>
      </c>
      <c r="Z200" s="206" t="s">
        <v>882</v>
      </c>
      <c r="AA200" s="206">
        <v>624</v>
      </c>
      <c r="AB200" s="206" t="s">
        <v>641</v>
      </c>
      <c r="AC200" s="230">
        <v>45687</v>
      </c>
      <c r="AD200" s="206" t="s">
        <v>1082</v>
      </c>
      <c r="AE200" s="206" t="str">
        <f>IFERROR(VLOOKUP(Primary_Order[[#This Row],[AM]],SP!$E$19:$F$23,2,0),Primary_Order[[#This Row],[AM]])</f>
        <v>Central</v>
      </c>
      <c r="AF200" s="206" t="str">
        <f>VLOOKUP(Primary_Order[[#This Row],[Product ID]],SKU[],10,0)</f>
        <v>Mineral</v>
      </c>
      <c r="AG200" s="206" t="str">
        <f>VLOOKUP(Primary_Order[[#This Row],[Product ID]],SKU[],9,0)</f>
        <v>MCO</v>
      </c>
      <c r="AH200" s="206" t="str">
        <f>VLOOKUP(Primary_Order[[#This Row],[Product ID]],SKU[],12,0)</f>
        <v>20W50</v>
      </c>
      <c r="AI200" s="206" t="str">
        <f>VLOOKUP(Primary_Order[[#This Row],[Product ID]],SKU[],13,0)</f>
        <v>3000</v>
      </c>
      <c r="AJ200" s="233">
        <f>VLOOKUP(Primary_Order[[#This Row],[Product ID]],SKU[[SKU ID]:[Bottle Size(Ltr)]],6,0)*Primary_Order[[#This Row],[Free Quantity]]</f>
        <v>0</v>
      </c>
      <c r="AK200" s="206" t="str">
        <f>VLOOKUP(Primary_Order[[#This Row],[Product ID]],SKU[[SKU ID]:[Bottle Size(Ltr)]],4,0)</f>
        <v>20x1.2L</v>
      </c>
      <c r="AL200" s="231">
        <f>VLOOKUP(Primary_Order[[#This Row],[Product ID]],SKU[],14,0)*Primary_Order[[#This Row],[Total Qty]]</f>
        <v>260766</v>
      </c>
      <c r="AM200" s="231">
        <f>IF(Primary_Order[[#This Row],[Cost]]=0,0,Primary_Order[[#This Row],[Net Total(-15%)]]-Primary_Order[[#This Row],[Cost]])</f>
        <v>49668.782608695677</v>
      </c>
      <c r="AN200" s="206" t="str">
        <f>"O-"&amp;Primary_Order[[#This Row],[Date]]&amp;"-"&amp;Primary_Order[[#This Row],[MMD ID]]</f>
        <v>O-45679-D-0015</v>
      </c>
      <c r="AO200" s="206" t="str" cm="1">
        <f t="array" ref="AO20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1" spans="1:41" x14ac:dyDescent="0.5">
      <c r="A201" s="206" t="s">
        <v>1153</v>
      </c>
      <c r="B201" s="230">
        <v>45690</v>
      </c>
      <c r="C201" s="206" t="s">
        <v>139</v>
      </c>
      <c r="D201" s="206" t="s">
        <v>140</v>
      </c>
      <c r="E201" s="206" t="s">
        <v>1141</v>
      </c>
      <c r="F201" s="206">
        <v>1715299768</v>
      </c>
      <c r="G201" s="206" t="s">
        <v>83</v>
      </c>
      <c r="H201" s="206" t="s">
        <v>84</v>
      </c>
      <c r="I201" s="206" t="s">
        <v>140</v>
      </c>
      <c r="J201" s="206" t="s">
        <v>479</v>
      </c>
      <c r="K201" s="206" t="s">
        <v>31</v>
      </c>
      <c r="L201" s="206" t="str">
        <f>VLOOKUP(Primary_Order[[#This Row],[Product ID]],SKU[],3,0)</f>
        <v>3000 4T PLUS 10W30</v>
      </c>
      <c r="M201" s="231">
        <v>240</v>
      </c>
      <c r="N201" s="231">
        <v>540</v>
      </c>
      <c r="O201" s="231">
        <v>240</v>
      </c>
      <c r="P201" s="232">
        <v>0</v>
      </c>
      <c r="Q201" s="231">
        <v>0</v>
      </c>
      <c r="R201" s="231">
        <v>540</v>
      </c>
      <c r="S201" s="231">
        <v>240</v>
      </c>
      <c r="T201" s="231">
        <v>240</v>
      </c>
      <c r="U201" s="231">
        <v>129600</v>
      </c>
      <c r="V201" s="231">
        <v>0</v>
      </c>
      <c r="W201" s="231">
        <v>129600</v>
      </c>
      <c r="X201" s="231">
        <v>16904.347826086956</v>
      </c>
      <c r="Y201" s="231">
        <v>112695.65217391304</v>
      </c>
      <c r="Z201" s="206" t="s">
        <v>882</v>
      </c>
      <c r="AA201" s="206">
        <v>625</v>
      </c>
      <c r="AB201" s="206" t="s">
        <v>749</v>
      </c>
      <c r="AC201" s="230">
        <v>45691</v>
      </c>
      <c r="AD201" s="206" t="s">
        <v>50</v>
      </c>
      <c r="AE201" s="206" t="str">
        <f>IFERROR(VLOOKUP(Primary_Order[[#This Row],[AM]],SP!$E$19:$F$23,2,0),Primary_Order[[#This Row],[AM]])</f>
        <v>Northern</v>
      </c>
      <c r="AF201" s="206" t="str">
        <f>VLOOKUP(Primary_Order[[#This Row],[Product ID]],SKU[],10,0)</f>
        <v>Mineral</v>
      </c>
      <c r="AG201" s="206" t="str">
        <f>VLOOKUP(Primary_Order[[#This Row],[Product ID]],SKU[],9,0)</f>
        <v>MCO</v>
      </c>
      <c r="AH201" s="206" t="str">
        <f>VLOOKUP(Primary_Order[[#This Row],[Product ID]],SKU[],12,0)</f>
        <v>10W30</v>
      </c>
      <c r="AI201" s="206" t="str">
        <f>VLOOKUP(Primary_Order[[#This Row],[Product ID]],SKU[],13,0)</f>
        <v>3000</v>
      </c>
      <c r="AJ201" s="233">
        <f>VLOOKUP(Primary_Order[[#This Row],[Product ID]],SKU[[SKU ID]:[Bottle Size(Ltr)]],6,0)*Primary_Order[[#This Row],[Free Quantity]]</f>
        <v>0</v>
      </c>
      <c r="AK201" s="206" t="str">
        <f>VLOOKUP(Primary_Order[[#This Row],[Product ID]],SKU[[SKU ID]:[Bottle Size(Ltr)]],4,0)</f>
        <v>20x1L</v>
      </c>
      <c r="AL201" s="231">
        <f>VLOOKUP(Primary_Order[[#This Row],[Product ID]],SKU[],14,0)*Primary_Order[[#This Row],[Total Qty]]</f>
        <v>91039.2</v>
      </c>
      <c r="AM201" s="231">
        <f>IF(Primary_Order[[#This Row],[Cost]]=0,0,Primary_Order[[#This Row],[Net Total(-15%)]]-Primary_Order[[#This Row],[Cost]])</f>
        <v>21656.452173913043</v>
      </c>
      <c r="AN201" s="206" t="str">
        <f>"O-"&amp;Primary_Order[[#This Row],[Date]]&amp;"-"&amp;Primary_Order[[#This Row],[MMD ID]]</f>
        <v>O-45690-D-0005</v>
      </c>
      <c r="AO201" s="206" t="str" cm="1">
        <f t="array" ref="AO20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2" spans="1:41" x14ac:dyDescent="0.5">
      <c r="A202" s="206" t="s">
        <v>1153</v>
      </c>
      <c r="B202" s="230">
        <v>45690</v>
      </c>
      <c r="C202" s="206" t="s">
        <v>139</v>
      </c>
      <c r="D202" s="206" t="s">
        <v>140</v>
      </c>
      <c r="E202" s="206" t="s">
        <v>1141</v>
      </c>
      <c r="F202" s="206">
        <v>1715299768</v>
      </c>
      <c r="G202" s="206" t="s">
        <v>83</v>
      </c>
      <c r="H202" s="206" t="s">
        <v>84</v>
      </c>
      <c r="I202" s="206" t="s">
        <v>140</v>
      </c>
      <c r="J202" s="206" t="s">
        <v>479</v>
      </c>
      <c r="K202" s="206" t="s">
        <v>77</v>
      </c>
      <c r="L202" s="206" t="str">
        <f>VLOOKUP(Primary_Order[[#This Row],[Product ID]],SKU[],3,0)</f>
        <v>31004T GOLD 10W30</v>
      </c>
      <c r="M202" s="231">
        <v>240</v>
      </c>
      <c r="N202" s="231">
        <v>600</v>
      </c>
      <c r="O202" s="231">
        <v>240</v>
      </c>
      <c r="P202" s="232">
        <v>0</v>
      </c>
      <c r="Q202" s="231">
        <v>0</v>
      </c>
      <c r="R202" s="231">
        <v>600</v>
      </c>
      <c r="S202" s="231">
        <v>240</v>
      </c>
      <c r="T202" s="231">
        <v>240</v>
      </c>
      <c r="U202" s="231">
        <v>144000</v>
      </c>
      <c r="V202" s="231">
        <v>0</v>
      </c>
      <c r="W202" s="231">
        <v>144000</v>
      </c>
      <c r="X202" s="231">
        <v>18782.608695652172</v>
      </c>
      <c r="Y202" s="231">
        <v>125217.39130434782</v>
      </c>
      <c r="Z202" s="206" t="s">
        <v>882</v>
      </c>
      <c r="AA202" s="206">
        <v>625</v>
      </c>
      <c r="AB202" s="206" t="s">
        <v>749</v>
      </c>
      <c r="AC202" s="230">
        <v>45691</v>
      </c>
      <c r="AD202" s="206" t="s">
        <v>50</v>
      </c>
      <c r="AE202" s="206" t="str">
        <f>IFERROR(VLOOKUP(Primary_Order[[#This Row],[AM]],SP!$E$19:$F$23,2,0),Primary_Order[[#This Row],[AM]])</f>
        <v>Northern</v>
      </c>
      <c r="AF202" s="206" t="str">
        <f>VLOOKUP(Primary_Order[[#This Row],[Product ID]],SKU[],10,0)</f>
        <v>Technosynthese</v>
      </c>
      <c r="AG202" s="206" t="str">
        <f>VLOOKUP(Primary_Order[[#This Row],[Product ID]],SKU[],9,0)</f>
        <v>MCO</v>
      </c>
      <c r="AH202" s="206" t="str">
        <f>VLOOKUP(Primary_Order[[#This Row],[Product ID]],SKU[],12,0)</f>
        <v>10W30</v>
      </c>
      <c r="AI202" s="206" t="str">
        <f>VLOOKUP(Primary_Order[[#This Row],[Product ID]],SKU[],13,0)</f>
        <v>3100</v>
      </c>
      <c r="AJ202" s="233">
        <f>VLOOKUP(Primary_Order[[#This Row],[Product ID]],SKU[[SKU ID]:[Bottle Size(Ltr)]],6,0)*Primary_Order[[#This Row],[Free Quantity]]</f>
        <v>0</v>
      </c>
      <c r="AK202" s="206" t="str">
        <f>VLOOKUP(Primary_Order[[#This Row],[Product ID]],SKU[[SKU ID]:[Bottle Size(Ltr)]],4,0)</f>
        <v>20x1L</v>
      </c>
      <c r="AL202" s="231">
        <f>VLOOKUP(Primary_Order[[#This Row],[Product ID]],SKU[],14,0)*Primary_Order[[#This Row],[Total Qty]]</f>
        <v>102024</v>
      </c>
      <c r="AM202" s="231">
        <f>IF(Primary_Order[[#This Row],[Cost]]=0,0,Primary_Order[[#This Row],[Net Total(-15%)]]-Primary_Order[[#This Row],[Cost]])</f>
        <v>23193.391304347824</v>
      </c>
      <c r="AN202" s="206" t="str">
        <f>"O-"&amp;Primary_Order[[#This Row],[Date]]&amp;"-"&amp;Primary_Order[[#This Row],[MMD ID]]</f>
        <v>O-45690-D-0005</v>
      </c>
      <c r="AO202" s="206" t="str" cm="1">
        <f t="array" ref="AO20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3" spans="1:41" x14ac:dyDescent="0.5">
      <c r="A203" s="206" t="s">
        <v>1153</v>
      </c>
      <c r="B203" s="230">
        <v>45690</v>
      </c>
      <c r="C203" s="206" t="s">
        <v>139</v>
      </c>
      <c r="D203" s="206" t="s">
        <v>140</v>
      </c>
      <c r="E203" s="206" t="s">
        <v>1141</v>
      </c>
      <c r="F203" s="206">
        <v>1715299768</v>
      </c>
      <c r="G203" s="206" t="s">
        <v>83</v>
      </c>
      <c r="H203" s="206" t="s">
        <v>84</v>
      </c>
      <c r="I203" s="206" t="s">
        <v>140</v>
      </c>
      <c r="J203" s="206" t="s">
        <v>479</v>
      </c>
      <c r="K203" s="206" t="s">
        <v>56</v>
      </c>
      <c r="L203" s="206" t="str">
        <f>VLOOKUP(Primary_Order[[#This Row],[Product ID]],SKU[],3,0)</f>
        <v>7100 4T 10W30 ESTER CORE®</v>
      </c>
      <c r="M203" s="231">
        <v>72</v>
      </c>
      <c r="N203" s="231">
        <v>1080</v>
      </c>
      <c r="O203" s="231">
        <v>72</v>
      </c>
      <c r="P203" s="232">
        <v>0</v>
      </c>
      <c r="Q203" s="231">
        <v>0</v>
      </c>
      <c r="R203" s="231">
        <v>1080</v>
      </c>
      <c r="S203" s="231">
        <v>72</v>
      </c>
      <c r="T203" s="231">
        <v>72</v>
      </c>
      <c r="U203" s="231">
        <v>77760</v>
      </c>
      <c r="V203" s="231">
        <v>0</v>
      </c>
      <c r="W203" s="231">
        <v>77760</v>
      </c>
      <c r="X203" s="231">
        <v>10142.608695652174</v>
      </c>
      <c r="Y203" s="231">
        <v>67617.391304347824</v>
      </c>
      <c r="Z203" s="206" t="s">
        <v>882</v>
      </c>
      <c r="AA203" s="206">
        <v>625</v>
      </c>
      <c r="AB203" s="206" t="s">
        <v>749</v>
      </c>
      <c r="AC203" s="230">
        <v>45691</v>
      </c>
      <c r="AD203" s="206" t="s">
        <v>50</v>
      </c>
      <c r="AE203" s="206" t="str">
        <f>IFERROR(VLOOKUP(Primary_Order[[#This Row],[AM]],SP!$E$19:$F$23,2,0),Primary_Order[[#This Row],[AM]])</f>
        <v>Northern</v>
      </c>
      <c r="AF203" s="206" t="str">
        <f>VLOOKUP(Primary_Order[[#This Row],[Product ID]],SKU[],10,0)</f>
        <v>Synthetic</v>
      </c>
      <c r="AG203" s="206" t="str">
        <f>VLOOKUP(Primary_Order[[#This Row],[Product ID]],SKU[],9,0)</f>
        <v>MCO</v>
      </c>
      <c r="AH203" s="206" t="str">
        <f>VLOOKUP(Primary_Order[[#This Row],[Product ID]],SKU[],12,0)</f>
        <v>10W30</v>
      </c>
      <c r="AI203" s="206" t="str">
        <f>VLOOKUP(Primary_Order[[#This Row],[Product ID]],SKU[],13,0)</f>
        <v>7100</v>
      </c>
      <c r="AJ203" s="233">
        <f>VLOOKUP(Primary_Order[[#This Row],[Product ID]],SKU[[SKU ID]:[Bottle Size(Ltr)]],6,0)*Primary_Order[[#This Row],[Free Quantity]]</f>
        <v>0</v>
      </c>
      <c r="AK203" s="206" t="str">
        <f>VLOOKUP(Primary_Order[[#This Row],[Product ID]],SKU[[SKU ID]:[Bottle Size(Ltr)]],4,0)</f>
        <v>12x1L</v>
      </c>
      <c r="AL203" s="231">
        <f>VLOOKUP(Primary_Order[[#This Row],[Product ID]],SKU[],14,0)*Primary_Order[[#This Row],[Total Qty]]</f>
        <v>49669.919999999998</v>
      </c>
      <c r="AM203" s="231">
        <f>IF(Primary_Order[[#This Row],[Cost]]=0,0,Primary_Order[[#This Row],[Net Total(-15%)]]-Primary_Order[[#This Row],[Cost]])</f>
        <v>17947.471304347826</v>
      </c>
      <c r="AN203" s="206" t="str">
        <f>"O-"&amp;Primary_Order[[#This Row],[Date]]&amp;"-"&amp;Primary_Order[[#This Row],[MMD ID]]</f>
        <v>O-45690-D-0005</v>
      </c>
      <c r="AO203" s="206" t="str" cm="1">
        <f t="array" ref="AO20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4" spans="1:41" x14ac:dyDescent="0.5">
      <c r="A204" s="206" t="s">
        <v>1153</v>
      </c>
      <c r="B204" s="230">
        <v>45690</v>
      </c>
      <c r="C204" s="206" t="s">
        <v>139</v>
      </c>
      <c r="D204" s="206" t="s">
        <v>140</v>
      </c>
      <c r="E204" s="206" t="s">
        <v>1141</v>
      </c>
      <c r="F204" s="206">
        <v>1715299768</v>
      </c>
      <c r="G204" s="206" t="s">
        <v>83</v>
      </c>
      <c r="H204" s="206" t="s">
        <v>84</v>
      </c>
      <c r="I204" s="206" t="s">
        <v>140</v>
      </c>
      <c r="J204" s="206" t="s">
        <v>479</v>
      </c>
      <c r="K204" s="206" t="s">
        <v>43</v>
      </c>
      <c r="L204" s="206" t="str">
        <f>VLOOKUP(Primary_Order[[#This Row],[Product ID]],SKU[],3,0)</f>
        <v>7100 4T 10W30 ESTER CORE®</v>
      </c>
      <c r="M204" s="231">
        <v>120</v>
      </c>
      <c r="N204" s="231">
        <v>1295</v>
      </c>
      <c r="O204" s="231">
        <v>144</v>
      </c>
      <c r="P204" s="232">
        <v>0</v>
      </c>
      <c r="Q204" s="231">
        <v>0</v>
      </c>
      <c r="R204" s="231">
        <v>1295</v>
      </c>
      <c r="S204" s="231">
        <v>120</v>
      </c>
      <c r="T204" s="231">
        <v>144</v>
      </c>
      <c r="U204" s="231">
        <v>155400</v>
      </c>
      <c r="V204" s="231">
        <v>0</v>
      </c>
      <c r="W204" s="231">
        <v>155400</v>
      </c>
      <c r="X204" s="231">
        <v>20269.565217391304</v>
      </c>
      <c r="Y204" s="231">
        <v>135130.4347826087</v>
      </c>
      <c r="Z204" s="206" t="s">
        <v>882</v>
      </c>
      <c r="AA204" s="206">
        <v>625</v>
      </c>
      <c r="AB204" s="206" t="s">
        <v>749</v>
      </c>
      <c r="AC204" s="230">
        <v>45691</v>
      </c>
      <c r="AD204" s="206" t="s">
        <v>50</v>
      </c>
      <c r="AE204" s="206" t="str">
        <f>IFERROR(VLOOKUP(Primary_Order[[#This Row],[AM]],SP!$E$19:$F$23,2,0),Primary_Order[[#This Row],[AM]])</f>
        <v>Northern</v>
      </c>
      <c r="AF204" s="206" t="str">
        <f>VLOOKUP(Primary_Order[[#This Row],[Product ID]],SKU[],10,0)</f>
        <v>Synthetic</v>
      </c>
      <c r="AG204" s="206" t="str">
        <f>VLOOKUP(Primary_Order[[#This Row],[Product ID]],SKU[],9,0)</f>
        <v>MCO</v>
      </c>
      <c r="AH204" s="206" t="str">
        <f>VLOOKUP(Primary_Order[[#This Row],[Product ID]],SKU[],12,0)</f>
        <v>10W30</v>
      </c>
      <c r="AI204" s="206" t="str">
        <f>VLOOKUP(Primary_Order[[#This Row],[Product ID]],SKU[],13,0)</f>
        <v>7100</v>
      </c>
      <c r="AJ204" s="233">
        <f>VLOOKUP(Primary_Order[[#This Row],[Product ID]],SKU[[SKU ID]:[Bottle Size(Ltr)]],6,0)*Primary_Order[[#This Row],[Free Quantity]]</f>
        <v>0</v>
      </c>
      <c r="AK204" s="206" t="str">
        <f>VLOOKUP(Primary_Order[[#This Row],[Product ID]],SKU[[SKU ID]:[Bottle Size(Ltr)]],4,0)</f>
        <v>20x1.2L</v>
      </c>
      <c r="AL204" s="231">
        <f>VLOOKUP(Primary_Order[[#This Row],[Product ID]],SKU[],14,0)*Primary_Order[[#This Row],[Total Qty]]</f>
        <v>93276</v>
      </c>
      <c r="AM204" s="231">
        <f>IF(Primary_Order[[#This Row],[Cost]]=0,0,Primary_Order[[#This Row],[Net Total(-15%)]]-Primary_Order[[#This Row],[Cost]])</f>
        <v>41854.434782608703</v>
      </c>
      <c r="AN204" s="206" t="str">
        <f>"O-"&amp;Primary_Order[[#This Row],[Date]]&amp;"-"&amp;Primary_Order[[#This Row],[MMD ID]]</f>
        <v>O-45690-D-0005</v>
      </c>
      <c r="AO204" s="206" t="str" cm="1">
        <f t="array" ref="AO20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5" spans="1:41" x14ac:dyDescent="0.5">
      <c r="A205" s="206" t="s">
        <v>1169</v>
      </c>
      <c r="B205" s="230">
        <v>45694</v>
      </c>
      <c r="C205" s="206" t="s">
        <v>110</v>
      </c>
      <c r="D205" s="206" t="s">
        <v>88</v>
      </c>
      <c r="E205" s="206" t="s">
        <v>52</v>
      </c>
      <c r="F205" s="206" t="s">
        <v>50</v>
      </c>
      <c r="G205" s="206" t="s">
        <v>87</v>
      </c>
      <c r="H205" s="206" t="s">
        <v>87</v>
      </c>
      <c r="I205" s="206" t="s">
        <v>88</v>
      </c>
      <c r="J205" s="206" t="s">
        <v>52</v>
      </c>
      <c r="K205" s="206" t="s">
        <v>53</v>
      </c>
      <c r="L205" s="206" t="str">
        <f>VLOOKUP(Primary_Order[[#This Row],[Product ID]],SKU[],3,0)</f>
        <v>3000 4T PLUS 20W40</v>
      </c>
      <c r="M205" s="231">
        <v>6000</v>
      </c>
      <c r="N205" s="231">
        <v>525</v>
      </c>
      <c r="O205" s="231">
        <v>6000</v>
      </c>
      <c r="P205" s="232">
        <v>0</v>
      </c>
      <c r="Q205" s="231">
        <v>0</v>
      </c>
      <c r="R205" s="231">
        <v>525</v>
      </c>
      <c r="S205" s="231">
        <v>6000</v>
      </c>
      <c r="T205" s="231">
        <v>6000</v>
      </c>
      <c r="U205" s="231">
        <v>3150000</v>
      </c>
      <c r="V205" s="231">
        <v>0</v>
      </c>
      <c r="W205" s="231">
        <v>3150000</v>
      </c>
      <c r="X205" s="231">
        <v>410869.5652173913</v>
      </c>
      <c r="Y205" s="231">
        <v>2739130.4347826089</v>
      </c>
      <c r="Z205" s="206" t="s">
        <v>882</v>
      </c>
      <c r="AA205" s="206">
        <v>626</v>
      </c>
      <c r="AB205" s="206" t="s">
        <v>1170</v>
      </c>
      <c r="AC205" s="230">
        <v>45694</v>
      </c>
      <c r="AD205" s="206" t="s">
        <v>50</v>
      </c>
      <c r="AE205" s="206" t="str">
        <f>IFERROR(VLOOKUP(Primary_Order[[#This Row],[AM]],SP!$E$19:$F$23,2,0),Primary_Order[[#This Row],[AM]])</f>
        <v>Captive Sales</v>
      </c>
      <c r="AF205" s="206" t="str">
        <f>VLOOKUP(Primary_Order[[#This Row],[Product ID]],SKU[],10,0)</f>
        <v>Mineral</v>
      </c>
      <c r="AG205" s="206" t="str">
        <f>VLOOKUP(Primary_Order[[#This Row],[Product ID]],SKU[],9,0)</f>
        <v>MCO</v>
      </c>
      <c r="AH205" s="206" t="str">
        <f>VLOOKUP(Primary_Order[[#This Row],[Product ID]],SKU[],12,0)</f>
        <v>20W40</v>
      </c>
      <c r="AI205" s="206" t="str">
        <f>VLOOKUP(Primary_Order[[#This Row],[Product ID]],SKU[],13,0)</f>
        <v>3000</v>
      </c>
      <c r="AJ205" s="233">
        <f>VLOOKUP(Primary_Order[[#This Row],[Product ID]],SKU[[SKU ID]:[Bottle Size(Ltr)]],6,0)*Primary_Order[[#This Row],[Free Quantity]]</f>
        <v>0</v>
      </c>
      <c r="AK205" s="206" t="str">
        <f>VLOOKUP(Primary_Order[[#This Row],[Product ID]],SKU[[SKU ID]:[Bottle Size(Ltr)]],4,0)</f>
        <v>20x1L</v>
      </c>
      <c r="AL205" s="231">
        <f>VLOOKUP(Primary_Order[[#This Row],[Product ID]],SKU[],14,0)*Primary_Order[[#This Row],[Total Qty]]</f>
        <v>2476560</v>
      </c>
      <c r="AM205" s="231">
        <f>IF(Primary_Order[[#This Row],[Cost]]=0,0,Primary_Order[[#This Row],[Net Total(-15%)]]-Primary_Order[[#This Row],[Cost]])</f>
        <v>262570.43478260888</v>
      </c>
      <c r="AN205" s="206" t="str">
        <f>"O-"&amp;Primary_Order[[#This Row],[Date]]&amp;"-"&amp;Primary_Order[[#This Row],[MMD ID]]</f>
        <v>O-45694-D-0025</v>
      </c>
      <c r="AO205" s="206" t="str" cm="1">
        <f t="array" ref="AO20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6" spans="1:41" x14ac:dyDescent="0.5">
      <c r="A206" s="206" t="s">
        <v>1169</v>
      </c>
      <c r="B206" s="230">
        <v>45694</v>
      </c>
      <c r="C206" s="206" t="s">
        <v>110</v>
      </c>
      <c r="D206" s="206" t="s">
        <v>88</v>
      </c>
      <c r="E206" s="206" t="s">
        <v>52</v>
      </c>
      <c r="F206" s="206" t="s">
        <v>50</v>
      </c>
      <c r="G206" s="206" t="s">
        <v>87</v>
      </c>
      <c r="H206" s="206" t="s">
        <v>87</v>
      </c>
      <c r="I206" s="206" t="s">
        <v>88</v>
      </c>
      <c r="J206" s="206" t="s">
        <v>52</v>
      </c>
      <c r="K206" s="206" t="s">
        <v>54</v>
      </c>
      <c r="L206" s="206" t="str">
        <f>VLOOKUP(Primary_Order[[#This Row],[Product ID]],SKU[],3,0)</f>
        <v>3000 4T PLUS 10W40</v>
      </c>
      <c r="M206" s="231">
        <v>3000</v>
      </c>
      <c r="N206" s="231">
        <v>525</v>
      </c>
      <c r="O206" s="231">
        <v>3000</v>
      </c>
      <c r="P206" s="232">
        <v>0</v>
      </c>
      <c r="Q206" s="231">
        <v>0</v>
      </c>
      <c r="R206" s="231">
        <v>525</v>
      </c>
      <c r="S206" s="231">
        <v>3000</v>
      </c>
      <c r="T206" s="231">
        <v>3000</v>
      </c>
      <c r="U206" s="231">
        <v>1575000</v>
      </c>
      <c r="V206" s="231">
        <v>0</v>
      </c>
      <c r="W206" s="231">
        <v>1575000</v>
      </c>
      <c r="X206" s="231">
        <v>205434.78260869565</v>
      </c>
      <c r="Y206" s="231">
        <v>1369565.2173913044</v>
      </c>
      <c r="Z206" s="206" t="s">
        <v>882</v>
      </c>
      <c r="AA206" s="206">
        <v>626</v>
      </c>
      <c r="AB206" s="206" t="s">
        <v>1170</v>
      </c>
      <c r="AC206" s="230">
        <v>45694</v>
      </c>
      <c r="AD206" s="206" t="s">
        <v>50</v>
      </c>
      <c r="AE206" s="206" t="str">
        <f>IFERROR(VLOOKUP(Primary_Order[[#This Row],[AM]],SP!$E$19:$F$23,2,0),Primary_Order[[#This Row],[AM]])</f>
        <v>Captive Sales</v>
      </c>
      <c r="AF206" s="206" t="str">
        <f>VLOOKUP(Primary_Order[[#This Row],[Product ID]],SKU[],10,0)</f>
        <v>Mineral</v>
      </c>
      <c r="AG206" s="206" t="str">
        <f>VLOOKUP(Primary_Order[[#This Row],[Product ID]],SKU[],9,0)</f>
        <v>MCO</v>
      </c>
      <c r="AH206" s="206" t="str">
        <f>VLOOKUP(Primary_Order[[#This Row],[Product ID]],SKU[],12,0)</f>
        <v>10W40</v>
      </c>
      <c r="AI206" s="206" t="str">
        <f>VLOOKUP(Primary_Order[[#This Row],[Product ID]],SKU[],13,0)</f>
        <v>3000</v>
      </c>
      <c r="AJ206" s="233">
        <f>VLOOKUP(Primary_Order[[#This Row],[Product ID]],SKU[[SKU ID]:[Bottle Size(Ltr)]],6,0)*Primary_Order[[#This Row],[Free Quantity]]</f>
        <v>0</v>
      </c>
      <c r="AK206" s="206" t="str">
        <f>VLOOKUP(Primary_Order[[#This Row],[Product ID]],SKU[[SKU ID]:[Bottle Size(Ltr)]],4,0)</f>
        <v>20x1L</v>
      </c>
      <c r="AL206" s="231">
        <f>VLOOKUP(Primary_Order[[#This Row],[Product ID]],SKU[],14,0)*Primary_Order[[#This Row],[Total Qty]]</f>
        <v>1154550</v>
      </c>
      <c r="AM206" s="231">
        <f>IF(Primary_Order[[#This Row],[Cost]]=0,0,Primary_Order[[#This Row],[Net Total(-15%)]]-Primary_Order[[#This Row],[Cost]])</f>
        <v>215015.21739130444</v>
      </c>
      <c r="AN206" s="206" t="str">
        <f>"O-"&amp;Primary_Order[[#This Row],[Date]]&amp;"-"&amp;Primary_Order[[#This Row],[MMD ID]]</f>
        <v>O-45694-D-0025</v>
      </c>
      <c r="AO206" s="206" t="str" cm="1">
        <f t="array" ref="AO20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7" spans="1:41" x14ac:dyDescent="0.5">
      <c r="A207" s="206" t="s">
        <v>1169</v>
      </c>
      <c r="B207" s="230">
        <v>45694</v>
      </c>
      <c r="C207" s="206" t="s">
        <v>110</v>
      </c>
      <c r="D207" s="206" t="s">
        <v>88</v>
      </c>
      <c r="E207" s="206" t="s">
        <v>52</v>
      </c>
      <c r="F207" s="206" t="s">
        <v>50</v>
      </c>
      <c r="G207" s="206" t="s">
        <v>87</v>
      </c>
      <c r="H207" s="206" t="s">
        <v>87</v>
      </c>
      <c r="I207" s="206" t="s">
        <v>88</v>
      </c>
      <c r="J207" s="206" t="s">
        <v>52</v>
      </c>
      <c r="K207" s="206" t="s">
        <v>36</v>
      </c>
      <c r="L207" s="206" t="str">
        <f>VLOOKUP(Primary_Order[[#This Row],[Product ID]],SKU[],3,0)</f>
        <v>51004T 10W40 ESTER</v>
      </c>
      <c r="M207" s="231">
        <v>1752</v>
      </c>
      <c r="N207" s="231">
        <v>830</v>
      </c>
      <c r="O207" s="231">
        <v>1752</v>
      </c>
      <c r="P207" s="232">
        <v>0</v>
      </c>
      <c r="Q207" s="231">
        <v>0</v>
      </c>
      <c r="R207" s="231">
        <v>830</v>
      </c>
      <c r="S207" s="231">
        <v>1752</v>
      </c>
      <c r="T207" s="231">
        <v>1752</v>
      </c>
      <c r="U207" s="231">
        <v>1454160</v>
      </c>
      <c r="V207" s="231">
        <v>0</v>
      </c>
      <c r="W207" s="231">
        <v>1454160</v>
      </c>
      <c r="X207" s="231">
        <v>189673.04347826086</v>
      </c>
      <c r="Y207" s="231">
        <v>1264486.956521739</v>
      </c>
      <c r="Z207" s="206" t="s">
        <v>882</v>
      </c>
      <c r="AA207" s="206">
        <v>626</v>
      </c>
      <c r="AB207" s="206" t="s">
        <v>1170</v>
      </c>
      <c r="AC207" s="230">
        <v>45694</v>
      </c>
      <c r="AD207" s="206" t="s">
        <v>50</v>
      </c>
      <c r="AE207" s="206" t="str">
        <f>IFERROR(VLOOKUP(Primary_Order[[#This Row],[AM]],SP!$E$19:$F$23,2,0),Primary_Order[[#This Row],[AM]])</f>
        <v>Captive Sales</v>
      </c>
      <c r="AF207" s="206" t="str">
        <f>VLOOKUP(Primary_Order[[#This Row],[Product ID]],SKU[],10,0)</f>
        <v>Technosynthese</v>
      </c>
      <c r="AG207" s="206" t="str">
        <f>VLOOKUP(Primary_Order[[#This Row],[Product ID]],SKU[],9,0)</f>
        <v>MCO</v>
      </c>
      <c r="AH207" s="206" t="str">
        <f>VLOOKUP(Primary_Order[[#This Row],[Product ID]],SKU[],12,0)</f>
        <v>10W40</v>
      </c>
      <c r="AI207" s="206" t="str">
        <f>VLOOKUP(Primary_Order[[#This Row],[Product ID]],SKU[],13,0)</f>
        <v>5100</v>
      </c>
      <c r="AJ207" s="233">
        <f>VLOOKUP(Primary_Order[[#This Row],[Product ID]],SKU[[SKU ID]:[Bottle Size(Ltr)]],6,0)*Primary_Order[[#This Row],[Free Quantity]]</f>
        <v>0</v>
      </c>
      <c r="AK207" s="206" t="str">
        <f>VLOOKUP(Primary_Order[[#This Row],[Product ID]],SKU[[SKU ID]:[Bottle Size(Ltr)]],4,0)</f>
        <v>12x1L</v>
      </c>
      <c r="AL207" s="231">
        <f>VLOOKUP(Primary_Order[[#This Row],[Product ID]],SKU[],14,0)*Primary_Order[[#This Row],[Total Qty]]</f>
        <v>1065794.1600000001</v>
      </c>
      <c r="AM207" s="231">
        <f>IF(Primary_Order[[#This Row],[Cost]]=0,0,Primary_Order[[#This Row],[Net Total(-15%)]]-Primary_Order[[#This Row],[Cost]])</f>
        <v>198692.79652173887</v>
      </c>
      <c r="AN207" s="206" t="str">
        <f>"O-"&amp;Primary_Order[[#This Row],[Date]]&amp;"-"&amp;Primary_Order[[#This Row],[MMD ID]]</f>
        <v>O-45694-D-0025</v>
      </c>
      <c r="AO207" s="206" t="str" cm="1">
        <f t="array" ref="AO20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8" spans="1:41" x14ac:dyDescent="0.5">
      <c r="A208" s="206" t="s">
        <v>1169</v>
      </c>
      <c r="B208" s="230">
        <v>45694</v>
      </c>
      <c r="C208" s="206" t="s">
        <v>110</v>
      </c>
      <c r="D208" s="206" t="s">
        <v>88</v>
      </c>
      <c r="E208" s="206" t="s">
        <v>52</v>
      </c>
      <c r="F208" s="206" t="s">
        <v>50</v>
      </c>
      <c r="G208" s="206" t="s">
        <v>87</v>
      </c>
      <c r="H208" s="206" t="s">
        <v>87</v>
      </c>
      <c r="I208" s="206" t="s">
        <v>88</v>
      </c>
      <c r="J208" s="206" t="s">
        <v>52</v>
      </c>
      <c r="K208" s="206" t="s">
        <v>117</v>
      </c>
      <c r="L208" s="206" t="str">
        <f>VLOOKUP(Primary_Order[[#This Row],[Product ID]],SKU[],3,0)</f>
        <v>Fork Oil Expert</v>
      </c>
      <c r="M208" s="231">
        <v>4256</v>
      </c>
      <c r="N208" s="231">
        <v>115</v>
      </c>
      <c r="O208" s="231">
        <v>744.8</v>
      </c>
      <c r="P208" s="232">
        <v>0</v>
      </c>
      <c r="Q208" s="231">
        <v>0</v>
      </c>
      <c r="R208" s="231">
        <v>115</v>
      </c>
      <c r="S208" s="231">
        <v>4256</v>
      </c>
      <c r="T208" s="231">
        <v>744.8</v>
      </c>
      <c r="U208" s="231">
        <v>489440</v>
      </c>
      <c r="V208" s="231">
        <v>0</v>
      </c>
      <c r="W208" s="231">
        <v>489440</v>
      </c>
      <c r="X208" s="231">
        <v>63840</v>
      </c>
      <c r="Y208" s="231">
        <v>425600</v>
      </c>
      <c r="Z208" s="206" t="s">
        <v>882</v>
      </c>
      <c r="AA208" s="206">
        <v>626</v>
      </c>
      <c r="AB208" s="206" t="s">
        <v>1170</v>
      </c>
      <c r="AC208" s="230">
        <v>45694</v>
      </c>
      <c r="AD208" s="206" t="s">
        <v>50</v>
      </c>
      <c r="AE208" s="206" t="str">
        <f>IFERROR(VLOOKUP(Primary_Order[[#This Row],[AM]],SP!$E$19:$F$23,2,0),Primary_Order[[#This Row],[AM]])</f>
        <v>Captive Sales</v>
      </c>
      <c r="AF208" s="206" t="str">
        <f>VLOOKUP(Primary_Order[[#This Row],[Product ID]],SKU[],10,0)</f>
        <v>Care Products</v>
      </c>
      <c r="AG208" s="206" t="str">
        <f>VLOOKUP(Primary_Order[[#This Row],[Product ID]],SKU[],9,0)</f>
        <v>Care Products</v>
      </c>
      <c r="AH208" s="206" t="str">
        <f>VLOOKUP(Primary_Order[[#This Row],[Product ID]],SKU[],12,0)</f>
        <v>Care Products</v>
      </c>
      <c r="AI208" s="206" t="str">
        <f>VLOOKUP(Primary_Order[[#This Row],[Product ID]],SKU[],13,0)</f>
        <v>Fork Oil</v>
      </c>
      <c r="AJ208" s="233">
        <f>VLOOKUP(Primary_Order[[#This Row],[Product ID]],SKU[[SKU ID]:[Bottle Size(Ltr)]],6,0)*Primary_Order[[#This Row],[Free Quantity]]</f>
        <v>0</v>
      </c>
      <c r="AK208" s="206" t="str">
        <f>VLOOKUP(Primary_Order[[#This Row],[Product ID]],SKU[[SKU ID]:[Bottle Size(Ltr)]],4,0)</f>
        <v>40x0.175L</v>
      </c>
      <c r="AL208" s="231">
        <f>VLOOKUP(Primary_Order[[#This Row],[Product ID]],SKU[],14,0)*Primary_Order[[#This Row],[Total Qty]]</f>
        <v>352184</v>
      </c>
      <c r="AM208" s="231">
        <f>IF(Primary_Order[[#This Row],[Cost]]=0,0,Primary_Order[[#This Row],[Net Total(-15%)]]-Primary_Order[[#This Row],[Cost]])</f>
        <v>73416</v>
      </c>
      <c r="AN208" s="206" t="str">
        <f>"O-"&amp;Primary_Order[[#This Row],[Date]]&amp;"-"&amp;Primary_Order[[#This Row],[MMD ID]]</f>
        <v>O-45694-D-0025</v>
      </c>
      <c r="AO208" s="206" t="str" cm="1">
        <f t="array" ref="AO20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09" spans="1:41" x14ac:dyDescent="0.5">
      <c r="A209" s="206" t="s">
        <v>1169</v>
      </c>
      <c r="B209" s="230">
        <v>45694</v>
      </c>
      <c r="C209" s="206" t="s">
        <v>110</v>
      </c>
      <c r="D209" s="206" t="s">
        <v>88</v>
      </c>
      <c r="E209" s="206" t="s">
        <v>52</v>
      </c>
      <c r="F209" s="206" t="s">
        <v>50</v>
      </c>
      <c r="G209" s="206" t="s">
        <v>87</v>
      </c>
      <c r="H209" s="206" t="s">
        <v>87</v>
      </c>
      <c r="I209" s="206" t="s">
        <v>88</v>
      </c>
      <c r="J209" s="206" t="s">
        <v>52</v>
      </c>
      <c r="K209" s="206" t="s">
        <v>152</v>
      </c>
      <c r="L209" s="206" t="str">
        <f>VLOOKUP(Primary_Order[[#This Row],[Product ID]],SKU[],3,0)</f>
        <v>Inugel Expert Coolant</v>
      </c>
      <c r="M209" s="231">
        <v>200</v>
      </c>
      <c r="N209" s="231">
        <v>340</v>
      </c>
      <c r="O209" s="231">
        <v>200</v>
      </c>
      <c r="P209" s="232">
        <v>0</v>
      </c>
      <c r="Q209" s="231">
        <v>0</v>
      </c>
      <c r="R209" s="231">
        <v>340</v>
      </c>
      <c r="S209" s="231">
        <v>200</v>
      </c>
      <c r="T209" s="231">
        <v>200</v>
      </c>
      <c r="U209" s="231">
        <v>68000</v>
      </c>
      <c r="V209" s="231">
        <v>0</v>
      </c>
      <c r="W209" s="231">
        <v>68000</v>
      </c>
      <c r="X209" s="231">
        <v>8869.565217391304</v>
      </c>
      <c r="Y209" s="231">
        <v>59130.434782608696</v>
      </c>
      <c r="Z209" s="206" t="s">
        <v>882</v>
      </c>
      <c r="AA209" s="206">
        <v>626</v>
      </c>
      <c r="AB209" s="206" t="s">
        <v>1170</v>
      </c>
      <c r="AC209" s="230">
        <v>45694</v>
      </c>
      <c r="AD209" s="206" t="s">
        <v>50</v>
      </c>
      <c r="AE209" s="206" t="str">
        <f>IFERROR(VLOOKUP(Primary_Order[[#This Row],[AM]],SP!$E$19:$F$23,2,0),Primary_Order[[#This Row],[AM]])</f>
        <v>Captive Sales</v>
      </c>
      <c r="AF209" s="206" t="str">
        <f>VLOOKUP(Primary_Order[[#This Row],[Product ID]],SKU[],10,0)</f>
        <v>Care Products</v>
      </c>
      <c r="AG209" s="206" t="str">
        <f>VLOOKUP(Primary_Order[[#This Row],[Product ID]],SKU[],9,0)</f>
        <v>Care Products</v>
      </c>
      <c r="AH209" s="206" t="str">
        <f>VLOOKUP(Primary_Order[[#This Row],[Product ID]],SKU[],12,0)</f>
        <v>Care Products</v>
      </c>
      <c r="AI209" s="206" t="str">
        <f>VLOOKUP(Primary_Order[[#This Row],[Product ID]],SKU[],13,0)</f>
        <v>Coolant</v>
      </c>
      <c r="AJ209" s="233">
        <f>VLOOKUP(Primary_Order[[#This Row],[Product ID]],SKU[[SKU ID]:[Bottle Size(Ltr)]],6,0)*Primary_Order[[#This Row],[Free Quantity]]</f>
        <v>0</v>
      </c>
      <c r="AK209" s="206" t="str">
        <f>VLOOKUP(Primary_Order[[#This Row],[Product ID]],SKU[[SKU ID]:[Bottle Size(Ltr)]],4,0)</f>
        <v>20x1L</v>
      </c>
      <c r="AL209" s="231">
        <f>VLOOKUP(Primary_Order[[#This Row],[Product ID]],SKU[],14,0)*Primary_Order[[#This Row],[Total Qty]]</f>
        <v>46128</v>
      </c>
      <c r="AM209" s="231">
        <f>IF(Primary_Order[[#This Row],[Cost]]=0,0,Primary_Order[[#This Row],[Net Total(-15%)]]-Primary_Order[[#This Row],[Cost]])</f>
        <v>13002.434782608696</v>
      </c>
      <c r="AN209" s="206" t="str">
        <f>"O-"&amp;Primary_Order[[#This Row],[Date]]&amp;"-"&amp;Primary_Order[[#This Row],[MMD ID]]</f>
        <v>O-45694-D-0025</v>
      </c>
      <c r="AO209" s="206" t="str" cm="1">
        <f t="array" ref="AO20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0" spans="1:41" x14ac:dyDescent="0.5">
      <c r="A210" s="206" t="s">
        <v>1169</v>
      </c>
      <c r="B210" s="230">
        <v>45694</v>
      </c>
      <c r="C210" s="206" t="s">
        <v>110</v>
      </c>
      <c r="D210" s="206" t="s">
        <v>88</v>
      </c>
      <c r="E210" s="206" t="s">
        <v>52</v>
      </c>
      <c r="F210" s="206" t="s">
        <v>50</v>
      </c>
      <c r="G210" s="206" t="s">
        <v>87</v>
      </c>
      <c r="H210" s="206" t="s">
        <v>87</v>
      </c>
      <c r="I210" s="206" t="s">
        <v>88</v>
      </c>
      <c r="J210" s="206" t="s">
        <v>52</v>
      </c>
      <c r="K210" s="206" t="s">
        <v>147</v>
      </c>
      <c r="L210" s="206" t="str">
        <f>VLOOKUP(Primary_Order[[#This Row],[Product ID]],SKU[],3,0)</f>
        <v>C1 CHAIN CLEAN</v>
      </c>
      <c r="M210" s="231">
        <v>552</v>
      </c>
      <c r="N210" s="231">
        <v>1000</v>
      </c>
      <c r="O210" s="231">
        <v>220.8</v>
      </c>
      <c r="P210" s="232">
        <v>0</v>
      </c>
      <c r="Q210" s="231">
        <v>0</v>
      </c>
      <c r="R210" s="231">
        <v>1000</v>
      </c>
      <c r="S210" s="231">
        <v>552</v>
      </c>
      <c r="T210" s="231">
        <v>220.8</v>
      </c>
      <c r="U210" s="231">
        <v>552000</v>
      </c>
      <c r="V210" s="231">
        <v>0</v>
      </c>
      <c r="W210" s="231">
        <v>552000</v>
      </c>
      <c r="X210" s="231">
        <v>72000</v>
      </c>
      <c r="Y210" s="231">
        <v>480000</v>
      </c>
      <c r="Z210" s="206" t="s">
        <v>882</v>
      </c>
      <c r="AA210" s="206">
        <v>626</v>
      </c>
      <c r="AB210" s="206" t="s">
        <v>1170</v>
      </c>
      <c r="AC210" s="230">
        <v>45694</v>
      </c>
      <c r="AD210" s="206" t="s">
        <v>50</v>
      </c>
      <c r="AE210" s="206" t="str">
        <f>IFERROR(VLOOKUP(Primary_Order[[#This Row],[AM]],SP!$E$19:$F$23,2,0),Primary_Order[[#This Row],[AM]])</f>
        <v>Captive Sales</v>
      </c>
      <c r="AF210" s="206" t="str">
        <f>VLOOKUP(Primary_Order[[#This Row],[Product ID]],SKU[],10,0)</f>
        <v>Care Products</v>
      </c>
      <c r="AG210" s="206" t="str">
        <f>VLOOKUP(Primary_Order[[#This Row],[Product ID]],SKU[],9,0)</f>
        <v>Care Products</v>
      </c>
      <c r="AH210" s="206" t="str">
        <f>VLOOKUP(Primary_Order[[#This Row],[Product ID]],SKU[],12,0)</f>
        <v>Care Products</v>
      </c>
      <c r="AI210" s="206" t="str">
        <f>VLOOKUP(Primary_Order[[#This Row],[Product ID]],SKU[],13,0)</f>
        <v>Chain</v>
      </c>
      <c r="AJ210" s="233">
        <f>VLOOKUP(Primary_Order[[#This Row],[Product ID]],SKU[[SKU ID]:[Bottle Size(Ltr)]],6,0)*Primary_Order[[#This Row],[Free Quantity]]</f>
        <v>0</v>
      </c>
      <c r="AK210" s="206" t="str">
        <f>VLOOKUP(Primary_Order[[#This Row],[Product ID]],SKU[[SKU ID]:[Bottle Size(Ltr)]],4,0)</f>
        <v>12x0.4L</v>
      </c>
      <c r="AL210" s="231">
        <f>VLOOKUP(Primary_Order[[#This Row],[Product ID]],SKU[],14,0)*Primary_Order[[#This Row],[Total Qty]]</f>
        <v>371938.58972273569</v>
      </c>
      <c r="AM210" s="231">
        <f>IF(Primary_Order[[#This Row],[Cost]]=0,0,Primary_Order[[#This Row],[Net Total(-15%)]]-Primary_Order[[#This Row],[Cost]])</f>
        <v>108061.41027726431</v>
      </c>
      <c r="AN210" s="206" t="str">
        <f>"O-"&amp;Primary_Order[[#This Row],[Date]]&amp;"-"&amp;Primary_Order[[#This Row],[MMD ID]]</f>
        <v>O-45694-D-0025</v>
      </c>
      <c r="AO210" s="206" t="str" cm="1">
        <f t="array" ref="AO21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1" spans="1:41" x14ac:dyDescent="0.5">
      <c r="A211" s="206" t="s">
        <v>1169</v>
      </c>
      <c r="B211" s="230">
        <v>45694</v>
      </c>
      <c r="C211" s="206" t="s">
        <v>110</v>
      </c>
      <c r="D211" s="206" t="s">
        <v>88</v>
      </c>
      <c r="E211" s="206" t="s">
        <v>52</v>
      </c>
      <c r="F211" s="206" t="s">
        <v>50</v>
      </c>
      <c r="G211" s="206" t="s">
        <v>87</v>
      </c>
      <c r="H211" s="206" t="s">
        <v>87</v>
      </c>
      <c r="I211" s="206" t="s">
        <v>88</v>
      </c>
      <c r="J211" s="206" t="s">
        <v>52</v>
      </c>
      <c r="K211" s="206" t="s">
        <v>126</v>
      </c>
      <c r="L211" s="206" t="str">
        <f>VLOOKUP(Primary_Order[[#This Row],[Product ID]],SKU[],3,0)</f>
        <v>C1 CHAIN CLEAN</v>
      </c>
      <c r="M211" s="231">
        <v>260</v>
      </c>
      <c r="N211" s="231">
        <v>460</v>
      </c>
      <c r="O211" s="231">
        <v>39</v>
      </c>
      <c r="P211" s="232">
        <v>-2.2204460492503131E-16</v>
      </c>
      <c r="Q211" s="231">
        <v>0</v>
      </c>
      <c r="R211" s="231">
        <v>460.00000000000006</v>
      </c>
      <c r="S211" s="231">
        <v>260</v>
      </c>
      <c r="T211" s="231">
        <v>39</v>
      </c>
      <c r="U211" s="231">
        <v>119600</v>
      </c>
      <c r="V211" s="231">
        <v>0</v>
      </c>
      <c r="W211" s="231">
        <v>119600.00000000001</v>
      </c>
      <c r="X211" s="231">
        <v>15600.000000000002</v>
      </c>
      <c r="Y211" s="231">
        <v>104000.00000000001</v>
      </c>
      <c r="Z211" s="206" t="s">
        <v>882</v>
      </c>
      <c r="AA211" s="206">
        <v>626</v>
      </c>
      <c r="AB211" s="206" t="s">
        <v>1170</v>
      </c>
      <c r="AC211" s="230">
        <v>45694</v>
      </c>
      <c r="AD211" s="206" t="s">
        <v>50</v>
      </c>
      <c r="AE211" s="206" t="str">
        <f>IFERROR(VLOOKUP(Primary_Order[[#This Row],[AM]],SP!$E$19:$F$23,2,0),Primary_Order[[#This Row],[AM]])</f>
        <v>Captive Sales</v>
      </c>
      <c r="AF211" s="206" t="str">
        <f>VLOOKUP(Primary_Order[[#This Row],[Product ID]],SKU[],10,0)</f>
        <v>Care Products</v>
      </c>
      <c r="AG211" s="206" t="str">
        <f>VLOOKUP(Primary_Order[[#This Row],[Product ID]],SKU[],9,0)</f>
        <v>Care Products</v>
      </c>
      <c r="AH211" s="206" t="str">
        <f>VLOOKUP(Primary_Order[[#This Row],[Product ID]],SKU[],12,0)</f>
        <v>Care Products</v>
      </c>
      <c r="AI211" s="206" t="str">
        <f>VLOOKUP(Primary_Order[[#This Row],[Product ID]],SKU[],13,0)</f>
        <v>Chain</v>
      </c>
      <c r="AJ211" s="233">
        <f>VLOOKUP(Primary_Order[[#This Row],[Product ID]],SKU[[SKU ID]:[Bottle Size(Ltr)]],6,0)*Primary_Order[[#This Row],[Free Quantity]]</f>
        <v>0</v>
      </c>
      <c r="AK211" s="206" t="str">
        <f>VLOOKUP(Primary_Order[[#This Row],[Product ID]],SKU[[SKU ID]:[Bottle Size(Ltr)]],4,0)</f>
        <v>20x0.15L</v>
      </c>
      <c r="AL211" s="231">
        <f>VLOOKUP(Primary_Order[[#This Row],[Product ID]],SKU[],14,0)*Primary_Order[[#This Row],[Total Qty]]</f>
        <v>92844.097101449282</v>
      </c>
      <c r="AM211" s="231">
        <f>IF(Primary_Order[[#This Row],[Cost]]=0,0,Primary_Order[[#This Row],[Net Total(-15%)]]-Primary_Order[[#This Row],[Cost]])</f>
        <v>11155.902898550732</v>
      </c>
      <c r="AN211" s="206" t="str">
        <f>"O-"&amp;Primary_Order[[#This Row],[Date]]&amp;"-"&amp;Primary_Order[[#This Row],[MMD ID]]</f>
        <v>O-45694-D-0025</v>
      </c>
      <c r="AO211" s="206" t="str" cm="1">
        <f t="array" ref="AO21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2" spans="1:41" x14ac:dyDescent="0.5">
      <c r="A212" s="206" t="s">
        <v>1169</v>
      </c>
      <c r="B212" s="230">
        <v>45694</v>
      </c>
      <c r="C212" s="206" t="s">
        <v>110</v>
      </c>
      <c r="D212" s="206" t="s">
        <v>88</v>
      </c>
      <c r="E212" s="206" t="s">
        <v>52</v>
      </c>
      <c r="F212" s="206" t="s">
        <v>50</v>
      </c>
      <c r="G212" s="206" t="s">
        <v>87</v>
      </c>
      <c r="H212" s="206" t="s">
        <v>87</v>
      </c>
      <c r="I212" s="206" t="s">
        <v>88</v>
      </c>
      <c r="J212" s="206" t="s">
        <v>52</v>
      </c>
      <c r="K212" s="206" t="s">
        <v>148</v>
      </c>
      <c r="L212" s="206" t="str">
        <f>VLOOKUP(Primary_Order[[#This Row],[Product ID]],SKU[],3,0)</f>
        <v>C2 CHAIN LUBE ROAD</v>
      </c>
      <c r="M212" s="231">
        <v>255</v>
      </c>
      <c r="N212" s="231">
        <v>955</v>
      </c>
      <c r="O212" s="231">
        <v>102</v>
      </c>
      <c r="P212" s="232">
        <v>0</v>
      </c>
      <c r="Q212" s="231">
        <v>0</v>
      </c>
      <c r="R212" s="231">
        <v>955</v>
      </c>
      <c r="S212" s="231">
        <v>255</v>
      </c>
      <c r="T212" s="231">
        <v>102</v>
      </c>
      <c r="U212" s="231">
        <v>243525</v>
      </c>
      <c r="V212" s="231">
        <v>0</v>
      </c>
      <c r="W212" s="231">
        <v>243525</v>
      </c>
      <c r="X212" s="231">
        <v>31764.130434782608</v>
      </c>
      <c r="Y212" s="231">
        <v>211760.86956521738</v>
      </c>
      <c r="Z212" s="206" t="s">
        <v>882</v>
      </c>
      <c r="AA212" s="206">
        <v>626</v>
      </c>
      <c r="AB212" s="206" t="s">
        <v>1170</v>
      </c>
      <c r="AC212" s="230">
        <v>45694</v>
      </c>
      <c r="AD212" s="206" t="s">
        <v>50</v>
      </c>
      <c r="AE212" s="206" t="str">
        <f>IFERROR(VLOOKUP(Primary_Order[[#This Row],[AM]],SP!$E$19:$F$23,2,0),Primary_Order[[#This Row],[AM]])</f>
        <v>Captive Sales</v>
      </c>
      <c r="AF212" s="206" t="str">
        <f>VLOOKUP(Primary_Order[[#This Row],[Product ID]],SKU[],10,0)</f>
        <v>Care Products</v>
      </c>
      <c r="AG212" s="206" t="str">
        <f>VLOOKUP(Primary_Order[[#This Row],[Product ID]],SKU[],9,0)</f>
        <v>Care Products</v>
      </c>
      <c r="AH212" s="206" t="str">
        <f>VLOOKUP(Primary_Order[[#This Row],[Product ID]],SKU[],12,0)</f>
        <v>Care Products</v>
      </c>
      <c r="AI212" s="206" t="str">
        <f>VLOOKUP(Primary_Order[[#This Row],[Product ID]],SKU[],13,0)</f>
        <v>Chain</v>
      </c>
      <c r="AJ212" s="233">
        <f>VLOOKUP(Primary_Order[[#This Row],[Product ID]],SKU[[SKU ID]:[Bottle Size(Ltr)]],6,0)*Primary_Order[[#This Row],[Free Quantity]]</f>
        <v>0</v>
      </c>
      <c r="AK212" s="206" t="str">
        <f>VLOOKUP(Primary_Order[[#This Row],[Product ID]],SKU[[SKU ID]:[Bottle Size(Ltr)]],4,0)</f>
        <v>12x0.4L</v>
      </c>
      <c r="AL212" s="231">
        <f>VLOOKUP(Primary_Order[[#This Row],[Product ID]],SKU[],14,0)*Primary_Order[[#This Row],[Total Qty]]</f>
        <v>180139.39780219781</v>
      </c>
      <c r="AM212" s="231">
        <f>IF(Primary_Order[[#This Row],[Cost]]=0,0,Primary_Order[[#This Row],[Net Total(-15%)]]-Primary_Order[[#This Row],[Cost]])</f>
        <v>31621.471763019566</v>
      </c>
      <c r="AN212" s="206" t="str">
        <f>"O-"&amp;Primary_Order[[#This Row],[Date]]&amp;"-"&amp;Primary_Order[[#This Row],[MMD ID]]</f>
        <v>O-45694-D-0025</v>
      </c>
      <c r="AO212" s="206" t="str" cm="1">
        <f t="array" ref="AO21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3" spans="1:41" x14ac:dyDescent="0.5">
      <c r="A213" s="206" t="s">
        <v>1169</v>
      </c>
      <c r="B213" s="230">
        <v>45694</v>
      </c>
      <c r="C213" s="206" t="s">
        <v>110</v>
      </c>
      <c r="D213" s="206" t="s">
        <v>88</v>
      </c>
      <c r="E213" s="206" t="s">
        <v>52</v>
      </c>
      <c r="F213" s="206" t="s">
        <v>50</v>
      </c>
      <c r="G213" s="206" t="s">
        <v>87</v>
      </c>
      <c r="H213" s="206" t="s">
        <v>87</v>
      </c>
      <c r="I213" s="206" t="s">
        <v>88</v>
      </c>
      <c r="J213" s="206" t="s">
        <v>52</v>
      </c>
      <c r="K213" s="206" t="s">
        <v>181</v>
      </c>
      <c r="L213" s="206" t="str">
        <f>VLOOKUP(Primary_Order[[#This Row],[Product ID]],SKU[],3,0)</f>
        <v>Helmet &amp; Visor Clean</v>
      </c>
      <c r="M213" s="231">
        <v>213</v>
      </c>
      <c r="N213" s="231">
        <v>610</v>
      </c>
      <c r="O213" s="231">
        <v>53.25</v>
      </c>
      <c r="P213" s="232">
        <v>0</v>
      </c>
      <c r="Q213" s="231">
        <v>0</v>
      </c>
      <c r="R213" s="231">
        <v>610</v>
      </c>
      <c r="S213" s="231">
        <v>213</v>
      </c>
      <c r="T213" s="231">
        <v>53.25</v>
      </c>
      <c r="U213" s="231">
        <v>129930</v>
      </c>
      <c r="V213" s="231">
        <v>0</v>
      </c>
      <c r="W213" s="231">
        <v>129930</v>
      </c>
      <c r="X213" s="231">
        <v>16947.391304347828</v>
      </c>
      <c r="Y213" s="231">
        <v>112982.60869565218</v>
      </c>
      <c r="Z213" s="206" t="s">
        <v>882</v>
      </c>
      <c r="AA213" s="206">
        <v>626</v>
      </c>
      <c r="AB213" s="206" t="s">
        <v>1170</v>
      </c>
      <c r="AC213" s="230">
        <v>45694</v>
      </c>
      <c r="AD213" s="206" t="s">
        <v>50</v>
      </c>
      <c r="AE213" s="206" t="str">
        <f>IFERROR(VLOOKUP(Primary_Order[[#This Row],[AM]],SP!$E$19:$F$23,2,0),Primary_Order[[#This Row],[AM]])</f>
        <v>Captive Sales</v>
      </c>
      <c r="AF213" s="206" t="str">
        <f>VLOOKUP(Primary_Order[[#This Row],[Product ID]],SKU[],10,0)</f>
        <v>Care Products</v>
      </c>
      <c r="AG213" s="206" t="str">
        <f>VLOOKUP(Primary_Order[[#This Row],[Product ID]],SKU[],9,0)</f>
        <v>Care Products</v>
      </c>
      <c r="AH213" s="206" t="str">
        <f>VLOOKUP(Primary_Order[[#This Row],[Product ID]],SKU[],12,0)</f>
        <v>Care Products</v>
      </c>
      <c r="AI213" s="206" t="str">
        <f>VLOOKUP(Primary_Order[[#This Row],[Product ID]],SKU[],13,0)</f>
        <v>Helmet</v>
      </c>
      <c r="AJ213" s="233">
        <f>VLOOKUP(Primary_Order[[#This Row],[Product ID]],SKU[[SKU ID]:[Bottle Size(Ltr)]],6,0)*Primary_Order[[#This Row],[Free Quantity]]</f>
        <v>0</v>
      </c>
      <c r="AK213" s="206" t="str">
        <f>VLOOKUP(Primary_Order[[#This Row],[Product ID]],SKU[[SKU ID]:[Bottle Size(Ltr)]],4,0)</f>
        <v>12x0.25L</v>
      </c>
      <c r="AL213" s="231">
        <f>VLOOKUP(Primary_Order[[#This Row],[Product ID]],SKU[],14,0)*Primary_Order[[#This Row],[Total Qty]]</f>
        <v>97858.59</v>
      </c>
      <c r="AM213" s="231">
        <f>IF(Primary_Order[[#This Row],[Cost]]=0,0,Primary_Order[[#This Row],[Net Total(-15%)]]-Primary_Order[[#This Row],[Cost]])</f>
        <v>15124.018695652179</v>
      </c>
      <c r="AN213" s="206" t="str">
        <f>"O-"&amp;Primary_Order[[#This Row],[Date]]&amp;"-"&amp;Primary_Order[[#This Row],[MMD ID]]</f>
        <v>O-45694-D-0025</v>
      </c>
      <c r="AO213" s="206" t="str" cm="1">
        <f t="array" ref="AO21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4" spans="1:41" x14ac:dyDescent="0.5">
      <c r="A214" s="206" t="s">
        <v>1171</v>
      </c>
      <c r="B214" s="230">
        <v>45694</v>
      </c>
      <c r="C214" s="206" t="s">
        <v>110</v>
      </c>
      <c r="D214" s="206" t="s">
        <v>88</v>
      </c>
      <c r="E214" s="206" t="s">
        <v>52</v>
      </c>
      <c r="F214" s="206" t="s">
        <v>50</v>
      </c>
      <c r="G214" s="206" t="s">
        <v>87</v>
      </c>
      <c r="H214" s="206" t="s">
        <v>87</v>
      </c>
      <c r="I214" s="206" t="s">
        <v>88</v>
      </c>
      <c r="J214" s="206" t="s">
        <v>52</v>
      </c>
      <c r="K214" s="206" t="s">
        <v>193</v>
      </c>
      <c r="L214" s="206" t="str">
        <f>VLOOKUP(Primary_Order[[#This Row],[Product ID]],SKU[],3,0)</f>
        <v>Helmet Interior Clean</v>
      </c>
      <c r="M214" s="231">
        <v>222</v>
      </c>
      <c r="N214" s="231">
        <v>670</v>
      </c>
      <c r="O214" s="231">
        <v>55.5</v>
      </c>
      <c r="P214" s="232">
        <v>0</v>
      </c>
      <c r="Q214" s="231">
        <v>0</v>
      </c>
      <c r="R214" s="231">
        <v>670</v>
      </c>
      <c r="S214" s="231">
        <v>222</v>
      </c>
      <c r="T214" s="231">
        <v>55.5</v>
      </c>
      <c r="U214" s="231">
        <v>148740</v>
      </c>
      <c r="V214" s="231">
        <v>0</v>
      </c>
      <c r="W214" s="231">
        <v>148740</v>
      </c>
      <c r="X214" s="231">
        <v>19400.869565217392</v>
      </c>
      <c r="Y214" s="231">
        <v>129339.13043478261</v>
      </c>
      <c r="Z214" s="206" t="s">
        <v>882</v>
      </c>
      <c r="AA214" s="206">
        <v>627</v>
      </c>
      <c r="AB214" s="206" t="s">
        <v>1170</v>
      </c>
      <c r="AC214" s="230">
        <v>45694</v>
      </c>
      <c r="AD214" s="206" t="s">
        <v>50</v>
      </c>
      <c r="AE214" s="206" t="str">
        <f>IFERROR(VLOOKUP(Primary_Order[[#This Row],[AM]],SP!$E$19:$F$23,2,0),Primary_Order[[#This Row],[AM]])</f>
        <v>Captive Sales</v>
      </c>
      <c r="AF214" s="206" t="str">
        <f>VLOOKUP(Primary_Order[[#This Row],[Product ID]],SKU[],10,0)</f>
        <v>Care Products</v>
      </c>
      <c r="AG214" s="206" t="str">
        <f>VLOOKUP(Primary_Order[[#This Row],[Product ID]],SKU[],9,0)</f>
        <v>Care Products</v>
      </c>
      <c r="AH214" s="206" t="str">
        <f>VLOOKUP(Primary_Order[[#This Row],[Product ID]],SKU[],12,0)</f>
        <v>Care Products</v>
      </c>
      <c r="AI214" s="206" t="str">
        <f>VLOOKUP(Primary_Order[[#This Row],[Product ID]],SKU[],13,0)</f>
        <v>Helmet</v>
      </c>
      <c r="AJ214" s="233">
        <f>VLOOKUP(Primary_Order[[#This Row],[Product ID]],SKU[[SKU ID]:[Bottle Size(Ltr)]],6,0)*Primary_Order[[#This Row],[Free Quantity]]</f>
        <v>0</v>
      </c>
      <c r="AK214" s="206" t="str">
        <f>VLOOKUP(Primary_Order[[#This Row],[Product ID]],SKU[[SKU ID]:[Bottle Size(Ltr)]],4,0)</f>
        <v>12x0.25L</v>
      </c>
      <c r="AL214" s="231">
        <f>VLOOKUP(Primary_Order[[#This Row],[Product ID]],SKU[],14,0)*Primary_Order[[#This Row],[Total Qty]]</f>
        <v>111719.28</v>
      </c>
      <c r="AM214" s="231">
        <f>IF(Primary_Order[[#This Row],[Cost]]=0,0,Primary_Order[[#This Row],[Net Total(-15%)]]-Primary_Order[[#This Row],[Cost]])</f>
        <v>17619.850434782609</v>
      </c>
      <c r="AN214" s="206" t="str">
        <f>"O-"&amp;Primary_Order[[#This Row],[Date]]&amp;"-"&amp;Primary_Order[[#This Row],[MMD ID]]</f>
        <v>O-45694-D-0025</v>
      </c>
      <c r="AO214" s="206" t="str" cm="1">
        <f t="array" ref="AO21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5" spans="1:41" x14ac:dyDescent="0.5">
      <c r="A215" s="206" t="s">
        <v>1171</v>
      </c>
      <c r="B215" s="230">
        <v>45694</v>
      </c>
      <c r="C215" s="206" t="s">
        <v>110</v>
      </c>
      <c r="D215" s="206" t="s">
        <v>88</v>
      </c>
      <c r="E215" s="206" t="s">
        <v>52</v>
      </c>
      <c r="F215" s="206" t="s">
        <v>50</v>
      </c>
      <c r="G215" s="206" t="s">
        <v>87</v>
      </c>
      <c r="H215" s="206" t="s">
        <v>87</v>
      </c>
      <c r="I215" s="206" t="s">
        <v>88</v>
      </c>
      <c r="J215" s="206" t="s">
        <v>52</v>
      </c>
      <c r="K215" s="206" t="s">
        <v>149</v>
      </c>
      <c r="L215" s="206" t="str">
        <f>VLOOKUP(Primary_Order[[#This Row],[Product ID]],SKU[],3,0)</f>
        <v>Tire Repair</v>
      </c>
      <c r="M215" s="231">
        <v>113</v>
      </c>
      <c r="N215" s="231">
        <v>610</v>
      </c>
      <c r="O215" s="231">
        <v>33.9</v>
      </c>
      <c r="P215" s="232">
        <v>0</v>
      </c>
      <c r="Q215" s="231">
        <v>0</v>
      </c>
      <c r="R215" s="231">
        <v>610</v>
      </c>
      <c r="S215" s="231">
        <v>113</v>
      </c>
      <c r="T215" s="231">
        <v>33.9</v>
      </c>
      <c r="U215" s="231">
        <v>68930</v>
      </c>
      <c r="V215" s="231">
        <v>0</v>
      </c>
      <c r="W215" s="231">
        <v>68930</v>
      </c>
      <c r="X215" s="231">
        <v>8990.8695652173919</v>
      </c>
      <c r="Y215" s="231">
        <v>59939.130434782608</v>
      </c>
      <c r="Z215" s="206" t="s">
        <v>882</v>
      </c>
      <c r="AA215" s="206">
        <v>627</v>
      </c>
      <c r="AB215" s="206" t="s">
        <v>1170</v>
      </c>
      <c r="AC215" s="230">
        <v>45694</v>
      </c>
      <c r="AD215" s="206" t="s">
        <v>50</v>
      </c>
      <c r="AE215" s="206" t="str">
        <f>IFERROR(VLOOKUP(Primary_Order[[#This Row],[AM]],SP!$E$19:$F$23,2,0),Primary_Order[[#This Row],[AM]])</f>
        <v>Captive Sales</v>
      </c>
      <c r="AF215" s="206" t="str">
        <f>VLOOKUP(Primary_Order[[#This Row],[Product ID]],SKU[],10,0)</f>
        <v>Care Products</v>
      </c>
      <c r="AG215" s="206" t="str">
        <f>VLOOKUP(Primary_Order[[#This Row],[Product ID]],SKU[],9,0)</f>
        <v>Care Products</v>
      </c>
      <c r="AH215" s="206" t="str">
        <f>VLOOKUP(Primary_Order[[#This Row],[Product ID]],SKU[],12,0)</f>
        <v>Care Products</v>
      </c>
      <c r="AI215" s="206" t="str">
        <f>VLOOKUP(Primary_Order[[#This Row],[Product ID]],SKU[],13,0)</f>
        <v>Tire</v>
      </c>
      <c r="AJ215" s="233">
        <f>VLOOKUP(Primary_Order[[#This Row],[Product ID]],SKU[[SKU ID]:[Bottle Size(Ltr)]],6,0)*Primary_Order[[#This Row],[Free Quantity]]</f>
        <v>0</v>
      </c>
      <c r="AK215" s="206" t="str">
        <f>VLOOKUP(Primary_Order[[#This Row],[Product ID]],SKU[[SKU ID]:[Bottle Size(Ltr)]],4,0)</f>
        <v>12x0.3L</v>
      </c>
      <c r="AL215" s="231">
        <f>VLOOKUP(Primary_Order[[#This Row],[Product ID]],SKU[],14,0)*Primary_Order[[#This Row],[Total Qty]]</f>
        <v>89498.26</v>
      </c>
      <c r="AM215" s="231">
        <f>IF(Primary_Order[[#This Row],[Cost]]=0,0,Primary_Order[[#This Row],[Net Total(-15%)]]-Primary_Order[[#This Row],[Cost]])</f>
        <v>-29559.129565217387</v>
      </c>
      <c r="AN215" s="206" t="str">
        <f>"O-"&amp;Primary_Order[[#This Row],[Date]]&amp;"-"&amp;Primary_Order[[#This Row],[MMD ID]]</f>
        <v>O-45694-D-0025</v>
      </c>
      <c r="AO215" s="206" t="str" cm="1">
        <f t="array" ref="AO21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6" spans="1:41" x14ac:dyDescent="0.5">
      <c r="A216" s="206" t="s">
        <v>1171</v>
      </c>
      <c r="B216" s="230">
        <v>45694</v>
      </c>
      <c r="C216" s="206" t="s">
        <v>110</v>
      </c>
      <c r="D216" s="206" t="s">
        <v>88</v>
      </c>
      <c r="E216" s="206" t="s">
        <v>52</v>
      </c>
      <c r="F216" s="206" t="s">
        <v>50</v>
      </c>
      <c r="G216" s="206" t="s">
        <v>87</v>
      </c>
      <c r="H216" s="206" t="s">
        <v>87</v>
      </c>
      <c r="I216" s="206" t="s">
        <v>88</v>
      </c>
      <c r="J216" s="206" t="s">
        <v>52</v>
      </c>
      <c r="K216" s="206" t="s">
        <v>104</v>
      </c>
      <c r="L216" s="206" t="str">
        <f>VLOOKUP(Primary_Order[[#This Row],[Product ID]],SKU[],3,0)</f>
        <v>Engine Flush</v>
      </c>
      <c r="M216" s="231">
        <v>4872</v>
      </c>
      <c r="N216" s="231">
        <v>195</v>
      </c>
      <c r="O216" s="231">
        <v>243.60000000000002</v>
      </c>
      <c r="P216" s="232">
        <v>0</v>
      </c>
      <c r="Q216" s="231">
        <v>0</v>
      </c>
      <c r="R216" s="231">
        <v>195</v>
      </c>
      <c r="S216" s="231">
        <v>4872</v>
      </c>
      <c r="T216" s="231">
        <v>243.60000000000002</v>
      </c>
      <c r="U216" s="231">
        <v>950040</v>
      </c>
      <c r="V216" s="231">
        <v>0</v>
      </c>
      <c r="W216" s="231">
        <v>950040</v>
      </c>
      <c r="X216" s="231">
        <v>123918.26086956522</v>
      </c>
      <c r="Y216" s="231">
        <v>826121.73913043481</v>
      </c>
      <c r="Z216" s="206" t="s">
        <v>882</v>
      </c>
      <c r="AA216" s="206">
        <v>627</v>
      </c>
      <c r="AB216" s="206" t="s">
        <v>1170</v>
      </c>
      <c r="AC216" s="230">
        <v>45694</v>
      </c>
      <c r="AD216" s="206" t="s">
        <v>50</v>
      </c>
      <c r="AE216" s="206" t="str">
        <f>IFERROR(VLOOKUP(Primary_Order[[#This Row],[AM]],SP!$E$19:$F$23,2,0),Primary_Order[[#This Row],[AM]])</f>
        <v>Captive Sales</v>
      </c>
      <c r="AF216" s="206" t="str">
        <f>VLOOKUP(Primary_Order[[#This Row],[Product ID]],SKU[],10,0)</f>
        <v>Care Products</v>
      </c>
      <c r="AG216" s="206" t="str">
        <f>VLOOKUP(Primary_Order[[#This Row],[Product ID]],SKU[],9,0)</f>
        <v>Care Products</v>
      </c>
      <c r="AH216" s="206" t="str">
        <f>VLOOKUP(Primary_Order[[#This Row],[Product ID]],SKU[],12,0)</f>
        <v>Care Products</v>
      </c>
      <c r="AI216" s="206" t="str">
        <f>VLOOKUP(Primary_Order[[#This Row],[Product ID]],SKU[],13,0)</f>
        <v>Clean</v>
      </c>
      <c r="AJ216" s="233">
        <f>VLOOKUP(Primary_Order[[#This Row],[Product ID]],SKU[[SKU ID]:[Bottle Size(Ltr)]],6,0)*Primary_Order[[#This Row],[Free Quantity]]</f>
        <v>0</v>
      </c>
      <c r="AK216" s="206" t="str">
        <f>VLOOKUP(Primary_Order[[#This Row],[Product ID]],SKU[[SKU ID]:[Bottle Size(Ltr)]],4,0)</f>
        <v>24x0.05L</v>
      </c>
      <c r="AL216" s="231">
        <f>VLOOKUP(Primary_Order[[#This Row],[Product ID]],SKU[],14,0)*Primary_Order[[#This Row],[Total Qty]]</f>
        <v>633895.92000000004</v>
      </c>
      <c r="AM216" s="231">
        <f>IF(Primary_Order[[#This Row],[Cost]]=0,0,Primary_Order[[#This Row],[Net Total(-15%)]]-Primary_Order[[#This Row],[Cost]])</f>
        <v>192225.81913043477</v>
      </c>
      <c r="AN216" s="206" t="str">
        <f>"O-"&amp;Primary_Order[[#This Row],[Date]]&amp;"-"&amp;Primary_Order[[#This Row],[MMD ID]]</f>
        <v>O-45694-D-0025</v>
      </c>
      <c r="AO216" s="206" t="str" cm="1">
        <f t="array" ref="AO21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7" spans="1:41" x14ac:dyDescent="0.5">
      <c r="A217" s="206" t="s">
        <v>1171</v>
      </c>
      <c r="B217" s="230">
        <v>45694</v>
      </c>
      <c r="C217" s="206" t="s">
        <v>110</v>
      </c>
      <c r="D217" s="206" t="s">
        <v>88</v>
      </c>
      <c r="E217" s="206" t="s">
        <v>52</v>
      </c>
      <c r="F217" s="206" t="s">
        <v>50</v>
      </c>
      <c r="G217" s="206" t="s">
        <v>87</v>
      </c>
      <c r="H217" s="206" t="s">
        <v>87</v>
      </c>
      <c r="I217" s="206" t="s">
        <v>88</v>
      </c>
      <c r="J217" s="206" t="s">
        <v>52</v>
      </c>
      <c r="K217" s="206" t="s">
        <v>107</v>
      </c>
      <c r="L217" s="206" t="str">
        <f>VLOOKUP(Primary_Order[[#This Row],[Product ID]],SKU[],3,0)</f>
        <v>Brake Fluid DOT 4</v>
      </c>
      <c r="M217" s="231">
        <v>11840</v>
      </c>
      <c r="N217" s="231">
        <v>120</v>
      </c>
      <c r="O217" s="231">
        <v>1184</v>
      </c>
      <c r="P217" s="232">
        <v>0</v>
      </c>
      <c r="Q217" s="231">
        <v>0</v>
      </c>
      <c r="R217" s="231">
        <v>120</v>
      </c>
      <c r="S217" s="231">
        <v>11840</v>
      </c>
      <c r="T217" s="231">
        <v>1184</v>
      </c>
      <c r="U217" s="231">
        <v>1420800</v>
      </c>
      <c r="V217" s="231">
        <v>0</v>
      </c>
      <c r="W217" s="231">
        <v>1420800</v>
      </c>
      <c r="X217" s="231">
        <v>185321.73913043478</v>
      </c>
      <c r="Y217" s="231">
        <v>1235478.2608695652</v>
      </c>
      <c r="Z217" s="206" t="s">
        <v>882</v>
      </c>
      <c r="AA217" s="206">
        <v>627</v>
      </c>
      <c r="AB217" s="206" t="s">
        <v>1170</v>
      </c>
      <c r="AC217" s="230">
        <v>45694</v>
      </c>
      <c r="AD217" s="206" t="s">
        <v>50</v>
      </c>
      <c r="AE217" s="206" t="str">
        <f>IFERROR(VLOOKUP(Primary_Order[[#This Row],[AM]],SP!$E$19:$F$23,2,0),Primary_Order[[#This Row],[AM]])</f>
        <v>Captive Sales</v>
      </c>
      <c r="AF217" s="206" t="str">
        <f>VLOOKUP(Primary_Order[[#This Row],[Product ID]],SKU[],10,0)</f>
        <v>Care Products</v>
      </c>
      <c r="AG217" s="206" t="str">
        <f>VLOOKUP(Primary_Order[[#This Row],[Product ID]],SKU[],9,0)</f>
        <v>Care Products</v>
      </c>
      <c r="AH217" s="206" t="str">
        <f>VLOOKUP(Primary_Order[[#This Row],[Product ID]],SKU[],12,0)</f>
        <v>Care Products</v>
      </c>
      <c r="AI217" s="206" t="str">
        <f>VLOOKUP(Primary_Order[[#This Row],[Product ID]],SKU[],13,0)</f>
        <v>Brake</v>
      </c>
      <c r="AJ217" s="233">
        <f>VLOOKUP(Primary_Order[[#This Row],[Product ID]],SKU[[SKU ID]:[Bottle Size(Ltr)]],6,0)*Primary_Order[[#This Row],[Free Quantity]]</f>
        <v>0</v>
      </c>
      <c r="AK217" s="206" t="str">
        <f>VLOOKUP(Primary_Order[[#This Row],[Product ID]],SKU[[SKU ID]:[Bottle Size(Ltr)]],4,0)</f>
        <v>40x0.1L</v>
      </c>
      <c r="AL217" s="231">
        <f>VLOOKUP(Primary_Order[[#This Row],[Product ID]],SKU[],14,0)*Primary_Order[[#This Row],[Total Qty]]</f>
        <v>856623.99999999988</v>
      </c>
      <c r="AM217" s="231">
        <f>IF(Primary_Order[[#This Row],[Cost]]=0,0,Primary_Order[[#This Row],[Net Total(-15%)]]-Primary_Order[[#This Row],[Cost]])</f>
        <v>378854.2608695653</v>
      </c>
      <c r="AN217" s="206" t="str">
        <f>"O-"&amp;Primary_Order[[#This Row],[Date]]&amp;"-"&amp;Primary_Order[[#This Row],[MMD ID]]</f>
        <v>O-45694-D-0025</v>
      </c>
      <c r="AO217" s="206" t="str" cm="1">
        <f t="array" ref="AO21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8" spans="1:41" x14ac:dyDescent="0.5">
      <c r="A218" s="206" t="s">
        <v>1171</v>
      </c>
      <c r="B218" s="230">
        <v>45694</v>
      </c>
      <c r="C218" s="206" t="s">
        <v>110</v>
      </c>
      <c r="D218" s="206" t="s">
        <v>88</v>
      </c>
      <c r="E218" s="206" t="s">
        <v>52</v>
      </c>
      <c r="F218" s="206" t="s">
        <v>50</v>
      </c>
      <c r="G218" s="206" t="s">
        <v>87</v>
      </c>
      <c r="H218" s="206" t="s">
        <v>87</v>
      </c>
      <c r="I218" s="206" t="s">
        <v>88</v>
      </c>
      <c r="J218" s="206" t="s">
        <v>52</v>
      </c>
      <c r="K218" s="206" t="s">
        <v>105</v>
      </c>
      <c r="L218" s="206" t="str">
        <f>VLOOKUP(Primary_Order[[#This Row],[Product ID]],SKU[],3,0)</f>
        <v>System Keep Clean Petrol</v>
      </c>
      <c r="M218" s="231">
        <v>7876</v>
      </c>
      <c r="N218" s="231">
        <v>170</v>
      </c>
      <c r="O218" s="231">
        <v>393.8</v>
      </c>
      <c r="P218" s="232">
        <v>0</v>
      </c>
      <c r="Q218" s="231">
        <v>0</v>
      </c>
      <c r="R218" s="231">
        <v>170</v>
      </c>
      <c r="S218" s="231">
        <v>7876</v>
      </c>
      <c r="T218" s="231">
        <v>393.8</v>
      </c>
      <c r="U218" s="231">
        <v>1338920</v>
      </c>
      <c r="V218" s="231">
        <v>0</v>
      </c>
      <c r="W218" s="231">
        <v>1338920</v>
      </c>
      <c r="X218" s="231">
        <v>174641.73913043478</v>
      </c>
      <c r="Y218" s="231">
        <v>1164278.2608695652</v>
      </c>
      <c r="Z218" s="206" t="s">
        <v>882</v>
      </c>
      <c r="AA218" s="206">
        <v>627</v>
      </c>
      <c r="AB218" s="206" t="s">
        <v>1170</v>
      </c>
      <c r="AC218" s="230">
        <v>45694</v>
      </c>
      <c r="AD218" s="206" t="s">
        <v>50</v>
      </c>
      <c r="AE218" s="206" t="str">
        <f>IFERROR(VLOOKUP(Primary_Order[[#This Row],[AM]],SP!$E$19:$F$23,2,0),Primary_Order[[#This Row],[AM]])</f>
        <v>Captive Sales</v>
      </c>
      <c r="AF218" s="206" t="str">
        <f>VLOOKUP(Primary_Order[[#This Row],[Product ID]],SKU[],10,0)</f>
        <v>Care Products</v>
      </c>
      <c r="AG218" s="206" t="str">
        <f>VLOOKUP(Primary_Order[[#This Row],[Product ID]],SKU[],9,0)</f>
        <v>Care Products</v>
      </c>
      <c r="AH218" s="206" t="str">
        <f>VLOOKUP(Primary_Order[[#This Row],[Product ID]],SKU[],12,0)</f>
        <v>Care Products</v>
      </c>
      <c r="AI218" s="206" t="str">
        <f>VLOOKUP(Primary_Order[[#This Row],[Product ID]],SKU[],13,0)</f>
        <v>Clean</v>
      </c>
      <c r="AJ218" s="233">
        <f>VLOOKUP(Primary_Order[[#This Row],[Product ID]],SKU[[SKU ID]:[Bottle Size(Ltr)]],6,0)*Primary_Order[[#This Row],[Free Quantity]]</f>
        <v>0</v>
      </c>
      <c r="AK218" s="206" t="str">
        <f>VLOOKUP(Primary_Order[[#This Row],[Product ID]],SKU[[SKU ID]:[Bottle Size(Ltr)]],4,0)</f>
        <v>24x0.05L</v>
      </c>
      <c r="AL218" s="231">
        <f>VLOOKUP(Primary_Order[[#This Row],[Product ID]],SKU[],14,0)*Primary_Order[[#This Row],[Total Qty]]</f>
        <v>1040183.32</v>
      </c>
      <c r="AM218" s="231">
        <f>IF(Primary_Order[[#This Row],[Cost]]=0,0,Primary_Order[[#This Row],[Net Total(-15%)]]-Primary_Order[[#This Row],[Cost]])</f>
        <v>124094.94086956524</v>
      </c>
      <c r="AN218" s="206" t="str">
        <f>"O-"&amp;Primary_Order[[#This Row],[Date]]&amp;"-"&amp;Primary_Order[[#This Row],[MMD ID]]</f>
        <v>O-45694-D-0025</v>
      </c>
      <c r="AO218" s="206" t="str" cm="1">
        <f t="array" ref="AO21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19" spans="1:41" x14ac:dyDescent="0.5">
      <c r="A219" s="206" t="s">
        <v>1171</v>
      </c>
      <c r="B219" s="230">
        <v>45694</v>
      </c>
      <c r="C219" s="206" t="s">
        <v>110</v>
      </c>
      <c r="D219" s="206" t="s">
        <v>88</v>
      </c>
      <c r="E219" s="206" t="s">
        <v>52</v>
      </c>
      <c r="F219" s="206" t="s">
        <v>50</v>
      </c>
      <c r="G219" s="206" t="s">
        <v>87</v>
      </c>
      <c r="H219" s="206" t="s">
        <v>87</v>
      </c>
      <c r="I219" s="206" t="s">
        <v>88</v>
      </c>
      <c r="J219" s="206" t="s">
        <v>52</v>
      </c>
      <c r="K219" s="206" t="s">
        <v>243</v>
      </c>
      <c r="L219" s="206" t="str">
        <f>VLOOKUP(Primary_Order[[#This Row],[Product ID]],SKU[],3,0)</f>
        <v>Engine Flush</v>
      </c>
      <c r="M219" s="231">
        <v>95</v>
      </c>
      <c r="N219" s="231">
        <v>200</v>
      </c>
      <c r="O219" s="231">
        <v>23.75</v>
      </c>
      <c r="P219" s="232">
        <v>0</v>
      </c>
      <c r="Q219" s="231">
        <v>0</v>
      </c>
      <c r="R219" s="231">
        <v>200</v>
      </c>
      <c r="S219" s="231">
        <v>95</v>
      </c>
      <c r="T219" s="231">
        <v>23.75</v>
      </c>
      <c r="U219" s="231">
        <v>19000</v>
      </c>
      <c r="V219" s="231">
        <v>0</v>
      </c>
      <c r="W219" s="231">
        <v>19000</v>
      </c>
      <c r="X219" s="231">
        <v>2478.2608695652175</v>
      </c>
      <c r="Y219" s="231">
        <v>16521.739130434784</v>
      </c>
      <c r="Z219" s="206" t="s">
        <v>882</v>
      </c>
      <c r="AA219" s="206">
        <v>627</v>
      </c>
      <c r="AB219" s="206" t="s">
        <v>1170</v>
      </c>
      <c r="AC219" s="230">
        <v>45694</v>
      </c>
      <c r="AD219" s="206" t="s">
        <v>50</v>
      </c>
      <c r="AE219" s="206" t="str">
        <f>IFERROR(VLOOKUP(Primary_Order[[#This Row],[AM]],SP!$E$19:$F$23,2,0),Primary_Order[[#This Row],[AM]])</f>
        <v>Captive Sales</v>
      </c>
      <c r="AF219" s="206" t="str">
        <f>VLOOKUP(Primary_Order[[#This Row],[Product ID]],SKU[],10,0)</f>
        <v>Care Products</v>
      </c>
      <c r="AG219" s="206" t="str">
        <f>VLOOKUP(Primary_Order[[#This Row],[Product ID]],SKU[],9,0)</f>
        <v>Care Products</v>
      </c>
      <c r="AH219" s="206" t="str">
        <f>VLOOKUP(Primary_Order[[#This Row],[Product ID]],SKU[],12,0)</f>
        <v>Care Products</v>
      </c>
      <c r="AI219" s="206" t="str">
        <f>VLOOKUP(Primary_Order[[#This Row],[Product ID]],SKU[],13,0)</f>
        <v>Clean</v>
      </c>
      <c r="AJ219" s="233">
        <f>VLOOKUP(Primary_Order[[#This Row],[Product ID]],SKU[[SKU ID]:[Bottle Size(Ltr)]],6,0)*Primary_Order[[#This Row],[Free Quantity]]</f>
        <v>0</v>
      </c>
      <c r="AK219" s="206" t="str">
        <f>VLOOKUP(Primary_Order[[#This Row],[Product ID]],SKU[[SKU ID]:[Bottle Size(Ltr)]],4,0)</f>
        <v>24x0.25L</v>
      </c>
      <c r="AL219" s="231">
        <f>VLOOKUP(Primary_Order[[#This Row],[Product ID]],SKU[],14,0)*Primary_Order[[#This Row],[Total Qty]]</f>
        <v>63301.350000000006</v>
      </c>
      <c r="AM219" s="231">
        <f>IF(Primary_Order[[#This Row],[Cost]]=0,0,Primary_Order[[#This Row],[Net Total(-15%)]]-Primary_Order[[#This Row],[Cost]])</f>
        <v>-46779.610869565222</v>
      </c>
      <c r="AN219" s="206" t="str">
        <f>"O-"&amp;Primary_Order[[#This Row],[Date]]&amp;"-"&amp;Primary_Order[[#This Row],[MMD ID]]</f>
        <v>O-45694-D-0025</v>
      </c>
      <c r="AO219" s="206" t="str" cm="1">
        <f t="array" ref="AO21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0" spans="1:41" x14ac:dyDescent="0.5">
      <c r="A220" s="206" t="s">
        <v>1171</v>
      </c>
      <c r="B220" s="230">
        <v>45694</v>
      </c>
      <c r="C220" s="206" t="s">
        <v>110</v>
      </c>
      <c r="D220" s="206" t="s">
        <v>88</v>
      </c>
      <c r="E220" s="206" t="s">
        <v>52</v>
      </c>
      <c r="F220" s="206" t="s">
        <v>50</v>
      </c>
      <c r="G220" s="206" t="s">
        <v>87</v>
      </c>
      <c r="H220" s="206" t="s">
        <v>87</v>
      </c>
      <c r="I220" s="206" t="s">
        <v>88</v>
      </c>
      <c r="J220" s="206" t="s">
        <v>52</v>
      </c>
      <c r="K220" s="206" t="s">
        <v>247</v>
      </c>
      <c r="L220" s="206" t="str">
        <f>VLOOKUP(Primary_Order[[#This Row],[Product ID]],SKU[],3,0)</f>
        <v>System Keep Clean Petrol</v>
      </c>
      <c r="M220" s="231">
        <v>1200</v>
      </c>
      <c r="N220" s="231">
        <v>950</v>
      </c>
      <c r="O220" s="231">
        <v>240</v>
      </c>
      <c r="P220" s="232">
        <v>0</v>
      </c>
      <c r="Q220" s="231">
        <v>0</v>
      </c>
      <c r="R220" s="231">
        <v>950</v>
      </c>
      <c r="S220" s="231">
        <v>1200</v>
      </c>
      <c r="T220" s="231">
        <v>240</v>
      </c>
      <c r="U220" s="231">
        <v>1140000</v>
      </c>
      <c r="V220" s="231">
        <v>0</v>
      </c>
      <c r="W220" s="231">
        <v>1140000</v>
      </c>
      <c r="X220" s="231">
        <v>148695.65217391305</v>
      </c>
      <c r="Y220" s="231">
        <v>991304.34782608692</v>
      </c>
      <c r="Z220" s="206" t="s">
        <v>882</v>
      </c>
      <c r="AA220" s="206">
        <v>627</v>
      </c>
      <c r="AB220" s="206" t="s">
        <v>1170</v>
      </c>
      <c r="AC220" s="230">
        <v>45694</v>
      </c>
      <c r="AD220" s="206" t="s">
        <v>50</v>
      </c>
      <c r="AE220" s="206" t="str">
        <f>IFERROR(VLOOKUP(Primary_Order[[#This Row],[AM]],SP!$E$19:$F$23,2,0),Primary_Order[[#This Row],[AM]])</f>
        <v>Captive Sales</v>
      </c>
      <c r="AF220" s="206" t="str">
        <f>VLOOKUP(Primary_Order[[#This Row],[Product ID]],SKU[],10,0)</f>
        <v>Care Products</v>
      </c>
      <c r="AG220" s="206" t="str">
        <f>VLOOKUP(Primary_Order[[#This Row],[Product ID]],SKU[],9,0)</f>
        <v>Care Products</v>
      </c>
      <c r="AH220" s="206" t="str">
        <f>VLOOKUP(Primary_Order[[#This Row],[Product ID]],SKU[],12,0)</f>
        <v>Care Products</v>
      </c>
      <c r="AI220" s="206" t="str">
        <f>VLOOKUP(Primary_Order[[#This Row],[Product ID]],SKU[],13,0)</f>
        <v>Clean</v>
      </c>
      <c r="AJ220" s="233">
        <f>VLOOKUP(Primary_Order[[#This Row],[Product ID]],SKU[[SKU ID]:[Bottle Size(Ltr)]],6,0)*Primary_Order[[#This Row],[Free Quantity]]</f>
        <v>0</v>
      </c>
      <c r="AK220" s="206" t="str">
        <f>VLOOKUP(Primary_Order[[#This Row],[Product ID]],SKU[[SKU ID]:[Bottle Size(Ltr)]],4,0)</f>
        <v>24x0.20L</v>
      </c>
      <c r="AL220" s="231">
        <f>VLOOKUP(Primary_Order[[#This Row],[Product ID]],SKU[],14,0)*Primary_Order[[#This Row],[Total Qty]]</f>
        <v>527568</v>
      </c>
      <c r="AM220" s="231">
        <f>IF(Primary_Order[[#This Row],[Cost]]=0,0,Primary_Order[[#This Row],[Net Total(-15%)]]-Primary_Order[[#This Row],[Cost]])</f>
        <v>463736.34782608692</v>
      </c>
      <c r="AN220" s="206" t="str">
        <f>"O-"&amp;Primary_Order[[#This Row],[Date]]&amp;"-"&amp;Primary_Order[[#This Row],[MMD ID]]</f>
        <v>O-45694-D-0025</v>
      </c>
      <c r="AO220" s="206" t="str" cm="1">
        <f t="array" ref="AO22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1" spans="1:41" x14ac:dyDescent="0.5">
      <c r="A221" s="206" t="s">
        <v>1171</v>
      </c>
      <c r="B221" s="230">
        <v>45694</v>
      </c>
      <c r="C221" s="206" t="s">
        <v>110</v>
      </c>
      <c r="D221" s="206" t="s">
        <v>88</v>
      </c>
      <c r="E221" s="206" t="s">
        <v>52</v>
      </c>
      <c r="F221" s="206" t="s">
        <v>50</v>
      </c>
      <c r="G221" s="206" t="s">
        <v>87</v>
      </c>
      <c r="H221" s="206" t="s">
        <v>87</v>
      </c>
      <c r="I221" s="206" t="s">
        <v>88</v>
      </c>
      <c r="J221" s="206" t="s">
        <v>52</v>
      </c>
      <c r="K221" s="206" t="s">
        <v>369</v>
      </c>
      <c r="L221" s="206" t="str">
        <f>VLOOKUP(Primary_Order[[#This Row],[Product ID]],SKU[],3,0)</f>
        <v>EZ LUBE</v>
      </c>
      <c r="M221" s="231">
        <v>69</v>
      </c>
      <c r="N221" s="231">
        <v>200</v>
      </c>
      <c r="O221" s="231">
        <v>5.1749999999999998</v>
      </c>
      <c r="P221" s="232">
        <v>-2.2204460492503131E-16</v>
      </c>
      <c r="Q221" s="231">
        <v>0</v>
      </c>
      <c r="R221" s="231">
        <v>200.00000000000003</v>
      </c>
      <c r="S221" s="231">
        <v>69</v>
      </c>
      <c r="T221" s="231">
        <v>5.1749999999999998</v>
      </c>
      <c r="U221" s="231">
        <v>13800</v>
      </c>
      <c r="V221" s="231">
        <v>0</v>
      </c>
      <c r="W221" s="231">
        <v>13800.000000000002</v>
      </c>
      <c r="X221" s="231">
        <v>1800.0000000000002</v>
      </c>
      <c r="Y221" s="231">
        <v>12000.000000000002</v>
      </c>
      <c r="Z221" s="206" t="s">
        <v>882</v>
      </c>
      <c r="AA221" s="206">
        <v>627</v>
      </c>
      <c r="AB221" s="206" t="s">
        <v>1170</v>
      </c>
      <c r="AC221" s="230">
        <v>45694</v>
      </c>
      <c r="AD221" s="206" t="s">
        <v>50</v>
      </c>
      <c r="AE221" s="206" t="str">
        <f>IFERROR(VLOOKUP(Primary_Order[[#This Row],[AM]],SP!$E$19:$F$23,2,0),Primary_Order[[#This Row],[AM]])</f>
        <v>Captive Sales</v>
      </c>
      <c r="AF221" s="206" t="str">
        <f>VLOOKUP(Primary_Order[[#This Row],[Product ID]],SKU[],10,0)</f>
        <v>Care Products</v>
      </c>
      <c r="AG221" s="206" t="str">
        <f>VLOOKUP(Primary_Order[[#This Row],[Product ID]],SKU[],9,0)</f>
        <v>Care Products</v>
      </c>
      <c r="AH221" s="206" t="str">
        <f>VLOOKUP(Primary_Order[[#This Row],[Product ID]],SKU[],12,0)</f>
        <v>Care Products</v>
      </c>
      <c r="AI221" s="206" t="str">
        <f>VLOOKUP(Primary_Order[[#This Row],[Product ID]],SKU[],13,0)</f>
        <v>Lube</v>
      </c>
      <c r="AJ221" s="233">
        <f>VLOOKUP(Primary_Order[[#This Row],[Product ID]],SKU[[SKU ID]:[Bottle Size(Ltr)]],6,0)*Primary_Order[[#This Row],[Free Quantity]]</f>
        <v>0</v>
      </c>
      <c r="AK221" s="206" t="str">
        <f>VLOOKUP(Primary_Order[[#This Row],[Product ID]],SKU[[SKU ID]:[Bottle Size(Ltr)]],4,0)</f>
        <v>36X0.075L</v>
      </c>
      <c r="AL221" s="231">
        <f>VLOOKUP(Primary_Order[[#This Row],[Product ID]],SKU[],14,0)*Primary_Order[[#This Row],[Total Qty]]</f>
        <v>9126.630000000001</v>
      </c>
      <c r="AM221" s="231">
        <f>IF(Primary_Order[[#This Row],[Cost]]=0,0,Primary_Order[[#This Row],[Net Total(-15%)]]-Primary_Order[[#This Row],[Cost]])</f>
        <v>2873.3700000000008</v>
      </c>
      <c r="AN221" s="206" t="str">
        <f>"O-"&amp;Primary_Order[[#This Row],[Date]]&amp;"-"&amp;Primary_Order[[#This Row],[MMD ID]]</f>
        <v>O-45694-D-0025</v>
      </c>
      <c r="AO221" s="206" t="str" cm="1">
        <f t="array" ref="AO22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2" spans="1:41" x14ac:dyDescent="0.5">
      <c r="A222" s="206" t="s">
        <v>1171</v>
      </c>
      <c r="B222" s="230">
        <v>45694</v>
      </c>
      <c r="C222" s="206" t="s">
        <v>110</v>
      </c>
      <c r="D222" s="206" t="s">
        <v>88</v>
      </c>
      <c r="E222" s="206" t="s">
        <v>52</v>
      </c>
      <c r="F222" s="206" t="s">
        <v>50</v>
      </c>
      <c r="G222" s="206" t="s">
        <v>87</v>
      </c>
      <c r="H222" s="206" t="s">
        <v>87</v>
      </c>
      <c r="I222" s="206" t="s">
        <v>88</v>
      </c>
      <c r="J222" s="206" t="s">
        <v>52</v>
      </c>
      <c r="K222" s="206" t="s">
        <v>372</v>
      </c>
      <c r="L222" s="206" t="str">
        <f>VLOOKUP(Primary_Order[[#This Row],[Product ID]],SKU[],3,0)</f>
        <v>EZ LUBE</v>
      </c>
      <c r="M222" s="231">
        <v>115</v>
      </c>
      <c r="N222" s="231">
        <v>650</v>
      </c>
      <c r="O222" s="231">
        <v>46</v>
      </c>
      <c r="P222" s="232">
        <v>0</v>
      </c>
      <c r="Q222" s="231">
        <v>0</v>
      </c>
      <c r="R222" s="231">
        <v>650</v>
      </c>
      <c r="S222" s="231">
        <v>115</v>
      </c>
      <c r="T222" s="231">
        <v>46</v>
      </c>
      <c r="U222" s="231">
        <v>74750</v>
      </c>
      <c r="V222" s="231">
        <v>0</v>
      </c>
      <c r="W222" s="231">
        <v>74750</v>
      </c>
      <c r="X222" s="231">
        <v>9750</v>
      </c>
      <c r="Y222" s="231">
        <v>65000</v>
      </c>
      <c r="Z222" s="206" t="s">
        <v>882</v>
      </c>
      <c r="AA222" s="206">
        <v>627</v>
      </c>
      <c r="AB222" s="206" t="s">
        <v>1170</v>
      </c>
      <c r="AC222" s="230">
        <v>45694</v>
      </c>
      <c r="AD222" s="206" t="s">
        <v>50</v>
      </c>
      <c r="AE222" s="206" t="str">
        <f>IFERROR(VLOOKUP(Primary_Order[[#This Row],[AM]],SP!$E$19:$F$23,2,0),Primary_Order[[#This Row],[AM]])</f>
        <v>Captive Sales</v>
      </c>
      <c r="AF222" s="206" t="str">
        <f>VLOOKUP(Primary_Order[[#This Row],[Product ID]],SKU[],10,0)</f>
        <v>Care Products</v>
      </c>
      <c r="AG222" s="206" t="str">
        <f>VLOOKUP(Primary_Order[[#This Row],[Product ID]],SKU[],9,0)</f>
        <v>Care Products</v>
      </c>
      <c r="AH222" s="206" t="str">
        <f>VLOOKUP(Primary_Order[[#This Row],[Product ID]],SKU[],12,0)</f>
        <v>Care Products</v>
      </c>
      <c r="AI222" s="206" t="str">
        <f>VLOOKUP(Primary_Order[[#This Row],[Product ID]],SKU[],13,0)</f>
        <v>Lube</v>
      </c>
      <c r="AJ222" s="233">
        <f>VLOOKUP(Primary_Order[[#This Row],[Product ID]],SKU[[SKU ID]:[Bottle Size(Ltr)]],6,0)*Primary_Order[[#This Row],[Free Quantity]]</f>
        <v>0</v>
      </c>
      <c r="AK222" s="206" t="str">
        <f>VLOOKUP(Primary_Order[[#This Row],[Product ID]],SKU[[SKU ID]:[Bottle Size(Ltr)]],4,0)</f>
        <v>12X0.4L</v>
      </c>
      <c r="AL222" s="231">
        <f>VLOOKUP(Primary_Order[[#This Row],[Product ID]],SKU[],14,0)*Primary_Order[[#This Row],[Total Qty]]</f>
        <v>48754.25</v>
      </c>
      <c r="AM222" s="231">
        <f>IF(Primary_Order[[#This Row],[Cost]]=0,0,Primary_Order[[#This Row],[Net Total(-15%)]]-Primary_Order[[#This Row],[Cost]])</f>
        <v>16245.75</v>
      </c>
      <c r="AN222" s="206" t="str">
        <f>"O-"&amp;Primary_Order[[#This Row],[Date]]&amp;"-"&amp;Primary_Order[[#This Row],[MMD ID]]</f>
        <v>O-45694-D-0025</v>
      </c>
      <c r="AO222" s="206" t="str" cm="1">
        <f t="array" ref="AO22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3" spans="1:41" x14ac:dyDescent="0.5">
      <c r="A223" s="206" t="s">
        <v>1174</v>
      </c>
      <c r="B223" s="230">
        <v>45694</v>
      </c>
      <c r="C223" s="206" t="s">
        <v>100</v>
      </c>
      <c r="D223" s="206" t="s">
        <v>1162</v>
      </c>
      <c r="E223" s="206" t="s">
        <v>1163</v>
      </c>
      <c r="F223" s="206" t="s">
        <v>1164</v>
      </c>
      <c r="G223" s="206" t="s">
        <v>45</v>
      </c>
      <c r="H223" s="206" t="s">
        <v>28</v>
      </c>
      <c r="I223" s="206" t="s">
        <v>101</v>
      </c>
      <c r="J223" s="206" t="s">
        <v>536</v>
      </c>
      <c r="K223" s="206" t="s">
        <v>54</v>
      </c>
      <c r="L223" s="206" t="str">
        <f>VLOOKUP(Primary_Order[[#This Row],[Product ID]],SKU[],3,0)</f>
        <v>3000 4T PLUS 10W40</v>
      </c>
      <c r="M223" s="231">
        <v>40</v>
      </c>
      <c r="N223" s="231">
        <v>550</v>
      </c>
      <c r="O223" s="231">
        <v>40</v>
      </c>
      <c r="P223" s="232">
        <v>9.0909090909090384E-3</v>
      </c>
      <c r="Q223" s="231">
        <v>0</v>
      </c>
      <c r="R223" s="231">
        <v>545</v>
      </c>
      <c r="S223" s="231">
        <v>40</v>
      </c>
      <c r="T223" s="231">
        <v>40</v>
      </c>
      <c r="U223" s="231">
        <v>22000</v>
      </c>
      <c r="V223" s="231">
        <v>0</v>
      </c>
      <c r="W223" s="231">
        <v>21800</v>
      </c>
      <c r="X223" s="231">
        <v>2843.478260869565</v>
      </c>
      <c r="Y223" s="231">
        <v>18956.521739130436</v>
      </c>
      <c r="Z223" s="206" t="s">
        <v>882</v>
      </c>
      <c r="AA223" s="206">
        <v>628</v>
      </c>
      <c r="AB223" s="206" t="s">
        <v>749</v>
      </c>
      <c r="AC223" s="230">
        <v>45697</v>
      </c>
      <c r="AD223" s="206" t="s">
        <v>50</v>
      </c>
      <c r="AE223" s="206" t="str">
        <f>IFERROR(VLOOKUP(Primary_Order[[#This Row],[AM]],SP!$E$19:$F$23,2,0),Primary_Order[[#This Row],[AM]])</f>
        <v>Eastern</v>
      </c>
      <c r="AF223" s="206" t="str">
        <f>VLOOKUP(Primary_Order[[#This Row],[Product ID]],SKU[],10,0)</f>
        <v>Mineral</v>
      </c>
      <c r="AG223" s="206" t="str">
        <f>VLOOKUP(Primary_Order[[#This Row],[Product ID]],SKU[],9,0)</f>
        <v>MCO</v>
      </c>
      <c r="AH223" s="206" t="str">
        <f>VLOOKUP(Primary_Order[[#This Row],[Product ID]],SKU[],12,0)</f>
        <v>10W40</v>
      </c>
      <c r="AI223" s="206" t="str">
        <f>VLOOKUP(Primary_Order[[#This Row],[Product ID]],SKU[],13,0)</f>
        <v>3000</v>
      </c>
      <c r="AJ223" s="233">
        <f>VLOOKUP(Primary_Order[[#This Row],[Product ID]],SKU[[SKU ID]:[Bottle Size(Ltr)]],6,0)*Primary_Order[[#This Row],[Free Quantity]]</f>
        <v>0</v>
      </c>
      <c r="AK223" s="206" t="str">
        <f>VLOOKUP(Primary_Order[[#This Row],[Product ID]],SKU[[SKU ID]:[Bottle Size(Ltr)]],4,0)</f>
        <v>20x1L</v>
      </c>
      <c r="AL223" s="231">
        <f>VLOOKUP(Primary_Order[[#This Row],[Product ID]],SKU[],14,0)*Primary_Order[[#This Row],[Total Qty]]</f>
        <v>15394</v>
      </c>
      <c r="AM223" s="231">
        <f>IF(Primary_Order[[#This Row],[Cost]]=0,0,Primary_Order[[#This Row],[Net Total(-15%)]]-Primary_Order[[#This Row],[Cost]])</f>
        <v>3562.5217391304359</v>
      </c>
      <c r="AN223" s="206" t="str">
        <f>"O-"&amp;Primary_Order[[#This Row],[Date]]&amp;"-"&amp;Primary_Order[[#This Row],[MMD ID]]</f>
        <v>O-45694-D-0014</v>
      </c>
      <c r="AO223" s="206" t="str" cm="1">
        <f t="array" ref="AO22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4" spans="1:41" x14ac:dyDescent="0.5">
      <c r="A224" s="206" t="s">
        <v>1174</v>
      </c>
      <c r="B224" s="230">
        <v>45694</v>
      </c>
      <c r="C224" s="206" t="s">
        <v>100</v>
      </c>
      <c r="D224" s="206" t="s">
        <v>1162</v>
      </c>
      <c r="E224" s="206" t="s">
        <v>1163</v>
      </c>
      <c r="F224" s="206" t="s">
        <v>1164</v>
      </c>
      <c r="G224" s="206" t="s">
        <v>45</v>
      </c>
      <c r="H224" s="206" t="s">
        <v>28</v>
      </c>
      <c r="I224" s="206" t="s">
        <v>101</v>
      </c>
      <c r="J224" s="206" t="s">
        <v>536</v>
      </c>
      <c r="K224" s="206" t="s">
        <v>33</v>
      </c>
      <c r="L224" s="206" t="str">
        <f>VLOOKUP(Primary_Order[[#This Row],[Product ID]],SKU[],3,0)</f>
        <v>3000 4T PLUS 20W40</v>
      </c>
      <c r="M224" s="231">
        <v>20</v>
      </c>
      <c r="N224" s="231">
        <v>645</v>
      </c>
      <c r="O224" s="231">
        <v>24</v>
      </c>
      <c r="P224" s="232">
        <v>7.7519379844961378E-3</v>
      </c>
      <c r="Q224" s="231">
        <v>0</v>
      </c>
      <c r="R224" s="231">
        <v>640</v>
      </c>
      <c r="S224" s="231">
        <v>20</v>
      </c>
      <c r="T224" s="231">
        <v>24</v>
      </c>
      <c r="U224" s="231">
        <v>12900</v>
      </c>
      <c r="V224" s="231">
        <v>0</v>
      </c>
      <c r="W224" s="231">
        <v>12800</v>
      </c>
      <c r="X224" s="231">
        <v>1669.5652173913043</v>
      </c>
      <c r="Y224" s="231">
        <v>11130.434782608696</v>
      </c>
      <c r="Z224" s="206" t="s">
        <v>882</v>
      </c>
      <c r="AA224" s="206">
        <v>628</v>
      </c>
      <c r="AB224" s="206" t="s">
        <v>749</v>
      </c>
      <c r="AC224" s="230">
        <v>45697</v>
      </c>
      <c r="AD224" s="206" t="s">
        <v>50</v>
      </c>
      <c r="AE224" s="206" t="str">
        <f>IFERROR(VLOOKUP(Primary_Order[[#This Row],[AM]],SP!$E$19:$F$23,2,0),Primary_Order[[#This Row],[AM]])</f>
        <v>Eastern</v>
      </c>
      <c r="AF224" s="206" t="str">
        <f>VLOOKUP(Primary_Order[[#This Row],[Product ID]],SKU[],10,0)</f>
        <v>Mineral</v>
      </c>
      <c r="AG224" s="206" t="str">
        <f>VLOOKUP(Primary_Order[[#This Row],[Product ID]],SKU[],9,0)</f>
        <v>MCO</v>
      </c>
      <c r="AH224" s="206" t="str">
        <f>VLOOKUP(Primary_Order[[#This Row],[Product ID]],SKU[],12,0)</f>
        <v>20W40</v>
      </c>
      <c r="AI224" s="206" t="str">
        <f>VLOOKUP(Primary_Order[[#This Row],[Product ID]],SKU[],13,0)</f>
        <v>3000</v>
      </c>
      <c r="AJ224" s="233">
        <f>VLOOKUP(Primary_Order[[#This Row],[Product ID]],SKU[[SKU ID]:[Bottle Size(Ltr)]],6,0)*Primary_Order[[#This Row],[Free Quantity]]</f>
        <v>0</v>
      </c>
      <c r="AK224" s="206" t="str">
        <f>VLOOKUP(Primary_Order[[#This Row],[Product ID]],SKU[[SKU ID]:[Bottle Size(Ltr)]],4,0)</f>
        <v>20x1.2L</v>
      </c>
      <c r="AL224" s="231">
        <f>VLOOKUP(Primary_Order[[#This Row],[Product ID]],SKU[],14,0)*Primary_Order[[#This Row],[Total Qty]]</f>
        <v>9397.9559070121941</v>
      </c>
      <c r="AM224" s="231">
        <f>IF(Primary_Order[[#This Row],[Cost]]=0,0,Primary_Order[[#This Row],[Net Total(-15%)]]-Primary_Order[[#This Row],[Cost]])</f>
        <v>1732.4788755965019</v>
      </c>
      <c r="AN224" s="206" t="str">
        <f>"O-"&amp;Primary_Order[[#This Row],[Date]]&amp;"-"&amp;Primary_Order[[#This Row],[MMD ID]]</f>
        <v>O-45694-D-0014</v>
      </c>
      <c r="AO224" s="206" t="str" cm="1">
        <f t="array" ref="AO22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5" spans="1:41" x14ac:dyDescent="0.5">
      <c r="A225" s="206" t="s">
        <v>1174</v>
      </c>
      <c r="B225" s="230">
        <v>45694</v>
      </c>
      <c r="C225" s="206" t="s">
        <v>100</v>
      </c>
      <c r="D225" s="206" t="s">
        <v>1162</v>
      </c>
      <c r="E225" s="206" t="s">
        <v>1163</v>
      </c>
      <c r="F225" s="206" t="s">
        <v>1164</v>
      </c>
      <c r="G225" s="206" t="s">
        <v>45</v>
      </c>
      <c r="H225" s="206" t="s">
        <v>28</v>
      </c>
      <c r="I225" s="206" t="s">
        <v>101</v>
      </c>
      <c r="J225" s="206" t="s">
        <v>536</v>
      </c>
      <c r="K225" s="206" t="s">
        <v>81</v>
      </c>
      <c r="L225" s="206" t="str">
        <f>VLOOKUP(Primary_Order[[#This Row],[Product ID]],SKU[],3,0)</f>
        <v>3000 4T 20W50</v>
      </c>
      <c r="M225" s="231">
        <v>20</v>
      </c>
      <c r="N225" s="231">
        <v>495</v>
      </c>
      <c r="O225" s="231">
        <v>20</v>
      </c>
      <c r="P225" s="232">
        <v>1.0101010101010055E-2</v>
      </c>
      <c r="Q225" s="231">
        <v>0</v>
      </c>
      <c r="R225" s="231">
        <v>490</v>
      </c>
      <c r="S225" s="231">
        <v>20</v>
      </c>
      <c r="T225" s="231">
        <v>20</v>
      </c>
      <c r="U225" s="231">
        <v>9900</v>
      </c>
      <c r="V225" s="231">
        <v>0</v>
      </c>
      <c r="W225" s="231">
        <v>9800</v>
      </c>
      <c r="X225" s="231">
        <v>1278.2608695652175</v>
      </c>
      <c r="Y225" s="231">
        <v>8521.7391304347821</v>
      </c>
      <c r="Z225" s="206" t="s">
        <v>882</v>
      </c>
      <c r="AA225" s="206">
        <v>628</v>
      </c>
      <c r="AB225" s="206" t="s">
        <v>749</v>
      </c>
      <c r="AC225" s="230">
        <v>45697</v>
      </c>
      <c r="AD225" s="206" t="s">
        <v>50</v>
      </c>
      <c r="AE225" s="206" t="str">
        <f>IFERROR(VLOOKUP(Primary_Order[[#This Row],[AM]],SP!$E$19:$F$23,2,0),Primary_Order[[#This Row],[AM]])</f>
        <v>Eastern</v>
      </c>
      <c r="AF225" s="206" t="str">
        <f>VLOOKUP(Primary_Order[[#This Row],[Product ID]],SKU[],10,0)</f>
        <v>Mineral</v>
      </c>
      <c r="AG225" s="206" t="str">
        <f>VLOOKUP(Primary_Order[[#This Row],[Product ID]],SKU[],9,0)</f>
        <v>MCO</v>
      </c>
      <c r="AH225" s="206" t="str">
        <f>VLOOKUP(Primary_Order[[#This Row],[Product ID]],SKU[],12,0)</f>
        <v>20W50</v>
      </c>
      <c r="AI225" s="206" t="str">
        <f>VLOOKUP(Primary_Order[[#This Row],[Product ID]],SKU[],13,0)</f>
        <v>3000</v>
      </c>
      <c r="AJ225" s="233">
        <f>VLOOKUP(Primary_Order[[#This Row],[Product ID]],SKU[[SKU ID]:[Bottle Size(Ltr)]],6,0)*Primary_Order[[#This Row],[Free Quantity]]</f>
        <v>0</v>
      </c>
      <c r="AK225" s="206" t="str">
        <f>VLOOKUP(Primary_Order[[#This Row],[Product ID]],SKU[[SKU ID]:[Bottle Size(Ltr)]],4,0)</f>
        <v>20x1L</v>
      </c>
      <c r="AL225" s="231">
        <f>VLOOKUP(Primary_Order[[#This Row],[Product ID]],SKU[],14,0)*Primary_Order[[#This Row],[Total Qty]]</f>
        <v>7298.4000000000005</v>
      </c>
      <c r="AM225" s="231">
        <f>IF(Primary_Order[[#This Row],[Cost]]=0,0,Primary_Order[[#This Row],[Net Total(-15%)]]-Primary_Order[[#This Row],[Cost]])</f>
        <v>1223.3391304347815</v>
      </c>
      <c r="AN225" s="206" t="str">
        <f>"O-"&amp;Primary_Order[[#This Row],[Date]]&amp;"-"&amp;Primary_Order[[#This Row],[MMD ID]]</f>
        <v>O-45694-D-0014</v>
      </c>
      <c r="AO225" s="206" t="str" cm="1">
        <f t="array" ref="AO22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6" spans="1:41" x14ac:dyDescent="0.5">
      <c r="A226" s="206" t="s">
        <v>1175</v>
      </c>
      <c r="B226" s="230">
        <v>45694</v>
      </c>
      <c r="C226" s="206" t="s">
        <v>108</v>
      </c>
      <c r="D226" s="206" t="s">
        <v>1165</v>
      </c>
      <c r="E226" s="206" t="s">
        <v>1166</v>
      </c>
      <c r="F226" s="206">
        <v>1712284667</v>
      </c>
      <c r="G226" s="206" t="s">
        <v>280</v>
      </c>
      <c r="H226" s="206" t="s">
        <v>84</v>
      </c>
      <c r="I226" s="206" t="s">
        <v>109</v>
      </c>
      <c r="J226" s="206" t="s">
        <v>282</v>
      </c>
      <c r="K226" s="206" t="s">
        <v>31</v>
      </c>
      <c r="L226" s="206" t="str">
        <f>VLOOKUP(Primary_Order[[#This Row],[Product ID]],SKU[],3,0)</f>
        <v>3000 4T PLUS 10W30</v>
      </c>
      <c r="M226" s="231">
        <v>20</v>
      </c>
      <c r="N226" s="231">
        <v>540</v>
      </c>
      <c r="O226" s="231">
        <v>20</v>
      </c>
      <c r="P226" s="232">
        <v>0</v>
      </c>
      <c r="Q226" s="231">
        <v>0</v>
      </c>
      <c r="R226" s="231">
        <v>540</v>
      </c>
      <c r="S226" s="231">
        <v>20</v>
      </c>
      <c r="T226" s="231">
        <v>20</v>
      </c>
      <c r="U226" s="231">
        <v>10800</v>
      </c>
      <c r="V226" s="231">
        <v>0</v>
      </c>
      <c r="W226" s="231">
        <v>10800</v>
      </c>
      <c r="X226" s="231">
        <v>1408.695652173913</v>
      </c>
      <c r="Y226" s="231">
        <v>9391.3043478260861</v>
      </c>
      <c r="Z226" s="206" t="s">
        <v>882</v>
      </c>
      <c r="AA226" s="206">
        <v>629</v>
      </c>
      <c r="AB226" s="206" t="s">
        <v>749</v>
      </c>
      <c r="AC226" s="230">
        <v>45697</v>
      </c>
      <c r="AD226" s="206" t="s">
        <v>50</v>
      </c>
      <c r="AE226" s="206" t="str">
        <f>IFERROR(VLOOKUP(Primary_Order[[#This Row],[AM]],SP!$E$19:$F$23,2,0),Primary_Order[[#This Row],[AM]])</f>
        <v>Northern</v>
      </c>
      <c r="AF226" s="206" t="str">
        <f>VLOOKUP(Primary_Order[[#This Row],[Product ID]],SKU[],10,0)</f>
        <v>Mineral</v>
      </c>
      <c r="AG226" s="206" t="str">
        <f>VLOOKUP(Primary_Order[[#This Row],[Product ID]],SKU[],9,0)</f>
        <v>MCO</v>
      </c>
      <c r="AH226" s="206" t="str">
        <f>VLOOKUP(Primary_Order[[#This Row],[Product ID]],SKU[],12,0)</f>
        <v>10W30</v>
      </c>
      <c r="AI226" s="206" t="str">
        <f>VLOOKUP(Primary_Order[[#This Row],[Product ID]],SKU[],13,0)</f>
        <v>3000</v>
      </c>
      <c r="AJ226" s="233">
        <f>VLOOKUP(Primary_Order[[#This Row],[Product ID]],SKU[[SKU ID]:[Bottle Size(Ltr)]],6,0)*Primary_Order[[#This Row],[Free Quantity]]</f>
        <v>0</v>
      </c>
      <c r="AK226" s="206" t="str">
        <f>VLOOKUP(Primary_Order[[#This Row],[Product ID]],SKU[[SKU ID]:[Bottle Size(Ltr)]],4,0)</f>
        <v>20x1L</v>
      </c>
      <c r="AL226" s="231">
        <f>VLOOKUP(Primary_Order[[#This Row],[Product ID]],SKU[],14,0)*Primary_Order[[#This Row],[Total Qty]]</f>
        <v>7586.5999999999995</v>
      </c>
      <c r="AM226" s="231">
        <f>IF(Primary_Order[[#This Row],[Cost]]=0,0,Primary_Order[[#This Row],[Net Total(-15%)]]-Primary_Order[[#This Row],[Cost]])</f>
        <v>1804.7043478260866</v>
      </c>
      <c r="AN226" s="206" t="str">
        <f>"O-"&amp;Primary_Order[[#This Row],[Date]]&amp;"-"&amp;Primary_Order[[#This Row],[MMD ID]]</f>
        <v>O-45694-D-0023</v>
      </c>
      <c r="AO226" s="206" t="str" cm="1">
        <f t="array" ref="AO22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7" spans="1:41" x14ac:dyDescent="0.5">
      <c r="A227" s="206" t="s">
        <v>1175</v>
      </c>
      <c r="B227" s="230">
        <v>45694</v>
      </c>
      <c r="C227" s="206" t="s">
        <v>108</v>
      </c>
      <c r="D227" s="206" t="s">
        <v>1165</v>
      </c>
      <c r="E227" s="206" t="s">
        <v>1166</v>
      </c>
      <c r="F227" s="206">
        <v>1712284667</v>
      </c>
      <c r="G227" s="206" t="s">
        <v>280</v>
      </c>
      <c r="H227" s="206" t="s">
        <v>84</v>
      </c>
      <c r="I227" s="206" t="s">
        <v>109</v>
      </c>
      <c r="J227" s="206" t="s">
        <v>282</v>
      </c>
      <c r="K227" s="206" t="s">
        <v>54</v>
      </c>
      <c r="L227" s="206" t="str">
        <f>VLOOKUP(Primary_Order[[#This Row],[Product ID]],SKU[],3,0)</f>
        <v>3000 4T PLUS 10W40</v>
      </c>
      <c r="M227" s="231">
        <v>80</v>
      </c>
      <c r="N227" s="231">
        <v>550</v>
      </c>
      <c r="O227" s="231">
        <v>80</v>
      </c>
      <c r="P227" s="232">
        <v>0</v>
      </c>
      <c r="Q227" s="231">
        <v>0</v>
      </c>
      <c r="R227" s="231">
        <v>550</v>
      </c>
      <c r="S227" s="231">
        <v>80</v>
      </c>
      <c r="T227" s="231">
        <v>80</v>
      </c>
      <c r="U227" s="231">
        <v>44000</v>
      </c>
      <c r="V227" s="231">
        <v>0</v>
      </c>
      <c r="W227" s="231">
        <v>44000</v>
      </c>
      <c r="X227" s="231">
        <v>5739.130434782609</v>
      </c>
      <c r="Y227" s="231">
        <v>38260.869565217392</v>
      </c>
      <c r="Z227" s="206" t="s">
        <v>882</v>
      </c>
      <c r="AA227" s="206">
        <v>629</v>
      </c>
      <c r="AB227" s="206" t="s">
        <v>749</v>
      </c>
      <c r="AC227" s="230">
        <v>45697</v>
      </c>
      <c r="AD227" s="206" t="s">
        <v>50</v>
      </c>
      <c r="AE227" s="206" t="str">
        <f>IFERROR(VLOOKUP(Primary_Order[[#This Row],[AM]],SP!$E$19:$F$23,2,0),Primary_Order[[#This Row],[AM]])</f>
        <v>Northern</v>
      </c>
      <c r="AF227" s="206" t="str">
        <f>VLOOKUP(Primary_Order[[#This Row],[Product ID]],SKU[],10,0)</f>
        <v>Mineral</v>
      </c>
      <c r="AG227" s="206" t="str">
        <f>VLOOKUP(Primary_Order[[#This Row],[Product ID]],SKU[],9,0)</f>
        <v>MCO</v>
      </c>
      <c r="AH227" s="206" t="str">
        <f>VLOOKUP(Primary_Order[[#This Row],[Product ID]],SKU[],12,0)</f>
        <v>10W40</v>
      </c>
      <c r="AI227" s="206" t="str">
        <f>VLOOKUP(Primary_Order[[#This Row],[Product ID]],SKU[],13,0)</f>
        <v>3000</v>
      </c>
      <c r="AJ227" s="233">
        <f>VLOOKUP(Primary_Order[[#This Row],[Product ID]],SKU[[SKU ID]:[Bottle Size(Ltr)]],6,0)*Primary_Order[[#This Row],[Free Quantity]]</f>
        <v>0</v>
      </c>
      <c r="AK227" s="206" t="str">
        <f>VLOOKUP(Primary_Order[[#This Row],[Product ID]],SKU[[SKU ID]:[Bottle Size(Ltr)]],4,0)</f>
        <v>20x1L</v>
      </c>
      <c r="AL227" s="231">
        <f>VLOOKUP(Primary_Order[[#This Row],[Product ID]],SKU[],14,0)*Primary_Order[[#This Row],[Total Qty]]</f>
        <v>30788</v>
      </c>
      <c r="AM227" s="231">
        <f>IF(Primary_Order[[#This Row],[Cost]]=0,0,Primary_Order[[#This Row],[Net Total(-15%)]]-Primary_Order[[#This Row],[Cost]])</f>
        <v>7472.8695652173919</v>
      </c>
      <c r="AN227" s="206" t="str">
        <f>"O-"&amp;Primary_Order[[#This Row],[Date]]&amp;"-"&amp;Primary_Order[[#This Row],[MMD ID]]</f>
        <v>O-45694-D-0023</v>
      </c>
      <c r="AO227" s="206" t="str" cm="1">
        <f t="array" ref="AO22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8" spans="1:41" x14ac:dyDescent="0.5">
      <c r="A228" s="206" t="s">
        <v>1175</v>
      </c>
      <c r="B228" s="230">
        <v>45694</v>
      </c>
      <c r="C228" s="206" t="s">
        <v>108</v>
      </c>
      <c r="D228" s="206" t="s">
        <v>1165</v>
      </c>
      <c r="E228" s="206" t="s">
        <v>1166</v>
      </c>
      <c r="F228" s="206">
        <v>1712284667</v>
      </c>
      <c r="G228" s="206" t="s">
        <v>280</v>
      </c>
      <c r="H228" s="206" t="s">
        <v>84</v>
      </c>
      <c r="I228" s="206" t="s">
        <v>109</v>
      </c>
      <c r="J228" s="206" t="s">
        <v>282</v>
      </c>
      <c r="K228" s="206" t="s">
        <v>99</v>
      </c>
      <c r="L228" s="206" t="str">
        <f>VLOOKUP(Primary_Order[[#This Row],[Product ID]],SKU[],3,0)</f>
        <v>3000 4T 20W50</v>
      </c>
      <c r="M228" s="231">
        <v>20</v>
      </c>
      <c r="N228" s="231">
        <v>595</v>
      </c>
      <c r="O228" s="231">
        <v>24</v>
      </c>
      <c r="P228" s="232">
        <v>0</v>
      </c>
      <c r="Q228" s="231">
        <v>0</v>
      </c>
      <c r="R228" s="231">
        <v>595</v>
      </c>
      <c r="S228" s="231">
        <v>20</v>
      </c>
      <c r="T228" s="231">
        <v>24</v>
      </c>
      <c r="U228" s="231">
        <v>11900</v>
      </c>
      <c r="V228" s="231">
        <v>0</v>
      </c>
      <c r="W228" s="231">
        <v>11900</v>
      </c>
      <c r="X228" s="231">
        <v>1552.1739130434783</v>
      </c>
      <c r="Y228" s="231">
        <v>10347.826086956522</v>
      </c>
      <c r="Z228" s="206" t="s">
        <v>882</v>
      </c>
      <c r="AA228" s="206">
        <v>629</v>
      </c>
      <c r="AB228" s="206" t="s">
        <v>749</v>
      </c>
      <c r="AC228" s="230">
        <v>45697</v>
      </c>
      <c r="AD228" s="206" t="s">
        <v>50</v>
      </c>
      <c r="AE228" s="206" t="str">
        <f>IFERROR(VLOOKUP(Primary_Order[[#This Row],[AM]],SP!$E$19:$F$23,2,0),Primary_Order[[#This Row],[AM]])</f>
        <v>Northern</v>
      </c>
      <c r="AF228" s="206" t="str">
        <f>VLOOKUP(Primary_Order[[#This Row],[Product ID]],SKU[],10,0)</f>
        <v>Mineral</v>
      </c>
      <c r="AG228" s="206" t="str">
        <f>VLOOKUP(Primary_Order[[#This Row],[Product ID]],SKU[],9,0)</f>
        <v>MCO</v>
      </c>
      <c r="AH228" s="206" t="str">
        <f>VLOOKUP(Primary_Order[[#This Row],[Product ID]],SKU[],12,0)</f>
        <v>20W50</v>
      </c>
      <c r="AI228" s="206" t="str">
        <f>VLOOKUP(Primary_Order[[#This Row],[Product ID]],SKU[],13,0)</f>
        <v>3000</v>
      </c>
      <c r="AJ228" s="233">
        <f>VLOOKUP(Primary_Order[[#This Row],[Product ID]],SKU[[SKU ID]:[Bottle Size(Ltr)]],6,0)*Primary_Order[[#This Row],[Free Quantity]]</f>
        <v>0</v>
      </c>
      <c r="AK228" s="206" t="str">
        <f>VLOOKUP(Primary_Order[[#This Row],[Product ID]],SKU[[SKU ID]:[Bottle Size(Ltr)]],4,0)</f>
        <v>20x1.2L</v>
      </c>
      <c r="AL228" s="231">
        <f>VLOOKUP(Primary_Order[[#This Row],[Product ID]],SKU[],14,0)*Primary_Order[[#This Row],[Total Qty]]</f>
        <v>8692.2000000000007</v>
      </c>
      <c r="AM228" s="231">
        <f>IF(Primary_Order[[#This Row],[Cost]]=0,0,Primary_Order[[#This Row],[Net Total(-15%)]]-Primary_Order[[#This Row],[Cost]])</f>
        <v>1655.6260869565212</v>
      </c>
      <c r="AN228" s="206" t="str">
        <f>"O-"&amp;Primary_Order[[#This Row],[Date]]&amp;"-"&amp;Primary_Order[[#This Row],[MMD ID]]</f>
        <v>O-45694-D-0023</v>
      </c>
      <c r="AO228" s="206" t="str" cm="1">
        <f t="array" ref="AO22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29" spans="1:41" x14ac:dyDescent="0.5">
      <c r="A229" s="206" t="s">
        <v>1176</v>
      </c>
      <c r="B229" s="230">
        <v>45694</v>
      </c>
      <c r="C229" s="206" t="s">
        <v>118</v>
      </c>
      <c r="D229" s="206" t="s">
        <v>905</v>
      </c>
      <c r="E229" s="206" t="s">
        <v>1167</v>
      </c>
      <c r="F229" s="206" t="s">
        <v>906</v>
      </c>
      <c r="G229" s="206" t="s">
        <v>45</v>
      </c>
      <c r="H229" s="206" t="s">
        <v>28</v>
      </c>
      <c r="I229" s="206" t="s">
        <v>119</v>
      </c>
      <c r="J229" s="206" t="s">
        <v>508</v>
      </c>
      <c r="K229" s="206" t="s">
        <v>31</v>
      </c>
      <c r="L229" s="206" t="str">
        <f>VLOOKUP(Primary_Order[[#This Row],[Product ID]],SKU[],3,0)</f>
        <v>3000 4T PLUS 10W30</v>
      </c>
      <c r="M229" s="231">
        <v>20</v>
      </c>
      <c r="N229" s="231">
        <v>540</v>
      </c>
      <c r="O229" s="231">
        <v>20</v>
      </c>
      <c r="P229" s="232">
        <v>0</v>
      </c>
      <c r="Q229" s="231">
        <v>0</v>
      </c>
      <c r="R229" s="231">
        <v>540</v>
      </c>
      <c r="S229" s="231">
        <v>20</v>
      </c>
      <c r="T229" s="231">
        <v>20</v>
      </c>
      <c r="U229" s="231">
        <v>10800</v>
      </c>
      <c r="V229" s="231">
        <v>0</v>
      </c>
      <c r="W229" s="231">
        <v>10800</v>
      </c>
      <c r="X229" s="231">
        <v>1408.695652173913</v>
      </c>
      <c r="Y229" s="231">
        <v>9391.3043478260861</v>
      </c>
      <c r="Z229" s="206" t="s">
        <v>882</v>
      </c>
      <c r="AA229" s="206">
        <v>630</v>
      </c>
      <c r="AB229" s="206" t="s">
        <v>749</v>
      </c>
      <c r="AC229" s="230">
        <v>45697</v>
      </c>
      <c r="AD229" s="206" t="s">
        <v>50</v>
      </c>
      <c r="AE229" s="206" t="str">
        <f>IFERROR(VLOOKUP(Primary_Order[[#This Row],[AM]],SP!$E$19:$F$23,2,0),Primary_Order[[#This Row],[AM]])</f>
        <v>Eastern</v>
      </c>
      <c r="AF229" s="206" t="str">
        <f>VLOOKUP(Primary_Order[[#This Row],[Product ID]],SKU[],10,0)</f>
        <v>Mineral</v>
      </c>
      <c r="AG229" s="206" t="str">
        <f>VLOOKUP(Primary_Order[[#This Row],[Product ID]],SKU[],9,0)</f>
        <v>MCO</v>
      </c>
      <c r="AH229" s="206" t="str">
        <f>VLOOKUP(Primary_Order[[#This Row],[Product ID]],SKU[],12,0)</f>
        <v>10W30</v>
      </c>
      <c r="AI229" s="206" t="str">
        <f>VLOOKUP(Primary_Order[[#This Row],[Product ID]],SKU[],13,0)</f>
        <v>3000</v>
      </c>
      <c r="AJ229" s="233">
        <f>VLOOKUP(Primary_Order[[#This Row],[Product ID]],SKU[[SKU ID]:[Bottle Size(Ltr)]],6,0)*Primary_Order[[#This Row],[Free Quantity]]</f>
        <v>0</v>
      </c>
      <c r="AK229" s="206" t="str">
        <f>VLOOKUP(Primary_Order[[#This Row],[Product ID]],SKU[[SKU ID]:[Bottle Size(Ltr)]],4,0)</f>
        <v>20x1L</v>
      </c>
      <c r="AL229" s="231">
        <f>VLOOKUP(Primary_Order[[#This Row],[Product ID]],SKU[],14,0)*Primary_Order[[#This Row],[Total Qty]]</f>
        <v>7586.5999999999995</v>
      </c>
      <c r="AM229" s="231">
        <f>IF(Primary_Order[[#This Row],[Cost]]=0,0,Primary_Order[[#This Row],[Net Total(-15%)]]-Primary_Order[[#This Row],[Cost]])</f>
        <v>1804.7043478260866</v>
      </c>
      <c r="AN229" s="206" t="str">
        <f>"O-"&amp;Primary_Order[[#This Row],[Date]]&amp;"-"&amp;Primary_Order[[#This Row],[MMD ID]]</f>
        <v>O-45694-D-0010</v>
      </c>
      <c r="AO229" s="206" t="str" cm="1">
        <f t="array" ref="AO22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0" spans="1:41" x14ac:dyDescent="0.5">
      <c r="A230" s="206" t="s">
        <v>1176</v>
      </c>
      <c r="B230" s="230">
        <v>45694</v>
      </c>
      <c r="C230" s="206" t="s">
        <v>118</v>
      </c>
      <c r="D230" s="206" t="s">
        <v>905</v>
      </c>
      <c r="E230" s="206" t="s">
        <v>1167</v>
      </c>
      <c r="F230" s="206" t="s">
        <v>906</v>
      </c>
      <c r="G230" s="206" t="s">
        <v>45</v>
      </c>
      <c r="H230" s="206" t="s">
        <v>28</v>
      </c>
      <c r="I230" s="206" t="s">
        <v>119</v>
      </c>
      <c r="J230" s="206" t="s">
        <v>508</v>
      </c>
      <c r="K230" s="206" t="s">
        <v>54</v>
      </c>
      <c r="L230" s="206" t="str">
        <f>VLOOKUP(Primary_Order[[#This Row],[Product ID]],SKU[],3,0)</f>
        <v>3000 4T PLUS 10W40</v>
      </c>
      <c r="M230" s="231">
        <v>40</v>
      </c>
      <c r="N230" s="231">
        <v>550</v>
      </c>
      <c r="O230" s="231">
        <v>40</v>
      </c>
      <c r="P230" s="232">
        <v>0</v>
      </c>
      <c r="Q230" s="231">
        <v>0</v>
      </c>
      <c r="R230" s="231">
        <v>550</v>
      </c>
      <c r="S230" s="231">
        <v>40</v>
      </c>
      <c r="T230" s="231">
        <v>40</v>
      </c>
      <c r="U230" s="231">
        <v>22000</v>
      </c>
      <c r="V230" s="231">
        <v>0</v>
      </c>
      <c r="W230" s="231">
        <v>22000</v>
      </c>
      <c r="X230" s="231">
        <v>2869.5652173913045</v>
      </c>
      <c r="Y230" s="231">
        <v>19130.434782608696</v>
      </c>
      <c r="Z230" s="206" t="s">
        <v>882</v>
      </c>
      <c r="AA230" s="206">
        <v>630</v>
      </c>
      <c r="AB230" s="206" t="s">
        <v>749</v>
      </c>
      <c r="AC230" s="230">
        <v>45697</v>
      </c>
      <c r="AD230" s="206" t="s">
        <v>50</v>
      </c>
      <c r="AE230" s="206" t="str">
        <f>IFERROR(VLOOKUP(Primary_Order[[#This Row],[AM]],SP!$E$19:$F$23,2,0),Primary_Order[[#This Row],[AM]])</f>
        <v>Eastern</v>
      </c>
      <c r="AF230" s="206" t="str">
        <f>VLOOKUP(Primary_Order[[#This Row],[Product ID]],SKU[],10,0)</f>
        <v>Mineral</v>
      </c>
      <c r="AG230" s="206" t="str">
        <f>VLOOKUP(Primary_Order[[#This Row],[Product ID]],SKU[],9,0)</f>
        <v>MCO</v>
      </c>
      <c r="AH230" s="206" t="str">
        <f>VLOOKUP(Primary_Order[[#This Row],[Product ID]],SKU[],12,0)</f>
        <v>10W40</v>
      </c>
      <c r="AI230" s="206" t="str">
        <f>VLOOKUP(Primary_Order[[#This Row],[Product ID]],SKU[],13,0)</f>
        <v>3000</v>
      </c>
      <c r="AJ230" s="233">
        <f>VLOOKUP(Primary_Order[[#This Row],[Product ID]],SKU[[SKU ID]:[Bottle Size(Ltr)]],6,0)*Primary_Order[[#This Row],[Free Quantity]]</f>
        <v>0</v>
      </c>
      <c r="AK230" s="206" t="str">
        <f>VLOOKUP(Primary_Order[[#This Row],[Product ID]],SKU[[SKU ID]:[Bottle Size(Ltr)]],4,0)</f>
        <v>20x1L</v>
      </c>
      <c r="AL230" s="231">
        <f>VLOOKUP(Primary_Order[[#This Row],[Product ID]],SKU[],14,0)*Primary_Order[[#This Row],[Total Qty]]</f>
        <v>15394</v>
      </c>
      <c r="AM230" s="231">
        <f>IF(Primary_Order[[#This Row],[Cost]]=0,0,Primary_Order[[#This Row],[Net Total(-15%)]]-Primary_Order[[#This Row],[Cost]])</f>
        <v>3736.434782608696</v>
      </c>
      <c r="AN230" s="206" t="str">
        <f>"O-"&amp;Primary_Order[[#This Row],[Date]]&amp;"-"&amp;Primary_Order[[#This Row],[MMD ID]]</f>
        <v>O-45694-D-0010</v>
      </c>
      <c r="AO230" s="206" t="str" cm="1">
        <f t="array" ref="AO23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1" spans="1:41" x14ac:dyDescent="0.5">
      <c r="A231" s="206" t="s">
        <v>1176</v>
      </c>
      <c r="B231" s="230">
        <v>45694</v>
      </c>
      <c r="C231" s="206" t="s">
        <v>118</v>
      </c>
      <c r="D231" s="206" t="s">
        <v>905</v>
      </c>
      <c r="E231" s="206" t="s">
        <v>1167</v>
      </c>
      <c r="F231" s="206" t="s">
        <v>906</v>
      </c>
      <c r="G231" s="206" t="s">
        <v>45</v>
      </c>
      <c r="H231" s="206" t="s">
        <v>28</v>
      </c>
      <c r="I231" s="206" t="s">
        <v>119</v>
      </c>
      <c r="J231" s="206" t="s">
        <v>508</v>
      </c>
      <c r="K231" s="206" t="s">
        <v>32</v>
      </c>
      <c r="L231" s="206" t="str">
        <f>VLOOKUP(Primary_Order[[#This Row],[Product ID]],SKU[],3,0)</f>
        <v>3000 4T PLUS 10W30</v>
      </c>
      <c r="M231" s="231">
        <v>40</v>
      </c>
      <c r="N231" s="231">
        <v>650</v>
      </c>
      <c r="O231" s="231">
        <v>48</v>
      </c>
      <c r="P231" s="232">
        <v>-2.2204460492503131E-16</v>
      </c>
      <c r="Q231" s="231">
        <v>0</v>
      </c>
      <c r="R231" s="231">
        <v>650.00000000000011</v>
      </c>
      <c r="S231" s="231">
        <v>40</v>
      </c>
      <c r="T231" s="231">
        <v>48</v>
      </c>
      <c r="U231" s="231">
        <v>26000</v>
      </c>
      <c r="V231" s="231">
        <v>0</v>
      </c>
      <c r="W231" s="231">
        <v>26000.000000000004</v>
      </c>
      <c r="X231" s="231">
        <v>3391.3043478260875</v>
      </c>
      <c r="Y231" s="231">
        <v>22608.695652173916</v>
      </c>
      <c r="Z231" s="206" t="s">
        <v>882</v>
      </c>
      <c r="AA231" s="206">
        <v>630</v>
      </c>
      <c r="AB231" s="206" t="s">
        <v>749</v>
      </c>
      <c r="AC231" s="230">
        <v>45697</v>
      </c>
      <c r="AD231" s="206" t="s">
        <v>50</v>
      </c>
      <c r="AE231" s="206" t="str">
        <f>IFERROR(VLOOKUP(Primary_Order[[#This Row],[AM]],SP!$E$19:$F$23,2,0),Primary_Order[[#This Row],[AM]])</f>
        <v>Eastern</v>
      </c>
      <c r="AF231" s="206" t="str">
        <f>VLOOKUP(Primary_Order[[#This Row],[Product ID]],SKU[],10,0)</f>
        <v>Mineral</v>
      </c>
      <c r="AG231" s="206" t="str">
        <f>VLOOKUP(Primary_Order[[#This Row],[Product ID]],SKU[],9,0)</f>
        <v>MCO</v>
      </c>
      <c r="AH231" s="206" t="str">
        <f>VLOOKUP(Primary_Order[[#This Row],[Product ID]],SKU[],12,0)</f>
        <v>10W30</v>
      </c>
      <c r="AI231" s="206" t="str">
        <f>VLOOKUP(Primary_Order[[#This Row],[Product ID]],SKU[],13,0)</f>
        <v>3000</v>
      </c>
      <c r="AJ231" s="233">
        <f>VLOOKUP(Primary_Order[[#This Row],[Product ID]],SKU[[SKU ID]:[Bottle Size(Ltr)]],6,0)*Primary_Order[[#This Row],[Free Quantity]]</f>
        <v>0</v>
      </c>
      <c r="AK231" s="206" t="str">
        <f>VLOOKUP(Primary_Order[[#This Row],[Product ID]],SKU[[SKU ID]:[Bottle Size(Ltr)]],4,0)</f>
        <v>20x1.2L</v>
      </c>
      <c r="AL231" s="231">
        <f>VLOOKUP(Primary_Order[[#This Row],[Product ID]],SKU[],14,0)*Primary_Order[[#This Row],[Total Qty]]</f>
        <v>17556</v>
      </c>
      <c r="AM231" s="231">
        <f>IF(Primary_Order[[#This Row],[Cost]]=0,0,Primary_Order[[#This Row],[Net Total(-15%)]]-Primary_Order[[#This Row],[Cost]])</f>
        <v>5052.6956521739157</v>
      </c>
      <c r="AN231" s="206" t="str">
        <f>"O-"&amp;Primary_Order[[#This Row],[Date]]&amp;"-"&amp;Primary_Order[[#This Row],[MMD ID]]</f>
        <v>O-45694-D-0010</v>
      </c>
      <c r="AO231" s="206" t="str" cm="1">
        <f t="array" ref="AO23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2" spans="1:41" x14ac:dyDescent="0.5">
      <c r="A232" s="206" t="s">
        <v>1176</v>
      </c>
      <c r="B232" s="230">
        <v>45694</v>
      </c>
      <c r="C232" s="206" t="s">
        <v>118</v>
      </c>
      <c r="D232" s="206" t="s">
        <v>905</v>
      </c>
      <c r="E232" s="206" t="s">
        <v>1167</v>
      </c>
      <c r="F232" s="206" t="s">
        <v>906</v>
      </c>
      <c r="G232" s="206" t="s">
        <v>45</v>
      </c>
      <c r="H232" s="206" t="s">
        <v>28</v>
      </c>
      <c r="I232" s="206" t="s">
        <v>119</v>
      </c>
      <c r="J232" s="206" t="s">
        <v>508</v>
      </c>
      <c r="K232" s="206" t="s">
        <v>33</v>
      </c>
      <c r="L232" s="206" t="str">
        <f>VLOOKUP(Primary_Order[[#This Row],[Product ID]],SKU[],3,0)</f>
        <v>3000 4T PLUS 20W40</v>
      </c>
      <c r="M232" s="231">
        <v>40</v>
      </c>
      <c r="N232" s="231">
        <v>645</v>
      </c>
      <c r="O232" s="231">
        <v>48</v>
      </c>
      <c r="P232" s="232">
        <v>0</v>
      </c>
      <c r="Q232" s="231">
        <v>0</v>
      </c>
      <c r="R232" s="231">
        <v>645</v>
      </c>
      <c r="S232" s="231">
        <v>40</v>
      </c>
      <c r="T232" s="231">
        <v>48</v>
      </c>
      <c r="U232" s="231">
        <v>25800</v>
      </c>
      <c r="V232" s="231">
        <v>0</v>
      </c>
      <c r="W232" s="231">
        <v>25800</v>
      </c>
      <c r="X232" s="231">
        <v>3365.217391304348</v>
      </c>
      <c r="Y232" s="231">
        <v>22434.782608695652</v>
      </c>
      <c r="Z232" s="206" t="s">
        <v>882</v>
      </c>
      <c r="AA232" s="206">
        <v>630</v>
      </c>
      <c r="AB232" s="206" t="s">
        <v>749</v>
      </c>
      <c r="AC232" s="230">
        <v>45697</v>
      </c>
      <c r="AD232" s="206" t="s">
        <v>50</v>
      </c>
      <c r="AE232" s="206" t="str">
        <f>IFERROR(VLOOKUP(Primary_Order[[#This Row],[AM]],SP!$E$19:$F$23,2,0),Primary_Order[[#This Row],[AM]])</f>
        <v>Eastern</v>
      </c>
      <c r="AF232" s="206" t="str">
        <f>VLOOKUP(Primary_Order[[#This Row],[Product ID]],SKU[],10,0)</f>
        <v>Mineral</v>
      </c>
      <c r="AG232" s="206" t="str">
        <f>VLOOKUP(Primary_Order[[#This Row],[Product ID]],SKU[],9,0)</f>
        <v>MCO</v>
      </c>
      <c r="AH232" s="206" t="str">
        <f>VLOOKUP(Primary_Order[[#This Row],[Product ID]],SKU[],12,0)</f>
        <v>20W40</v>
      </c>
      <c r="AI232" s="206" t="str">
        <f>VLOOKUP(Primary_Order[[#This Row],[Product ID]],SKU[],13,0)</f>
        <v>3000</v>
      </c>
      <c r="AJ232" s="233">
        <f>VLOOKUP(Primary_Order[[#This Row],[Product ID]],SKU[[SKU ID]:[Bottle Size(Ltr)]],6,0)*Primary_Order[[#This Row],[Free Quantity]]</f>
        <v>0</v>
      </c>
      <c r="AK232" s="206" t="str">
        <f>VLOOKUP(Primary_Order[[#This Row],[Product ID]],SKU[[SKU ID]:[Bottle Size(Ltr)]],4,0)</f>
        <v>20x1.2L</v>
      </c>
      <c r="AL232" s="231">
        <f>VLOOKUP(Primary_Order[[#This Row],[Product ID]],SKU[],14,0)*Primary_Order[[#This Row],[Total Qty]]</f>
        <v>18795.911814024388</v>
      </c>
      <c r="AM232" s="231">
        <f>IF(Primary_Order[[#This Row],[Cost]]=0,0,Primary_Order[[#This Row],[Net Total(-15%)]]-Primary_Order[[#This Row],[Cost]])</f>
        <v>3638.8707946712639</v>
      </c>
      <c r="AN232" s="206" t="str">
        <f>"O-"&amp;Primary_Order[[#This Row],[Date]]&amp;"-"&amp;Primary_Order[[#This Row],[MMD ID]]</f>
        <v>O-45694-D-0010</v>
      </c>
      <c r="AO232" s="206" t="str" cm="1">
        <f t="array" ref="AO23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3" spans="1:41" x14ac:dyDescent="0.5">
      <c r="A233" s="206" t="s">
        <v>1183</v>
      </c>
      <c r="B233" s="230">
        <v>45698</v>
      </c>
      <c r="C233" s="206" t="s">
        <v>120</v>
      </c>
      <c r="D233" s="206" t="s">
        <v>1180</v>
      </c>
      <c r="E233" s="206" t="s">
        <v>1181</v>
      </c>
      <c r="F233" s="206" t="s">
        <v>1182</v>
      </c>
      <c r="G233" s="206" t="s">
        <v>709</v>
      </c>
      <c r="H233" s="206" t="s">
        <v>40</v>
      </c>
      <c r="I233" s="206" t="s">
        <v>121</v>
      </c>
      <c r="J233" s="206" t="s">
        <v>565</v>
      </c>
      <c r="K233" s="206" t="s">
        <v>31</v>
      </c>
      <c r="L233" s="206" t="str">
        <f>VLOOKUP(Primary_Order[[#This Row],[Product ID]],SKU[],3,0)</f>
        <v>3000 4T PLUS 10W30</v>
      </c>
      <c r="M233" s="231">
        <v>300</v>
      </c>
      <c r="N233" s="231">
        <v>540</v>
      </c>
      <c r="O233" s="231">
        <v>300</v>
      </c>
      <c r="P233" s="232">
        <v>1.851851851851849E-2</v>
      </c>
      <c r="Q233" s="231">
        <v>0</v>
      </c>
      <c r="R233" s="231">
        <v>530</v>
      </c>
      <c r="S233" s="231">
        <v>300</v>
      </c>
      <c r="T233" s="231">
        <v>300</v>
      </c>
      <c r="U233" s="231">
        <v>162000</v>
      </c>
      <c r="V233" s="231">
        <v>1500</v>
      </c>
      <c r="W233" s="231">
        <v>159000</v>
      </c>
      <c r="X233" s="231">
        <v>20739.130434782608</v>
      </c>
      <c r="Y233" s="231">
        <v>138260.86956521738</v>
      </c>
      <c r="Z233" s="206" t="s">
        <v>882</v>
      </c>
      <c r="AA233" s="206">
        <v>631</v>
      </c>
      <c r="AB233" s="206" t="s">
        <v>749</v>
      </c>
      <c r="AC233" s="230" t="s">
        <v>50</v>
      </c>
      <c r="AD233" s="206" t="s">
        <v>50</v>
      </c>
      <c r="AE233" s="206" t="str">
        <f>IFERROR(VLOOKUP(Primary_Order[[#This Row],[AM]],SP!$E$19:$F$23,2,0),Primary_Order[[#This Row],[AM]])</f>
        <v>Central</v>
      </c>
      <c r="AF233" s="206" t="str">
        <f>VLOOKUP(Primary_Order[[#This Row],[Product ID]],SKU[],10,0)</f>
        <v>Mineral</v>
      </c>
      <c r="AG233" s="206" t="str">
        <f>VLOOKUP(Primary_Order[[#This Row],[Product ID]],SKU[],9,0)</f>
        <v>MCO</v>
      </c>
      <c r="AH233" s="206" t="str">
        <f>VLOOKUP(Primary_Order[[#This Row],[Product ID]],SKU[],12,0)</f>
        <v>10W30</v>
      </c>
      <c r="AI233" s="206" t="str">
        <f>VLOOKUP(Primary_Order[[#This Row],[Product ID]],SKU[],13,0)</f>
        <v>3000</v>
      </c>
      <c r="AJ233" s="233">
        <f>VLOOKUP(Primary_Order[[#This Row],[Product ID]],SKU[[SKU ID]:[Bottle Size(Ltr)]],6,0)*Primary_Order[[#This Row],[Free Quantity]]</f>
        <v>0</v>
      </c>
      <c r="AK233" s="206" t="str">
        <f>VLOOKUP(Primary_Order[[#This Row],[Product ID]],SKU[[SKU ID]:[Bottle Size(Ltr)]],4,0)</f>
        <v>20x1L</v>
      </c>
      <c r="AL233" s="231">
        <f>VLOOKUP(Primary_Order[[#This Row],[Product ID]],SKU[],14,0)*Primary_Order[[#This Row],[Total Qty]]</f>
        <v>113799</v>
      </c>
      <c r="AM233" s="231">
        <f>IF(Primary_Order[[#This Row],[Cost]]=0,0,Primary_Order[[#This Row],[Net Total(-15%)]]-Primary_Order[[#This Row],[Cost]])</f>
        <v>24461.869565217377</v>
      </c>
      <c r="AN233" s="206" t="str">
        <f>"O-"&amp;Primary_Order[[#This Row],[Date]]&amp;"-"&amp;Primary_Order[[#This Row],[MMD ID]]</f>
        <v>O-45698-D-0019</v>
      </c>
      <c r="AO233" s="206" t="str" cm="1">
        <f t="array" ref="AO23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4" spans="1:41" x14ac:dyDescent="0.5">
      <c r="A234" s="206" t="s">
        <v>1183</v>
      </c>
      <c r="B234" s="230">
        <v>45698</v>
      </c>
      <c r="C234" s="206" t="s">
        <v>120</v>
      </c>
      <c r="D234" s="206" t="s">
        <v>1180</v>
      </c>
      <c r="E234" s="206" t="s">
        <v>1181</v>
      </c>
      <c r="F234" s="206" t="s">
        <v>1182</v>
      </c>
      <c r="G234" s="206" t="s">
        <v>709</v>
      </c>
      <c r="H234" s="206" t="s">
        <v>40</v>
      </c>
      <c r="I234" s="206" t="s">
        <v>121</v>
      </c>
      <c r="J234" s="206" t="s">
        <v>565</v>
      </c>
      <c r="K234" s="206" t="s">
        <v>53</v>
      </c>
      <c r="L234" s="206" t="str">
        <f>VLOOKUP(Primary_Order[[#This Row],[Product ID]],SKU[],3,0)</f>
        <v>3000 4T PLUS 20W40</v>
      </c>
      <c r="M234" s="231">
        <v>400</v>
      </c>
      <c r="N234" s="231">
        <v>535</v>
      </c>
      <c r="O234" s="231">
        <v>400</v>
      </c>
      <c r="P234" s="232">
        <v>1.8691588785046731E-2</v>
      </c>
      <c r="Q234" s="231">
        <v>0</v>
      </c>
      <c r="R234" s="231">
        <v>525</v>
      </c>
      <c r="S234" s="231">
        <v>400</v>
      </c>
      <c r="T234" s="231">
        <v>400</v>
      </c>
      <c r="U234" s="231">
        <v>214000</v>
      </c>
      <c r="V234" s="231">
        <v>2000</v>
      </c>
      <c r="W234" s="231">
        <v>210000</v>
      </c>
      <c r="X234" s="231">
        <v>27391.304347826088</v>
      </c>
      <c r="Y234" s="231">
        <v>182608.69565217392</v>
      </c>
      <c r="Z234" s="206" t="s">
        <v>882</v>
      </c>
      <c r="AA234" s="206">
        <v>631</v>
      </c>
      <c r="AB234" s="206" t="s">
        <v>749</v>
      </c>
      <c r="AC234" s="230" t="s">
        <v>50</v>
      </c>
      <c r="AD234" s="206" t="s">
        <v>50</v>
      </c>
      <c r="AE234" s="206" t="str">
        <f>IFERROR(VLOOKUP(Primary_Order[[#This Row],[AM]],SP!$E$19:$F$23,2,0),Primary_Order[[#This Row],[AM]])</f>
        <v>Central</v>
      </c>
      <c r="AF234" s="206" t="str">
        <f>VLOOKUP(Primary_Order[[#This Row],[Product ID]],SKU[],10,0)</f>
        <v>Mineral</v>
      </c>
      <c r="AG234" s="206" t="str">
        <f>VLOOKUP(Primary_Order[[#This Row],[Product ID]],SKU[],9,0)</f>
        <v>MCO</v>
      </c>
      <c r="AH234" s="206" t="str">
        <f>VLOOKUP(Primary_Order[[#This Row],[Product ID]],SKU[],12,0)</f>
        <v>20W40</v>
      </c>
      <c r="AI234" s="206" t="str">
        <f>VLOOKUP(Primary_Order[[#This Row],[Product ID]],SKU[],13,0)</f>
        <v>3000</v>
      </c>
      <c r="AJ234" s="233">
        <f>VLOOKUP(Primary_Order[[#This Row],[Product ID]],SKU[[SKU ID]:[Bottle Size(Ltr)]],6,0)*Primary_Order[[#This Row],[Free Quantity]]</f>
        <v>0</v>
      </c>
      <c r="AK234" s="206" t="str">
        <f>VLOOKUP(Primary_Order[[#This Row],[Product ID]],SKU[[SKU ID]:[Bottle Size(Ltr)]],4,0)</f>
        <v>20x1L</v>
      </c>
      <c r="AL234" s="231">
        <f>VLOOKUP(Primary_Order[[#This Row],[Product ID]],SKU[],14,0)*Primary_Order[[#This Row],[Total Qty]]</f>
        <v>165104</v>
      </c>
      <c r="AM234" s="231">
        <f>IF(Primary_Order[[#This Row],[Cost]]=0,0,Primary_Order[[#This Row],[Net Total(-15%)]]-Primary_Order[[#This Row],[Cost]])</f>
        <v>17504.695652173919</v>
      </c>
      <c r="AN234" s="206" t="str">
        <f>"O-"&amp;Primary_Order[[#This Row],[Date]]&amp;"-"&amp;Primary_Order[[#This Row],[MMD ID]]</f>
        <v>O-45698-D-0019</v>
      </c>
      <c r="AO234" s="206" t="str" cm="1">
        <f t="array" ref="AO23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5" spans="1:41" x14ac:dyDescent="0.5">
      <c r="A235" s="206" t="s">
        <v>1183</v>
      </c>
      <c r="B235" s="230">
        <v>45698</v>
      </c>
      <c r="C235" s="206" t="s">
        <v>120</v>
      </c>
      <c r="D235" s="206" t="s">
        <v>1180</v>
      </c>
      <c r="E235" s="206" t="s">
        <v>1181</v>
      </c>
      <c r="F235" s="206" t="s">
        <v>1182</v>
      </c>
      <c r="G235" s="206" t="s">
        <v>709</v>
      </c>
      <c r="H235" s="206" t="s">
        <v>40</v>
      </c>
      <c r="I235" s="206" t="s">
        <v>121</v>
      </c>
      <c r="J235" s="206" t="s">
        <v>565</v>
      </c>
      <c r="K235" s="206" t="s">
        <v>32</v>
      </c>
      <c r="L235" s="206" t="str">
        <f>VLOOKUP(Primary_Order[[#This Row],[Product ID]],SKU[],3,0)</f>
        <v>3000 4T PLUS 10W30</v>
      </c>
      <c r="M235" s="231">
        <v>200</v>
      </c>
      <c r="N235" s="231">
        <v>650</v>
      </c>
      <c r="O235" s="231">
        <v>240</v>
      </c>
      <c r="P235" s="232">
        <v>1.6923076923076708E-2</v>
      </c>
      <c r="Q235" s="231">
        <v>0</v>
      </c>
      <c r="R235" s="231">
        <v>639.00000000000011</v>
      </c>
      <c r="S235" s="231">
        <v>200</v>
      </c>
      <c r="T235" s="231">
        <v>240</v>
      </c>
      <c r="U235" s="231">
        <v>130000</v>
      </c>
      <c r="V235" s="231">
        <v>1200</v>
      </c>
      <c r="W235" s="231">
        <v>127800.00000000003</v>
      </c>
      <c r="X235" s="231">
        <v>16669.565217391308</v>
      </c>
      <c r="Y235" s="231">
        <v>111130.43478260873</v>
      </c>
      <c r="Z235" s="206" t="s">
        <v>882</v>
      </c>
      <c r="AA235" s="206">
        <v>631</v>
      </c>
      <c r="AB235" s="206" t="s">
        <v>749</v>
      </c>
      <c r="AC235" s="230" t="s">
        <v>50</v>
      </c>
      <c r="AD235" s="206" t="s">
        <v>50</v>
      </c>
      <c r="AE235" s="206" t="str">
        <f>IFERROR(VLOOKUP(Primary_Order[[#This Row],[AM]],SP!$E$19:$F$23,2,0),Primary_Order[[#This Row],[AM]])</f>
        <v>Central</v>
      </c>
      <c r="AF235" s="206" t="str">
        <f>VLOOKUP(Primary_Order[[#This Row],[Product ID]],SKU[],10,0)</f>
        <v>Mineral</v>
      </c>
      <c r="AG235" s="206" t="str">
        <f>VLOOKUP(Primary_Order[[#This Row],[Product ID]],SKU[],9,0)</f>
        <v>MCO</v>
      </c>
      <c r="AH235" s="206" t="str">
        <f>VLOOKUP(Primary_Order[[#This Row],[Product ID]],SKU[],12,0)</f>
        <v>10W30</v>
      </c>
      <c r="AI235" s="206" t="str">
        <f>VLOOKUP(Primary_Order[[#This Row],[Product ID]],SKU[],13,0)</f>
        <v>3000</v>
      </c>
      <c r="AJ235" s="233">
        <f>VLOOKUP(Primary_Order[[#This Row],[Product ID]],SKU[[SKU ID]:[Bottle Size(Ltr)]],6,0)*Primary_Order[[#This Row],[Free Quantity]]</f>
        <v>0</v>
      </c>
      <c r="AK235" s="206" t="str">
        <f>VLOOKUP(Primary_Order[[#This Row],[Product ID]],SKU[[SKU ID]:[Bottle Size(Ltr)]],4,0)</f>
        <v>20x1.2L</v>
      </c>
      <c r="AL235" s="231">
        <f>VLOOKUP(Primary_Order[[#This Row],[Product ID]],SKU[],14,0)*Primary_Order[[#This Row],[Total Qty]]</f>
        <v>87780</v>
      </c>
      <c r="AM235" s="231">
        <f>IF(Primary_Order[[#This Row],[Cost]]=0,0,Primary_Order[[#This Row],[Net Total(-15%)]]-Primary_Order[[#This Row],[Cost]])</f>
        <v>23350.434782608732</v>
      </c>
      <c r="AN235" s="206" t="str">
        <f>"O-"&amp;Primary_Order[[#This Row],[Date]]&amp;"-"&amp;Primary_Order[[#This Row],[MMD ID]]</f>
        <v>O-45698-D-0019</v>
      </c>
      <c r="AO235" s="206" t="str" cm="1">
        <f t="array" ref="AO23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6" spans="1:41" x14ac:dyDescent="0.5">
      <c r="A236" s="206" t="s">
        <v>1183</v>
      </c>
      <c r="B236" s="230">
        <v>45698</v>
      </c>
      <c r="C236" s="206" t="s">
        <v>120</v>
      </c>
      <c r="D236" s="206" t="s">
        <v>1180</v>
      </c>
      <c r="E236" s="206" t="s">
        <v>1181</v>
      </c>
      <c r="F236" s="206" t="s">
        <v>1182</v>
      </c>
      <c r="G236" s="206" t="s">
        <v>709</v>
      </c>
      <c r="H236" s="206" t="s">
        <v>40</v>
      </c>
      <c r="I236" s="206" t="s">
        <v>121</v>
      </c>
      <c r="J236" s="206" t="s">
        <v>565</v>
      </c>
      <c r="K236" s="206" t="s">
        <v>33</v>
      </c>
      <c r="L236" s="206" t="str">
        <f>VLOOKUP(Primary_Order[[#This Row],[Product ID]],SKU[],3,0)</f>
        <v>3000 4T PLUS 20W40</v>
      </c>
      <c r="M236" s="231">
        <v>200</v>
      </c>
      <c r="N236" s="231">
        <v>645</v>
      </c>
      <c r="O236" s="231">
        <v>240</v>
      </c>
      <c r="P236" s="232">
        <v>1.7054263565891459E-2</v>
      </c>
      <c r="Q236" s="231">
        <v>0</v>
      </c>
      <c r="R236" s="231">
        <v>634</v>
      </c>
      <c r="S236" s="231">
        <v>200</v>
      </c>
      <c r="T236" s="231">
        <v>240</v>
      </c>
      <c r="U236" s="231">
        <v>129000</v>
      </c>
      <c r="V236" s="231">
        <v>1200</v>
      </c>
      <c r="W236" s="231">
        <v>126800</v>
      </c>
      <c r="X236" s="231">
        <v>16539.130434782608</v>
      </c>
      <c r="Y236" s="231">
        <v>110260.86956521739</v>
      </c>
      <c r="Z236" s="206" t="s">
        <v>882</v>
      </c>
      <c r="AA236" s="206">
        <v>631</v>
      </c>
      <c r="AB236" s="206" t="s">
        <v>749</v>
      </c>
      <c r="AC236" s="230" t="s">
        <v>50</v>
      </c>
      <c r="AD236" s="206" t="s">
        <v>50</v>
      </c>
      <c r="AE236" s="206" t="str">
        <f>IFERROR(VLOOKUP(Primary_Order[[#This Row],[AM]],SP!$E$19:$F$23,2,0),Primary_Order[[#This Row],[AM]])</f>
        <v>Central</v>
      </c>
      <c r="AF236" s="206" t="str">
        <f>VLOOKUP(Primary_Order[[#This Row],[Product ID]],SKU[],10,0)</f>
        <v>Mineral</v>
      </c>
      <c r="AG236" s="206" t="str">
        <f>VLOOKUP(Primary_Order[[#This Row],[Product ID]],SKU[],9,0)</f>
        <v>MCO</v>
      </c>
      <c r="AH236" s="206" t="str">
        <f>VLOOKUP(Primary_Order[[#This Row],[Product ID]],SKU[],12,0)</f>
        <v>20W40</v>
      </c>
      <c r="AI236" s="206" t="str">
        <f>VLOOKUP(Primary_Order[[#This Row],[Product ID]],SKU[],13,0)</f>
        <v>3000</v>
      </c>
      <c r="AJ236" s="233">
        <f>VLOOKUP(Primary_Order[[#This Row],[Product ID]],SKU[[SKU ID]:[Bottle Size(Ltr)]],6,0)*Primary_Order[[#This Row],[Free Quantity]]</f>
        <v>0</v>
      </c>
      <c r="AK236" s="206" t="str">
        <f>VLOOKUP(Primary_Order[[#This Row],[Product ID]],SKU[[SKU ID]:[Bottle Size(Ltr)]],4,0)</f>
        <v>20x1.2L</v>
      </c>
      <c r="AL236" s="231">
        <f>VLOOKUP(Primary_Order[[#This Row],[Product ID]],SKU[],14,0)*Primary_Order[[#This Row],[Total Qty]]</f>
        <v>93979.559070121948</v>
      </c>
      <c r="AM236" s="231">
        <f>IF(Primary_Order[[#This Row],[Cost]]=0,0,Primary_Order[[#This Row],[Net Total(-15%)]]-Primary_Order[[#This Row],[Cost]])</f>
        <v>16281.310495095444</v>
      </c>
      <c r="AN236" s="206" t="str">
        <f>"O-"&amp;Primary_Order[[#This Row],[Date]]&amp;"-"&amp;Primary_Order[[#This Row],[MMD ID]]</f>
        <v>O-45698-D-0019</v>
      </c>
      <c r="AO236" s="206" t="str" cm="1">
        <f t="array" ref="AO23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7" spans="1:41" x14ac:dyDescent="0.5">
      <c r="A237" s="206" t="s">
        <v>1183</v>
      </c>
      <c r="B237" s="230">
        <v>45698</v>
      </c>
      <c r="C237" s="206" t="s">
        <v>120</v>
      </c>
      <c r="D237" s="206" t="s">
        <v>1180</v>
      </c>
      <c r="E237" s="206" t="s">
        <v>1181</v>
      </c>
      <c r="F237" s="206" t="s">
        <v>1182</v>
      </c>
      <c r="G237" s="206" t="s">
        <v>709</v>
      </c>
      <c r="H237" s="206" t="s">
        <v>40</v>
      </c>
      <c r="I237" s="206" t="s">
        <v>121</v>
      </c>
      <c r="J237" s="206" t="s">
        <v>565</v>
      </c>
      <c r="K237" s="206" t="s">
        <v>81</v>
      </c>
      <c r="L237" s="206" t="str">
        <f>VLOOKUP(Primary_Order[[#This Row],[Product ID]],SKU[],3,0)</f>
        <v>3000 4T 20W50</v>
      </c>
      <c r="M237" s="231">
        <v>40</v>
      </c>
      <c r="N237" s="231">
        <v>495</v>
      </c>
      <c r="O237" s="231">
        <v>40</v>
      </c>
      <c r="P237" s="232">
        <v>3.8383838383838409E-2</v>
      </c>
      <c r="Q237" s="231">
        <v>0</v>
      </c>
      <c r="R237" s="231">
        <v>476</v>
      </c>
      <c r="S237" s="231">
        <v>40</v>
      </c>
      <c r="T237" s="231">
        <v>40</v>
      </c>
      <c r="U237" s="231">
        <v>19800</v>
      </c>
      <c r="V237" s="231">
        <v>200</v>
      </c>
      <c r="W237" s="231">
        <v>19040</v>
      </c>
      <c r="X237" s="231">
        <v>2483.478260869565</v>
      </c>
      <c r="Y237" s="231">
        <v>16556.521739130436</v>
      </c>
      <c r="Z237" s="206" t="s">
        <v>882</v>
      </c>
      <c r="AA237" s="206">
        <v>631</v>
      </c>
      <c r="AB237" s="206" t="s">
        <v>749</v>
      </c>
      <c r="AC237" s="230" t="s">
        <v>50</v>
      </c>
      <c r="AD237" s="206" t="s">
        <v>50</v>
      </c>
      <c r="AE237" s="206" t="str">
        <f>IFERROR(VLOOKUP(Primary_Order[[#This Row],[AM]],SP!$E$19:$F$23,2,0),Primary_Order[[#This Row],[AM]])</f>
        <v>Central</v>
      </c>
      <c r="AF237" s="206" t="str">
        <f>VLOOKUP(Primary_Order[[#This Row],[Product ID]],SKU[],10,0)</f>
        <v>Mineral</v>
      </c>
      <c r="AG237" s="206" t="str">
        <f>VLOOKUP(Primary_Order[[#This Row],[Product ID]],SKU[],9,0)</f>
        <v>MCO</v>
      </c>
      <c r="AH237" s="206" t="str">
        <f>VLOOKUP(Primary_Order[[#This Row],[Product ID]],SKU[],12,0)</f>
        <v>20W50</v>
      </c>
      <c r="AI237" s="206" t="str">
        <f>VLOOKUP(Primary_Order[[#This Row],[Product ID]],SKU[],13,0)</f>
        <v>3000</v>
      </c>
      <c r="AJ237" s="233">
        <f>VLOOKUP(Primary_Order[[#This Row],[Product ID]],SKU[[SKU ID]:[Bottle Size(Ltr)]],6,0)*Primary_Order[[#This Row],[Free Quantity]]</f>
        <v>0</v>
      </c>
      <c r="AK237" s="206" t="str">
        <f>VLOOKUP(Primary_Order[[#This Row],[Product ID]],SKU[[SKU ID]:[Bottle Size(Ltr)]],4,0)</f>
        <v>20x1L</v>
      </c>
      <c r="AL237" s="231">
        <f>VLOOKUP(Primary_Order[[#This Row],[Product ID]],SKU[],14,0)*Primary_Order[[#This Row],[Total Qty]]</f>
        <v>14596.800000000001</v>
      </c>
      <c r="AM237" s="231">
        <f>IF(Primary_Order[[#This Row],[Cost]]=0,0,Primary_Order[[#This Row],[Net Total(-15%)]]-Primary_Order[[#This Row],[Cost]])</f>
        <v>1959.7217391304348</v>
      </c>
      <c r="AN237" s="206" t="str">
        <f>"O-"&amp;Primary_Order[[#This Row],[Date]]&amp;"-"&amp;Primary_Order[[#This Row],[MMD ID]]</f>
        <v>O-45698-D-0019</v>
      </c>
      <c r="AO237" s="206" t="str" cm="1">
        <f t="array" ref="AO23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8" spans="1:41" x14ac:dyDescent="0.5">
      <c r="A238" s="206" t="s">
        <v>1183</v>
      </c>
      <c r="B238" s="230">
        <v>45698</v>
      </c>
      <c r="C238" s="206" t="s">
        <v>120</v>
      </c>
      <c r="D238" s="206" t="s">
        <v>1180</v>
      </c>
      <c r="E238" s="206" t="s">
        <v>1181</v>
      </c>
      <c r="F238" s="206" t="s">
        <v>1182</v>
      </c>
      <c r="G238" s="206" t="s">
        <v>709</v>
      </c>
      <c r="H238" s="206" t="s">
        <v>40</v>
      </c>
      <c r="I238" s="206" t="s">
        <v>121</v>
      </c>
      <c r="J238" s="206" t="s">
        <v>565</v>
      </c>
      <c r="K238" s="206" t="s">
        <v>99</v>
      </c>
      <c r="L238" s="206" t="str">
        <f>VLOOKUP(Primary_Order[[#This Row],[Product ID]],SKU[],3,0)</f>
        <v>3000 4T 20W50</v>
      </c>
      <c r="M238" s="231">
        <v>240</v>
      </c>
      <c r="N238" s="231">
        <v>595</v>
      </c>
      <c r="O238" s="231">
        <v>288</v>
      </c>
      <c r="P238" s="232">
        <v>3.6638655462184921E-2</v>
      </c>
      <c r="Q238" s="231">
        <v>0</v>
      </c>
      <c r="R238" s="231">
        <v>573.20000000000005</v>
      </c>
      <c r="S238" s="231">
        <v>240</v>
      </c>
      <c r="T238" s="231">
        <v>288</v>
      </c>
      <c r="U238" s="231">
        <v>142800</v>
      </c>
      <c r="V238" s="231">
        <v>1440</v>
      </c>
      <c r="W238" s="231">
        <v>137568</v>
      </c>
      <c r="X238" s="231">
        <v>17943.652173913044</v>
      </c>
      <c r="Y238" s="231">
        <v>119624.34782608696</v>
      </c>
      <c r="Z238" s="206" t="s">
        <v>882</v>
      </c>
      <c r="AA238" s="206">
        <v>631</v>
      </c>
      <c r="AB238" s="206" t="s">
        <v>749</v>
      </c>
      <c r="AC238" s="230" t="s">
        <v>50</v>
      </c>
      <c r="AD238" s="206" t="s">
        <v>50</v>
      </c>
      <c r="AE238" s="206" t="str">
        <f>IFERROR(VLOOKUP(Primary_Order[[#This Row],[AM]],SP!$E$19:$F$23,2,0),Primary_Order[[#This Row],[AM]])</f>
        <v>Central</v>
      </c>
      <c r="AF238" s="206" t="str">
        <f>VLOOKUP(Primary_Order[[#This Row],[Product ID]],SKU[],10,0)</f>
        <v>Mineral</v>
      </c>
      <c r="AG238" s="206" t="str">
        <f>VLOOKUP(Primary_Order[[#This Row],[Product ID]],SKU[],9,0)</f>
        <v>MCO</v>
      </c>
      <c r="AH238" s="206" t="str">
        <f>VLOOKUP(Primary_Order[[#This Row],[Product ID]],SKU[],12,0)</f>
        <v>20W50</v>
      </c>
      <c r="AI238" s="206" t="str">
        <f>VLOOKUP(Primary_Order[[#This Row],[Product ID]],SKU[],13,0)</f>
        <v>3000</v>
      </c>
      <c r="AJ238" s="233">
        <f>VLOOKUP(Primary_Order[[#This Row],[Product ID]],SKU[[SKU ID]:[Bottle Size(Ltr)]],6,0)*Primary_Order[[#This Row],[Free Quantity]]</f>
        <v>0</v>
      </c>
      <c r="AK238" s="206" t="str">
        <f>VLOOKUP(Primary_Order[[#This Row],[Product ID]],SKU[[SKU ID]:[Bottle Size(Ltr)]],4,0)</f>
        <v>20x1.2L</v>
      </c>
      <c r="AL238" s="231">
        <f>VLOOKUP(Primary_Order[[#This Row],[Product ID]],SKU[],14,0)*Primary_Order[[#This Row],[Total Qty]]</f>
        <v>104306.40000000001</v>
      </c>
      <c r="AM238" s="231">
        <f>IF(Primary_Order[[#This Row],[Cost]]=0,0,Primary_Order[[#This Row],[Net Total(-15%)]]-Primary_Order[[#This Row],[Cost]])</f>
        <v>15317.947826086951</v>
      </c>
      <c r="AN238" s="206" t="str">
        <f>"O-"&amp;Primary_Order[[#This Row],[Date]]&amp;"-"&amp;Primary_Order[[#This Row],[MMD ID]]</f>
        <v>O-45698-D-0019</v>
      </c>
      <c r="AO238" s="206" t="str" cm="1">
        <f t="array" ref="AO23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39" spans="1:41" x14ac:dyDescent="0.5">
      <c r="A239" s="206" t="s">
        <v>1184</v>
      </c>
      <c r="B239" s="230">
        <v>45697</v>
      </c>
      <c r="C239" s="206" t="s">
        <v>141</v>
      </c>
      <c r="D239" s="206" t="s">
        <v>1188</v>
      </c>
      <c r="E239" s="206" t="s">
        <v>52</v>
      </c>
      <c r="F239" s="206"/>
      <c r="G239" s="206" t="s">
        <v>87</v>
      </c>
      <c r="H239" s="206" t="s">
        <v>87</v>
      </c>
      <c r="I239" s="206" t="s">
        <v>1293</v>
      </c>
      <c r="J239" s="206" t="s">
        <v>393</v>
      </c>
      <c r="K239" s="206" t="s">
        <v>179</v>
      </c>
      <c r="L239" s="206" t="str">
        <f>VLOOKUP(Primary_Order[[#This Row],[Product ID]],SKU[],3,0)</f>
        <v>Tekma Mega Fleet LD 15W40</v>
      </c>
      <c r="M239" s="231"/>
      <c r="N239" s="231">
        <v>0</v>
      </c>
      <c r="O239" s="231">
        <v>0</v>
      </c>
      <c r="P239" s="232" t="s">
        <v>50</v>
      </c>
      <c r="Q239" s="231">
        <v>4</v>
      </c>
      <c r="R239" s="231">
        <v>0</v>
      </c>
      <c r="S239" s="231">
        <v>4</v>
      </c>
      <c r="T239" s="231">
        <v>44</v>
      </c>
      <c r="U239" s="231">
        <v>0</v>
      </c>
      <c r="V239" s="231">
        <v>0</v>
      </c>
      <c r="W239" s="231">
        <v>0</v>
      </c>
      <c r="X239" s="231">
        <v>0</v>
      </c>
      <c r="Y239" s="231">
        <v>0</v>
      </c>
      <c r="Z239" s="206" t="s">
        <v>1100</v>
      </c>
      <c r="AA239" s="206" t="s">
        <v>50</v>
      </c>
      <c r="AB239" s="206" t="s">
        <v>641</v>
      </c>
      <c r="AC239" s="230">
        <v>45697</v>
      </c>
      <c r="AD239" s="206" t="s">
        <v>1185</v>
      </c>
      <c r="AE239" s="206" t="str">
        <f>IFERROR(VLOOKUP(Primary_Order[[#This Row],[AM]],SP!$E$19:$F$23,2,0),Primary_Order[[#This Row],[AM]])</f>
        <v>Captive Sales</v>
      </c>
      <c r="AF239" s="206" t="str">
        <f>VLOOKUP(Primary_Order[[#This Row],[Product ID]],SKU[],10,0)</f>
        <v>Mineral</v>
      </c>
      <c r="AG239" s="206" t="str">
        <f>VLOOKUP(Primary_Order[[#This Row],[Product ID]],SKU[],9,0)</f>
        <v>HDDO</v>
      </c>
      <c r="AH239" s="206" t="str">
        <f>VLOOKUP(Primary_Order[[#This Row],[Product ID]],SKU[],12,0)</f>
        <v>15W40</v>
      </c>
      <c r="AI239" s="206" t="str">
        <f>VLOOKUP(Primary_Order[[#This Row],[Product ID]],SKU[],13,0)</f>
        <v>Tekma</v>
      </c>
      <c r="AJ239" s="233">
        <f>VLOOKUP(Primary_Order[[#This Row],[Product ID]],SKU[[SKU ID]:[Bottle Size(Ltr)]],6,0)*Primary_Order[[#This Row],[Free Quantity]]</f>
        <v>44</v>
      </c>
      <c r="AK239" s="206" t="str">
        <f>VLOOKUP(Primary_Order[[#This Row],[Product ID]],SKU[[SKU ID]:[Bottle Size(Ltr)]],4,0)</f>
        <v>11L</v>
      </c>
      <c r="AL239" s="231">
        <f>VLOOKUP(Primary_Order[[#This Row],[Product ID]],SKU[],14,0)*Primary_Order[[#This Row],[Total Qty]]</f>
        <v>16442.919999999998</v>
      </c>
      <c r="AM239" s="231">
        <f>IF(Primary_Order[[#This Row],[Cost]]=0,0,Primary_Order[[#This Row],[Net Total(-15%)]]-Primary_Order[[#This Row],[Cost]])</f>
        <v>-16442.919999999998</v>
      </c>
      <c r="AN239" s="206" t="str">
        <f>"O-"&amp;Primary_Order[[#This Row],[Date]]&amp;"-"&amp;Primary_Order[[#This Row],[MMD ID]]</f>
        <v>O-45697-D-0026</v>
      </c>
      <c r="AO239" s="206" t="str" cm="1">
        <f t="array" ref="AO23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0" spans="1:41" x14ac:dyDescent="0.5">
      <c r="A240" s="206" t="s">
        <v>1184</v>
      </c>
      <c r="B240" s="230">
        <v>45697</v>
      </c>
      <c r="C240" s="206" t="s">
        <v>141</v>
      </c>
      <c r="D240" s="206" t="s">
        <v>1188</v>
      </c>
      <c r="E240" s="206" t="s">
        <v>52</v>
      </c>
      <c r="F240" s="206"/>
      <c r="G240" s="206" t="s">
        <v>87</v>
      </c>
      <c r="H240" s="206" t="s">
        <v>87</v>
      </c>
      <c r="I240" s="206" t="s">
        <v>1293</v>
      </c>
      <c r="J240" s="206" t="s">
        <v>393</v>
      </c>
      <c r="K240" s="206" t="s">
        <v>113</v>
      </c>
      <c r="L240" s="206" t="str">
        <f>VLOOKUP(Primary_Order[[#This Row],[Product ID]],SKU[],3,0)</f>
        <v>Tekma Mega Fleet LD 15W40</v>
      </c>
      <c r="M240" s="231"/>
      <c r="N240" s="231">
        <v>0</v>
      </c>
      <c r="O240" s="231">
        <v>0</v>
      </c>
      <c r="P240" s="232" t="s">
        <v>50</v>
      </c>
      <c r="Q240" s="231">
        <v>4</v>
      </c>
      <c r="R240" s="231">
        <v>0</v>
      </c>
      <c r="S240" s="231">
        <v>4</v>
      </c>
      <c r="T240" s="231">
        <v>60</v>
      </c>
      <c r="U240" s="231">
        <v>0</v>
      </c>
      <c r="V240" s="231">
        <v>0</v>
      </c>
      <c r="W240" s="231">
        <v>0</v>
      </c>
      <c r="X240" s="231">
        <v>0</v>
      </c>
      <c r="Y240" s="231">
        <v>0</v>
      </c>
      <c r="Z240" s="206" t="s">
        <v>1100</v>
      </c>
      <c r="AA240" s="206" t="s">
        <v>50</v>
      </c>
      <c r="AB240" s="206" t="s">
        <v>641</v>
      </c>
      <c r="AC240" s="230">
        <v>45697</v>
      </c>
      <c r="AD240" s="206" t="s">
        <v>1185</v>
      </c>
      <c r="AE240" s="206" t="str">
        <f>IFERROR(VLOOKUP(Primary_Order[[#This Row],[AM]],SP!$E$19:$F$23,2,0),Primary_Order[[#This Row],[AM]])</f>
        <v>Captive Sales</v>
      </c>
      <c r="AF240" s="206" t="str">
        <f>VLOOKUP(Primary_Order[[#This Row],[Product ID]],SKU[],10,0)</f>
        <v>Mineral</v>
      </c>
      <c r="AG240" s="206" t="str">
        <f>VLOOKUP(Primary_Order[[#This Row],[Product ID]],SKU[],9,0)</f>
        <v>HDDO</v>
      </c>
      <c r="AH240" s="206" t="str">
        <f>VLOOKUP(Primary_Order[[#This Row],[Product ID]],SKU[],12,0)</f>
        <v>15W40</v>
      </c>
      <c r="AI240" s="206" t="str">
        <f>VLOOKUP(Primary_Order[[#This Row],[Product ID]],SKU[],13,0)</f>
        <v>Tekma</v>
      </c>
      <c r="AJ240" s="233">
        <f>VLOOKUP(Primary_Order[[#This Row],[Product ID]],SKU[[SKU ID]:[Bottle Size(Ltr)]],6,0)*Primary_Order[[#This Row],[Free Quantity]]</f>
        <v>60</v>
      </c>
      <c r="AK240" s="206" t="str">
        <f>VLOOKUP(Primary_Order[[#This Row],[Product ID]],SKU[[SKU ID]:[Bottle Size(Ltr)]],4,0)</f>
        <v>15L</v>
      </c>
      <c r="AL240" s="231">
        <f>VLOOKUP(Primary_Order[[#This Row],[Product ID]],SKU[],14,0)*Primary_Order[[#This Row],[Total Qty]]</f>
        <v>22139.48</v>
      </c>
      <c r="AM240" s="231">
        <f>IF(Primary_Order[[#This Row],[Cost]]=0,0,Primary_Order[[#This Row],[Net Total(-15%)]]-Primary_Order[[#This Row],[Cost]])</f>
        <v>-22139.48</v>
      </c>
      <c r="AN240" s="206" t="str">
        <f>"O-"&amp;Primary_Order[[#This Row],[Date]]&amp;"-"&amp;Primary_Order[[#This Row],[MMD ID]]</f>
        <v>O-45697-D-0026</v>
      </c>
      <c r="AO240" s="206" t="str" cm="1">
        <f t="array" ref="AO24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1" spans="1:41" x14ac:dyDescent="0.5">
      <c r="A241" s="206" t="s">
        <v>1184</v>
      </c>
      <c r="B241" s="230">
        <v>45697</v>
      </c>
      <c r="C241" s="206" t="s">
        <v>141</v>
      </c>
      <c r="D241" s="206" t="s">
        <v>1188</v>
      </c>
      <c r="E241" s="206" t="s">
        <v>52</v>
      </c>
      <c r="F241" s="206"/>
      <c r="G241" s="206" t="s">
        <v>87</v>
      </c>
      <c r="H241" s="206" t="s">
        <v>87</v>
      </c>
      <c r="I241" s="206" t="s">
        <v>1293</v>
      </c>
      <c r="J241" s="206" t="s">
        <v>393</v>
      </c>
      <c r="K241" s="206" t="s">
        <v>166</v>
      </c>
      <c r="L241" s="206" t="str">
        <f>VLOOKUP(Primary_Order[[#This Row],[Product ID]],SKU[],3,0)</f>
        <v>Tekma Mega Fleet LD 15W40</v>
      </c>
      <c r="M241" s="231"/>
      <c r="N241" s="231">
        <v>0</v>
      </c>
      <c r="O241" s="231">
        <v>0</v>
      </c>
      <c r="P241" s="232" t="s">
        <v>50</v>
      </c>
      <c r="Q241" s="231">
        <v>12</v>
      </c>
      <c r="R241" s="231">
        <v>0</v>
      </c>
      <c r="S241" s="231">
        <v>12</v>
      </c>
      <c r="T241" s="231">
        <v>12</v>
      </c>
      <c r="U241" s="231">
        <v>0</v>
      </c>
      <c r="V241" s="231">
        <v>0</v>
      </c>
      <c r="W241" s="231">
        <v>0</v>
      </c>
      <c r="X241" s="231">
        <v>0</v>
      </c>
      <c r="Y241" s="231">
        <v>0</v>
      </c>
      <c r="Z241" s="206" t="s">
        <v>1100</v>
      </c>
      <c r="AA241" s="206" t="s">
        <v>50</v>
      </c>
      <c r="AB241" s="206" t="s">
        <v>641</v>
      </c>
      <c r="AC241" s="230">
        <v>45697</v>
      </c>
      <c r="AD241" s="206" t="s">
        <v>1185</v>
      </c>
      <c r="AE241" s="206" t="str">
        <f>IFERROR(VLOOKUP(Primary_Order[[#This Row],[AM]],SP!$E$19:$F$23,2,0),Primary_Order[[#This Row],[AM]])</f>
        <v>Captive Sales</v>
      </c>
      <c r="AF241" s="206" t="str">
        <f>VLOOKUP(Primary_Order[[#This Row],[Product ID]],SKU[],10,0)</f>
        <v>Mineral</v>
      </c>
      <c r="AG241" s="206" t="str">
        <f>VLOOKUP(Primary_Order[[#This Row],[Product ID]],SKU[],9,0)</f>
        <v>HDDO</v>
      </c>
      <c r="AH241" s="206" t="str">
        <f>VLOOKUP(Primary_Order[[#This Row],[Product ID]],SKU[],12,0)</f>
        <v>15W40</v>
      </c>
      <c r="AI241" s="206" t="str">
        <f>VLOOKUP(Primary_Order[[#This Row],[Product ID]],SKU[],13,0)</f>
        <v>Tekma</v>
      </c>
      <c r="AJ241" s="233">
        <f>VLOOKUP(Primary_Order[[#This Row],[Product ID]],SKU[[SKU ID]:[Bottle Size(Ltr)]],6,0)*Primary_Order[[#This Row],[Free Quantity]]</f>
        <v>12</v>
      </c>
      <c r="AK241" s="206" t="str">
        <f>VLOOKUP(Primary_Order[[#This Row],[Product ID]],SKU[[SKU ID]:[Bottle Size(Ltr)]],4,0)</f>
        <v>20x1L</v>
      </c>
      <c r="AL241" s="231">
        <f>VLOOKUP(Primary_Order[[#This Row],[Product ID]],SKU[],14,0)*Primary_Order[[#This Row],[Total Qty]]</f>
        <v>4996.5599999999995</v>
      </c>
      <c r="AM241" s="231">
        <f>IF(Primary_Order[[#This Row],[Cost]]=0,0,Primary_Order[[#This Row],[Net Total(-15%)]]-Primary_Order[[#This Row],[Cost]])</f>
        <v>-4996.5599999999995</v>
      </c>
      <c r="AN241" s="206" t="str">
        <f>"O-"&amp;Primary_Order[[#This Row],[Date]]&amp;"-"&amp;Primary_Order[[#This Row],[MMD ID]]</f>
        <v>O-45697-D-0026</v>
      </c>
      <c r="AO241" s="206" t="str" cm="1">
        <f t="array" ref="AO24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2" spans="1:41" x14ac:dyDescent="0.5">
      <c r="A242" s="206" t="s">
        <v>1203</v>
      </c>
      <c r="B242" s="230">
        <v>45701</v>
      </c>
      <c r="C242" s="206" t="s">
        <v>141</v>
      </c>
      <c r="D242" s="206" t="s">
        <v>1188</v>
      </c>
      <c r="E242" s="206" t="s">
        <v>52</v>
      </c>
      <c r="F242" s="206" t="s">
        <v>50</v>
      </c>
      <c r="G242" s="206" t="s">
        <v>87</v>
      </c>
      <c r="H242" s="206" t="s">
        <v>87</v>
      </c>
      <c r="I242" s="206" t="s">
        <v>1293</v>
      </c>
      <c r="J242" s="206" t="s">
        <v>52</v>
      </c>
      <c r="K242" s="206" t="s">
        <v>179</v>
      </c>
      <c r="L242" s="206" t="str">
        <f>VLOOKUP(Primary_Order[[#This Row],[Product ID]],SKU[],3,0)</f>
        <v>Tekma Mega Fleet LD 15W40</v>
      </c>
      <c r="M242" s="231">
        <v>190</v>
      </c>
      <c r="N242" s="231">
        <v>4400</v>
      </c>
      <c r="O242" s="231">
        <v>2090</v>
      </c>
      <c r="P242" s="232">
        <v>0</v>
      </c>
      <c r="Q242" s="231">
        <v>0</v>
      </c>
      <c r="R242" s="231">
        <v>4400</v>
      </c>
      <c r="S242" s="231">
        <v>190</v>
      </c>
      <c r="T242" s="231">
        <v>2090</v>
      </c>
      <c r="U242" s="231">
        <v>836000</v>
      </c>
      <c r="V242" s="231">
        <v>0</v>
      </c>
      <c r="W242" s="231">
        <v>836000</v>
      </c>
      <c r="X242" s="231">
        <v>109043.47826086957</v>
      </c>
      <c r="Y242" s="231">
        <v>726956.52173913049</v>
      </c>
      <c r="Z242" s="206" t="s">
        <v>882</v>
      </c>
      <c r="AA242" s="206">
        <v>635</v>
      </c>
      <c r="AB242" s="206" t="s">
        <v>641</v>
      </c>
      <c r="AC242" s="230">
        <v>45704</v>
      </c>
      <c r="AD242" s="206" t="s">
        <v>50</v>
      </c>
      <c r="AE242" s="206" t="str">
        <f>IFERROR(VLOOKUP(Primary_Order[[#This Row],[AM]],SP!$E$19:$F$23,2,0),Primary_Order[[#This Row],[AM]])</f>
        <v>Captive Sales</v>
      </c>
      <c r="AF242" s="206" t="str">
        <f>VLOOKUP(Primary_Order[[#This Row],[Product ID]],SKU[],10,0)</f>
        <v>Mineral</v>
      </c>
      <c r="AG242" s="206" t="str">
        <f>VLOOKUP(Primary_Order[[#This Row],[Product ID]],SKU[],9,0)</f>
        <v>HDDO</v>
      </c>
      <c r="AH242" s="206" t="str">
        <f>VLOOKUP(Primary_Order[[#This Row],[Product ID]],SKU[],12,0)</f>
        <v>15W40</v>
      </c>
      <c r="AI242" s="206" t="str">
        <f>VLOOKUP(Primary_Order[[#This Row],[Product ID]],SKU[],13,0)</f>
        <v>Tekma</v>
      </c>
      <c r="AJ242" s="233">
        <f>VLOOKUP(Primary_Order[[#This Row],[Product ID]],SKU[[SKU ID]:[Bottle Size(Ltr)]],6,0)*Primary_Order[[#This Row],[Free Quantity]]</f>
        <v>0</v>
      </c>
      <c r="AK242" s="206" t="str">
        <f>VLOOKUP(Primary_Order[[#This Row],[Product ID]],SKU[[SKU ID]:[Bottle Size(Ltr)]],4,0)</f>
        <v>11L</v>
      </c>
      <c r="AL242" s="231">
        <f>VLOOKUP(Primary_Order[[#This Row],[Product ID]],SKU[],14,0)*Primary_Order[[#This Row],[Total Qty]]</f>
        <v>781038.7</v>
      </c>
      <c r="AM242" s="231">
        <f>IF(Primary_Order[[#This Row],[Cost]]=0,0,Primary_Order[[#This Row],[Net Total(-15%)]]-Primary_Order[[#This Row],[Cost]])</f>
        <v>-54082.178260869463</v>
      </c>
      <c r="AN242" s="206" t="str">
        <f>"O-"&amp;Primary_Order[[#This Row],[Date]]&amp;"-"&amp;Primary_Order[[#This Row],[MMD ID]]</f>
        <v>O-45701-D-0026</v>
      </c>
      <c r="AO242" s="206" t="str" cm="1">
        <f t="array" ref="AO24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3" spans="1:41" x14ac:dyDescent="0.5">
      <c r="A243" s="206" t="s">
        <v>1203</v>
      </c>
      <c r="B243" s="230">
        <v>45701</v>
      </c>
      <c r="C243" s="206" t="s">
        <v>141</v>
      </c>
      <c r="D243" s="206" t="s">
        <v>1188</v>
      </c>
      <c r="E243" s="206" t="s">
        <v>52</v>
      </c>
      <c r="F243" s="206" t="s">
        <v>50</v>
      </c>
      <c r="G243" s="206" t="s">
        <v>87</v>
      </c>
      <c r="H243" s="206" t="s">
        <v>87</v>
      </c>
      <c r="I243" s="206" t="s">
        <v>1293</v>
      </c>
      <c r="J243" s="206" t="s">
        <v>52</v>
      </c>
      <c r="K243" s="206" t="s">
        <v>113</v>
      </c>
      <c r="L243" s="206" t="str">
        <f>VLOOKUP(Primary_Order[[#This Row],[Product ID]],SKU[],3,0)</f>
        <v>Tekma Mega Fleet LD 15W40</v>
      </c>
      <c r="M243" s="231">
        <v>93</v>
      </c>
      <c r="N243" s="231">
        <v>6000</v>
      </c>
      <c r="O243" s="231">
        <v>1395</v>
      </c>
      <c r="P243" s="232">
        <v>0</v>
      </c>
      <c r="Q243" s="231">
        <v>0</v>
      </c>
      <c r="R243" s="231">
        <v>6000</v>
      </c>
      <c r="S243" s="231">
        <v>93</v>
      </c>
      <c r="T243" s="231">
        <v>1395</v>
      </c>
      <c r="U243" s="231">
        <v>558000</v>
      </c>
      <c r="V243" s="231">
        <v>0</v>
      </c>
      <c r="W243" s="231">
        <v>558000</v>
      </c>
      <c r="X243" s="231">
        <v>72782.608695652176</v>
      </c>
      <c r="Y243" s="231">
        <v>485217.39130434784</v>
      </c>
      <c r="Z243" s="206" t="s">
        <v>882</v>
      </c>
      <c r="AA243" s="206">
        <v>635</v>
      </c>
      <c r="AB243" s="206" t="s">
        <v>641</v>
      </c>
      <c r="AC243" s="230">
        <v>45704</v>
      </c>
      <c r="AD243" s="206" t="s">
        <v>50</v>
      </c>
      <c r="AE243" s="206" t="str">
        <f>IFERROR(VLOOKUP(Primary_Order[[#This Row],[AM]],SP!$E$19:$F$23,2,0),Primary_Order[[#This Row],[AM]])</f>
        <v>Captive Sales</v>
      </c>
      <c r="AF243" s="206" t="str">
        <f>VLOOKUP(Primary_Order[[#This Row],[Product ID]],SKU[],10,0)</f>
        <v>Mineral</v>
      </c>
      <c r="AG243" s="206" t="str">
        <f>VLOOKUP(Primary_Order[[#This Row],[Product ID]],SKU[],9,0)</f>
        <v>HDDO</v>
      </c>
      <c r="AH243" s="206" t="str">
        <f>VLOOKUP(Primary_Order[[#This Row],[Product ID]],SKU[],12,0)</f>
        <v>15W40</v>
      </c>
      <c r="AI243" s="206" t="str">
        <f>VLOOKUP(Primary_Order[[#This Row],[Product ID]],SKU[],13,0)</f>
        <v>Tekma</v>
      </c>
      <c r="AJ243" s="233">
        <f>VLOOKUP(Primary_Order[[#This Row],[Product ID]],SKU[[SKU ID]:[Bottle Size(Ltr)]],6,0)*Primary_Order[[#This Row],[Free Quantity]]</f>
        <v>0</v>
      </c>
      <c r="AK243" s="206" t="str">
        <f>VLOOKUP(Primary_Order[[#This Row],[Product ID]],SKU[[SKU ID]:[Bottle Size(Ltr)]],4,0)</f>
        <v>15L</v>
      </c>
      <c r="AL243" s="231">
        <f>VLOOKUP(Primary_Order[[#This Row],[Product ID]],SKU[],14,0)*Primary_Order[[#This Row],[Total Qty]]</f>
        <v>514742.91</v>
      </c>
      <c r="AM243" s="231">
        <f>IF(Primary_Order[[#This Row],[Cost]]=0,0,Primary_Order[[#This Row],[Net Total(-15%)]]-Primary_Order[[#This Row],[Cost]])</f>
        <v>-29525.518695652136</v>
      </c>
      <c r="AN243" s="206" t="str">
        <f>"O-"&amp;Primary_Order[[#This Row],[Date]]&amp;"-"&amp;Primary_Order[[#This Row],[MMD ID]]</f>
        <v>O-45701-D-0026</v>
      </c>
      <c r="AO243" s="206" t="str" cm="1">
        <f t="array" ref="AO24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4" spans="1:41" x14ac:dyDescent="0.5">
      <c r="A244" s="206" t="s">
        <v>1203</v>
      </c>
      <c r="B244" s="230">
        <v>45701</v>
      </c>
      <c r="C244" s="206" t="s">
        <v>141</v>
      </c>
      <c r="D244" s="206" t="s">
        <v>1188</v>
      </c>
      <c r="E244" s="206" t="s">
        <v>52</v>
      </c>
      <c r="F244" s="206" t="s">
        <v>50</v>
      </c>
      <c r="G244" s="206" t="s">
        <v>87</v>
      </c>
      <c r="H244" s="206" t="s">
        <v>87</v>
      </c>
      <c r="I244" s="206" t="s">
        <v>1293</v>
      </c>
      <c r="J244" s="206" t="s">
        <v>52</v>
      </c>
      <c r="K244" s="206" t="s">
        <v>166</v>
      </c>
      <c r="L244" s="206" t="str">
        <f>VLOOKUP(Primary_Order[[#This Row],[Product ID]],SKU[],3,0)</f>
        <v>Tekma Mega Fleet LD 15W40</v>
      </c>
      <c r="M244" s="231">
        <v>201</v>
      </c>
      <c r="N244" s="231">
        <v>400</v>
      </c>
      <c r="O244" s="231">
        <v>201</v>
      </c>
      <c r="P244" s="232">
        <v>0</v>
      </c>
      <c r="Q244" s="231">
        <v>0</v>
      </c>
      <c r="R244" s="231">
        <v>400</v>
      </c>
      <c r="S244" s="231">
        <v>201</v>
      </c>
      <c r="T244" s="231">
        <v>201</v>
      </c>
      <c r="U244" s="231">
        <v>80400</v>
      </c>
      <c r="V244" s="231">
        <v>0</v>
      </c>
      <c r="W244" s="231">
        <v>80400</v>
      </c>
      <c r="X244" s="231">
        <v>10486.95652173913</v>
      </c>
      <c r="Y244" s="231">
        <v>69913.043478260865</v>
      </c>
      <c r="Z244" s="206" t="s">
        <v>882</v>
      </c>
      <c r="AA244" s="206">
        <v>635</v>
      </c>
      <c r="AB244" s="206" t="s">
        <v>641</v>
      </c>
      <c r="AC244" s="230">
        <v>45704</v>
      </c>
      <c r="AD244" s="206" t="s">
        <v>50</v>
      </c>
      <c r="AE244" s="206" t="str">
        <f>IFERROR(VLOOKUP(Primary_Order[[#This Row],[AM]],SP!$E$19:$F$23,2,0),Primary_Order[[#This Row],[AM]])</f>
        <v>Captive Sales</v>
      </c>
      <c r="AF244" s="206" t="str">
        <f>VLOOKUP(Primary_Order[[#This Row],[Product ID]],SKU[],10,0)</f>
        <v>Mineral</v>
      </c>
      <c r="AG244" s="206" t="str">
        <f>VLOOKUP(Primary_Order[[#This Row],[Product ID]],SKU[],9,0)</f>
        <v>HDDO</v>
      </c>
      <c r="AH244" s="206" t="str">
        <f>VLOOKUP(Primary_Order[[#This Row],[Product ID]],SKU[],12,0)</f>
        <v>15W40</v>
      </c>
      <c r="AI244" s="206" t="str">
        <f>VLOOKUP(Primary_Order[[#This Row],[Product ID]],SKU[],13,0)</f>
        <v>Tekma</v>
      </c>
      <c r="AJ244" s="233">
        <f>VLOOKUP(Primary_Order[[#This Row],[Product ID]],SKU[[SKU ID]:[Bottle Size(Ltr)]],6,0)*Primary_Order[[#This Row],[Free Quantity]]</f>
        <v>0</v>
      </c>
      <c r="AK244" s="206" t="str">
        <f>VLOOKUP(Primary_Order[[#This Row],[Product ID]],SKU[[SKU ID]:[Bottle Size(Ltr)]],4,0)</f>
        <v>20x1L</v>
      </c>
      <c r="AL244" s="231">
        <f>VLOOKUP(Primary_Order[[#This Row],[Product ID]],SKU[],14,0)*Primary_Order[[#This Row],[Total Qty]]</f>
        <v>83692.38</v>
      </c>
      <c r="AM244" s="231">
        <f>IF(Primary_Order[[#This Row],[Cost]]=0,0,Primary_Order[[#This Row],[Net Total(-15%)]]-Primary_Order[[#This Row],[Cost]])</f>
        <v>-13779.33652173914</v>
      </c>
      <c r="AN244" s="206" t="str">
        <f>"O-"&amp;Primary_Order[[#This Row],[Date]]&amp;"-"&amp;Primary_Order[[#This Row],[MMD ID]]</f>
        <v>O-45701-D-0026</v>
      </c>
      <c r="AO244" s="206" t="str" cm="1">
        <f t="array" ref="AO24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5" spans="1:41" x14ac:dyDescent="0.5">
      <c r="A245" s="206" t="s">
        <v>1189</v>
      </c>
      <c r="B245" s="230">
        <v>45694</v>
      </c>
      <c r="C245" s="206" t="s">
        <v>90</v>
      </c>
      <c r="D245" s="206" t="s">
        <v>91</v>
      </c>
      <c r="E245" s="206" t="s">
        <v>50</v>
      </c>
      <c r="F245" s="206" t="s">
        <v>50</v>
      </c>
      <c r="G245" s="206" t="s">
        <v>39</v>
      </c>
      <c r="H245" s="206" t="s">
        <v>40</v>
      </c>
      <c r="I245" s="206" t="s">
        <v>91</v>
      </c>
      <c r="J245" s="206" t="s">
        <v>93</v>
      </c>
      <c r="K245" s="206" t="s">
        <v>31</v>
      </c>
      <c r="L245" s="206" t="str">
        <f>VLOOKUP(Primary_Order[[#This Row],[Product ID]],SKU[],3,0)</f>
        <v>3000 4T PLUS 10W30</v>
      </c>
      <c r="M245" s="231">
        <v>200</v>
      </c>
      <c r="N245" s="231">
        <v>540</v>
      </c>
      <c r="O245" s="231">
        <v>200</v>
      </c>
      <c r="P245" s="232">
        <v>1.2962962962962954E-2</v>
      </c>
      <c r="Q245" s="231">
        <v>0</v>
      </c>
      <c r="R245" s="231">
        <v>533</v>
      </c>
      <c r="S245" s="231">
        <v>200</v>
      </c>
      <c r="T245" s="231">
        <v>200</v>
      </c>
      <c r="U245" s="231">
        <v>108000</v>
      </c>
      <c r="V245" s="231">
        <v>1400</v>
      </c>
      <c r="W245" s="231">
        <v>106600</v>
      </c>
      <c r="X245" s="231">
        <v>13904.347826086956</v>
      </c>
      <c r="Y245" s="231">
        <v>92695.65217391304</v>
      </c>
      <c r="Z245" s="206" t="s">
        <v>882</v>
      </c>
      <c r="AA245" s="206">
        <v>632</v>
      </c>
      <c r="AB245" s="206" t="s">
        <v>749</v>
      </c>
      <c r="AC245" s="230">
        <v>45701</v>
      </c>
      <c r="AD245" s="206" t="s">
        <v>50</v>
      </c>
      <c r="AE245" s="206" t="str">
        <f>IFERROR(VLOOKUP(Primary_Order[[#This Row],[AM]],SP!$E$19:$F$23,2,0),Primary_Order[[#This Row],[AM]])</f>
        <v>Central</v>
      </c>
      <c r="AF245" s="206" t="str">
        <f>VLOOKUP(Primary_Order[[#This Row],[Product ID]],SKU[],10,0)</f>
        <v>Mineral</v>
      </c>
      <c r="AG245" s="206" t="str">
        <f>VLOOKUP(Primary_Order[[#This Row],[Product ID]],SKU[],9,0)</f>
        <v>MCO</v>
      </c>
      <c r="AH245" s="206" t="str">
        <f>VLOOKUP(Primary_Order[[#This Row],[Product ID]],SKU[],12,0)</f>
        <v>10W30</v>
      </c>
      <c r="AI245" s="206" t="str">
        <f>VLOOKUP(Primary_Order[[#This Row],[Product ID]],SKU[],13,0)</f>
        <v>3000</v>
      </c>
      <c r="AJ245" s="233">
        <f>VLOOKUP(Primary_Order[[#This Row],[Product ID]],SKU[[SKU ID]:[Bottle Size(Ltr)]],6,0)*Primary_Order[[#This Row],[Free Quantity]]</f>
        <v>0</v>
      </c>
      <c r="AK245" s="206" t="str">
        <f>VLOOKUP(Primary_Order[[#This Row],[Product ID]],SKU[[SKU ID]:[Bottle Size(Ltr)]],4,0)</f>
        <v>20x1L</v>
      </c>
      <c r="AL245" s="231">
        <f>VLOOKUP(Primary_Order[[#This Row],[Product ID]],SKU[],14,0)*Primary_Order[[#This Row],[Total Qty]]</f>
        <v>75866</v>
      </c>
      <c r="AM245" s="231">
        <f>IF(Primary_Order[[#This Row],[Cost]]=0,0,Primary_Order[[#This Row],[Net Total(-15%)]]-Primary_Order[[#This Row],[Cost]])</f>
        <v>16829.65217391304</v>
      </c>
      <c r="AN245" s="206" t="str">
        <f>"O-"&amp;Primary_Order[[#This Row],[Date]]&amp;"-"&amp;Primary_Order[[#This Row],[MMD ID]]</f>
        <v>O-45694-D-0006</v>
      </c>
      <c r="AO245" s="206" t="str" cm="1">
        <f t="array" ref="AO24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6" spans="1:41" x14ac:dyDescent="0.5">
      <c r="A246" s="206" t="s">
        <v>1189</v>
      </c>
      <c r="B246" s="230">
        <v>45694</v>
      </c>
      <c r="C246" s="206" t="s">
        <v>90</v>
      </c>
      <c r="D246" s="206" t="s">
        <v>91</v>
      </c>
      <c r="E246" s="206" t="s">
        <v>50</v>
      </c>
      <c r="F246" s="206" t="s">
        <v>50</v>
      </c>
      <c r="G246" s="206" t="s">
        <v>39</v>
      </c>
      <c r="H246" s="206" t="s">
        <v>40</v>
      </c>
      <c r="I246" s="206" t="s">
        <v>91</v>
      </c>
      <c r="J246" s="206" t="s">
        <v>93</v>
      </c>
      <c r="K246" s="206" t="s">
        <v>32</v>
      </c>
      <c r="L246" s="206" t="str">
        <f>VLOOKUP(Primary_Order[[#This Row],[Product ID]],SKU[],3,0)</f>
        <v>3000 4T PLUS 10W30</v>
      </c>
      <c r="M246" s="231">
        <v>300</v>
      </c>
      <c r="N246" s="231">
        <v>650</v>
      </c>
      <c r="O246" s="231">
        <v>360</v>
      </c>
      <c r="P246" s="232">
        <v>1.2923076923076926E-2</v>
      </c>
      <c r="Q246" s="231">
        <v>0</v>
      </c>
      <c r="R246" s="231">
        <v>641.6</v>
      </c>
      <c r="S246" s="231">
        <v>300</v>
      </c>
      <c r="T246" s="231">
        <v>360</v>
      </c>
      <c r="U246" s="231">
        <v>195000</v>
      </c>
      <c r="V246" s="231">
        <v>2520</v>
      </c>
      <c r="W246" s="231">
        <v>192480</v>
      </c>
      <c r="X246" s="231">
        <v>25106.08695652174</v>
      </c>
      <c r="Y246" s="231">
        <v>167373.91304347827</v>
      </c>
      <c r="Z246" s="206" t="s">
        <v>882</v>
      </c>
      <c r="AA246" s="206">
        <v>632</v>
      </c>
      <c r="AB246" s="206" t="s">
        <v>749</v>
      </c>
      <c r="AC246" s="230">
        <v>45701</v>
      </c>
      <c r="AD246" s="206" t="s">
        <v>50</v>
      </c>
      <c r="AE246" s="206" t="str">
        <f>IFERROR(VLOOKUP(Primary_Order[[#This Row],[AM]],SP!$E$19:$F$23,2,0),Primary_Order[[#This Row],[AM]])</f>
        <v>Central</v>
      </c>
      <c r="AF246" s="206" t="str">
        <f>VLOOKUP(Primary_Order[[#This Row],[Product ID]],SKU[],10,0)</f>
        <v>Mineral</v>
      </c>
      <c r="AG246" s="206" t="str">
        <f>VLOOKUP(Primary_Order[[#This Row],[Product ID]],SKU[],9,0)</f>
        <v>MCO</v>
      </c>
      <c r="AH246" s="206" t="str">
        <f>VLOOKUP(Primary_Order[[#This Row],[Product ID]],SKU[],12,0)</f>
        <v>10W30</v>
      </c>
      <c r="AI246" s="206" t="str">
        <f>VLOOKUP(Primary_Order[[#This Row],[Product ID]],SKU[],13,0)</f>
        <v>3000</v>
      </c>
      <c r="AJ246" s="233">
        <f>VLOOKUP(Primary_Order[[#This Row],[Product ID]],SKU[[SKU ID]:[Bottle Size(Ltr)]],6,0)*Primary_Order[[#This Row],[Free Quantity]]</f>
        <v>0</v>
      </c>
      <c r="AK246" s="206" t="str">
        <f>VLOOKUP(Primary_Order[[#This Row],[Product ID]],SKU[[SKU ID]:[Bottle Size(Ltr)]],4,0)</f>
        <v>20x1.2L</v>
      </c>
      <c r="AL246" s="231">
        <f>VLOOKUP(Primary_Order[[#This Row],[Product ID]],SKU[],14,0)*Primary_Order[[#This Row],[Total Qty]]</f>
        <v>131670</v>
      </c>
      <c r="AM246" s="231">
        <f>IF(Primary_Order[[#This Row],[Cost]]=0,0,Primary_Order[[#This Row],[Net Total(-15%)]]-Primary_Order[[#This Row],[Cost]])</f>
        <v>35703.913043478271</v>
      </c>
      <c r="AN246" s="206" t="str">
        <f>"O-"&amp;Primary_Order[[#This Row],[Date]]&amp;"-"&amp;Primary_Order[[#This Row],[MMD ID]]</f>
        <v>O-45694-D-0006</v>
      </c>
      <c r="AO246" s="206" t="str" cm="1">
        <f t="array" ref="AO24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7" spans="1:41" x14ac:dyDescent="0.5">
      <c r="A247" s="206" t="s">
        <v>1189</v>
      </c>
      <c r="B247" s="230">
        <v>45694</v>
      </c>
      <c r="C247" s="206" t="s">
        <v>90</v>
      </c>
      <c r="D247" s="206" t="s">
        <v>91</v>
      </c>
      <c r="E247" s="206" t="s">
        <v>50</v>
      </c>
      <c r="F247" s="206" t="s">
        <v>50</v>
      </c>
      <c r="G247" s="206" t="s">
        <v>39</v>
      </c>
      <c r="H247" s="206" t="s">
        <v>40</v>
      </c>
      <c r="I247" s="206" t="s">
        <v>91</v>
      </c>
      <c r="J247" s="206" t="s">
        <v>93</v>
      </c>
      <c r="K247" s="206" t="s">
        <v>33</v>
      </c>
      <c r="L247" s="206" t="str">
        <f>VLOOKUP(Primary_Order[[#This Row],[Product ID]],SKU[],3,0)</f>
        <v>3000 4T PLUS 20W40</v>
      </c>
      <c r="M247" s="231">
        <v>100</v>
      </c>
      <c r="N247" s="231">
        <v>645</v>
      </c>
      <c r="O247" s="231">
        <v>120</v>
      </c>
      <c r="P247" s="232">
        <v>1.3023255813953472E-2</v>
      </c>
      <c r="Q247" s="231">
        <v>0</v>
      </c>
      <c r="R247" s="231">
        <v>636.6</v>
      </c>
      <c r="S247" s="231">
        <v>100</v>
      </c>
      <c r="T247" s="231">
        <v>120</v>
      </c>
      <c r="U247" s="231">
        <v>64500</v>
      </c>
      <c r="V247" s="231">
        <v>840</v>
      </c>
      <c r="W247" s="231">
        <v>63660</v>
      </c>
      <c r="X247" s="231">
        <v>8303.4782608695659</v>
      </c>
      <c r="Y247" s="231">
        <v>55356.521739130432</v>
      </c>
      <c r="Z247" s="206" t="s">
        <v>882</v>
      </c>
      <c r="AA247" s="206">
        <v>632</v>
      </c>
      <c r="AB247" s="206" t="s">
        <v>749</v>
      </c>
      <c r="AC247" s="230">
        <v>45701</v>
      </c>
      <c r="AD247" s="206" t="s">
        <v>50</v>
      </c>
      <c r="AE247" s="206" t="str">
        <f>IFERROR(VLOOKUP(Primary_Order[[#This Row],[AM]],SP!$E$19:$F$23,2,0),Primary_Order[[#This Row],[AM]])</f>
        <v>Central</v>
      </c>
      <c r="AF247" s="206" t="str">
        <f>VLOOKUP(Primary_Order[[#This Row],[Product ID]],SKU[],10,0)</f>
        <v>Mineral</v>
      </c>
      <c r="AG247" s="206" t="str">
        <f>VLOOKUP(Primary_Order[[#This Row],[Product ID]],SKU[],9,0)</f>
        <v>MCO</v>
      </c>
      <c r="AH247" s="206" t="str">
        <f>VLOOKUP(Primary_Order[[#This Row],[Product ID]],SKU[],12,0)</f>
        <v>20W40</v>
      </c>
      <c r="AI247" s="206" t="str">
        <f>VLOOKUP(Primary_Order[[#This Row],[Product ID]],SKU[],13,0)</f>
        <v>3000</v>
      </c>
      <c r="AJ247" s="233">
        <f>VLOOKUP(Primary_Order[[#This Row],[Product ID]],SKU[[SKU ID]:[Bottle Size(Ltr)]],6,0)*Primary_Order[[#This Row],[Free Quantity]]</f>
        <v>0</v>
      </c>
      <c r="AK247" s="206" t="str">
        <f>VLOOKUP(Primary_Order[[#This Row],[Product ID]],SKU[[SKU ID]:[Bottle Size(Ltr)]],4,0)</f>
        <v>20x1.2L</v>
      </c>
      <c r="AL247" s="231">
        <f>VLOOKUP(Primary_Order[[#This Row],[Product ID]],SKU[],14,0)*Primary_Order[[#This Row],[Total Qty]]</f>
        <v>46989.779535060974</v>
      </c>
      <c r="AM247" s="231">
        <f>IF(Primary_Order[[#This Row],[Cost]]=0,0,Primary_Order[[#This Row],[Net Total(-15%)]]-Primary_Order[[#This Row],[Cost]])</f>
        <v>8366.7422040694582</v>
      </c>
      <c r="AN247" s="206" t="str">
        <f>"O-"&amp;Primary_Order[[#This Row],[Date]]&amp;"-"&amp;Primary_Order[[#This Row],[MMD ID]]</f>
        <v>O-45694-D-0006</v>
      </c>
      <c r="AO247" s="206" t="str" cm="1">
        <f t="array" ref="AO24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8" spans="1:41" x14ac:dyDescent="0.5">
      <c r="A248" s="206" t="s">
        <v>1190</v>
      </c>
      <c r="B248" s="230">
        <v>45698</v>
      </c>
      <c r="C248" s="206" t="s">
        <v>100</v>
      </c>
      <c r="D248" s="206" t="s">
        <v>1177</v>
      </c>
      <c r="E248" s="206" t="s">
        <v>1178</v>
      </c>
      <c r="F248" s="206" t="s">
        <v>1179</v>
      </c>
      <c r="G248" s="206" t="s">
        <v>45</v>
      </c>
      <c r="H248" s="206" t="s">
        <v>28</v>
      </c>
      <c r="I248" s="206" t="s">
        <v>101</v>
      </c>
      <c r="J248" s="206" t="s">
        <v>536</v>
      </c>
      <c r="K248" s="206" t="s">
        <v>54</v>
      </c>
      <c r="L248" s="206" t="str">
        <f>VLOOKUP(Primary_Order[[#This Row],[Product ID]],SKU[],3,0)</f>
        <v>3000 4T PLUS 10W40</v>
      </c>
      <c r="M248" s="231">
        <v>40</v>
      </c>
      <c r="N248" s="231">
        <v>550</v>
      </c>
      <c r="O248" s="231">
        <v>40</v>
      </c>
      <c r="P248" s="232">
        <v>9.0909090909090384E-3</v>
      </c>
      <c r="Q248" s="231">
        <v>0</v>
      </c>
      <c r="R248" s="231">
        <v>545</v>
      </c>
      <c r="S248" s="231">
        <v>40</v>
      </c>
      <c r="T248" s="231">
        <v>40</v>
      </c>
      <c r="U248" s="231">
        <v>22000</v>
      </c>
      <c r="V248" s="231">
        <v>0</v>
      </c>
      <c r="W248" s="231">
        <v>21800</v>
      </c>
      <c r="X248" s="231">
        <v>2843.478260869565</v>
      </c>
      <c r="Y248" s="231">
        <v>18956.521739130436</v>
      </c>
      <c r="Z248" s="206" t="s">
        <v>882</v>
      </c>
      <c r="AA248" s="206">
        <v>633</v>
      </c>
      <c r="AB248" s="206" t="s">
        <v>749</v>
      </c>
      <c r="AC248" s="230">
        <v>45701</v>
      </c>
      <c r="AD248" s="206" t="s">
        <v>50</v>
      </c>
      <c r="AE248" s="206" t="str">
        <f>IFERROR(VLOOKUP(Primary_Order[[#This Row],[AM]],SP!$E$19:$F$23,2,0),Primary_Order[[#This Row],[AM]])</f>
        <v>Eastern</v>
      </c>
      <c r="AF248" s="206" t="str">
        <f>VLOOKUP(Primary_Order[[#This Row],[Product ID]],SKU[],10,0)</f>
        <v>Mineral</v>
      </c>
      <c r="AG248" s="206" t="str">
        <f>VLOOKUP(Primary_Order[[#This Row],[Product ID]],SKU[],9,0)</f>
        <v>MCO</v>
      </c>
      <c r="AH248" s="206" t="str">
        <f>VLOOKUP(Primary_Order[[#This Row],[Product ID]],SKU[],12,0)</f>
        <v>10W40</v>
      </c>
      <c r="AI248" s="206" t="str">
        <f>VLOOKUP(Primary_Order[[#This Row],[Product ID]],SKU[],13,0)</f>
        <v>3000</v>
      </c>
      <c r="AJ248" s="233">
        <f>VLOOKUP(Primary_Order[[#This Row],[Product ID]],SKU[[SKU ID]:[Bottle Size(Ltr)]],6,0)*Primary_Order[[#This Row],[Free Quantity]]</f>
        <v>0</v>
      </c>
      <c r="AK248" s="206" t="str">
        <f>VLOOKUP(Primary_Order[[#This Row],[Product ID]],SKU[[SKU ID]:[Bottle Size(Ltr)]],4,0)</f>
        <v>20x1L</v>
      </c>
      <c r="AL248" s="231">
        <f>VLOOKUP(Primary_Order[[#This Row],[Product ID]],SKU[],14,0)*Primary_Order[[#This Row],[Total Qty]]</f>
        <v>15394</v>
      </c>
      <c r="AM248" s="231">
        <f>IF(Primary_Order[[#This Row],[Cost]]=0,0,Primary_Order[[#This Row],[Net Total(-15%)]]-Primary_Order[[#This Row],[Cost]])</f>
        <v>3562.5217391304359</v>
      </c>
      <c r="AN248" s="206" t="str">
        <f>"O-"&amp;Primary_Order[[#This Row],[Date]]&amp;"-"&amp;Primary_Order[[#This Row],[MMD ID]]</f>
        <v>O-45698-D-0014</v>
      </c>
      <c r="AO248" s="206" t="str" cm="1">
        <f t="array" ref="AO24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49" spans="1:41" x14ac:dyDescent="0.5">
      <c r="A249" s="206" t="s">
        <v>1190</v>
      </c>
      <c r="B249" s="230">
        <v>45698</v>
      </c>
      <c r="C249" s="206" t="s">
        <v>100</v>
      </c>
      <c r="D249" s="206" t="s">
        <v>1177</v>
      </c>
      <c r="E249" s="206" t="s">
        <v>1178</v>
      </c>
      <c r="F249" s="206" t="s">
        <v>1179</v>
      </c>
      <c r="G249" s="206" t="s">
        <v>45</v>
      </c>
      <c r="H249" s="206" t="s">
        <v>28</v>
      </c>
      <c r="I249" s="206" t="s">
        <v>101</v>
      </c>
      <c r="J249" s="206" t="s">
        <v>536</v>
      </c>
      <c r="K249" s="206" t="s">
        <v>81</v>
      </c>
      <c r="L249" s="206" t="str">
        <f>VLOOKUP(Primary_Order[[#This Row],[Product ID]],SKU[],3,0)</f>
        <v>3000 4T 20W50</v>
      </c>
      <c r="M249" s="231">
        <v>100</v>
      </c>
      <c r="N249" s="231">
        <v>495</v>
      </c>
      <c r="O249" s="231">
        <v>100</v>
      </c>
      <c r="P249" s="232">
        <v>2.4242424242424288E-2</v>
      </c>
      <c r="Q249" s="231">
        <v>0</v>
      </c>
      <c r="R249" s="231">
        <v>483</v>
      </c>
      <c r="S249" s="231">
        <v>100</v>
      </c>
      <c r="T249" s="231">
        <v>100</v>
      </c>
      <c r="U249" s="231">
        <v>49500</v>
      </c>
      <c r="V249" s="231">
        <v>0</v>
      </c>
      <c r="W249" s="231">
        <v>48300</v>
      </c>
      <c r="X249" s="231">
        <v>6300</v>
      </c>
      <c r="Y249" s="231">
        <v>42000</v>
      </c>
      <c r="Z249" s="206" t="s">
        <v>882</v>
      </c>
      <c r="AA249" s="206">
        <v>633</v>
      </c>
      <c r="AB249" s="206" t="s">
        <v>749</v>
      </c>
      <c r="AC249" s="230">
        <v>45701</v>
      </c>
      <c r="AD249" s="206" t="s">
        <v>50</v>
      </c>
      <c r="AE249" s="206" t="str">
        <f>IFERROR(VLOOKUP(Primary_Order[[#This Row],[AM]],SP!$E$19:$F$23,2,0),Primary_Order[[#This Row],[AM]])</f>
        <v>Eastern</v>
      </c>
      <c r="AF249" s="206" t="str">
        <f>VLOOKUP(Primary_Order[[#This Row],[Product ID]],SKU[],10,0)</f>
        <v>Mineral</v>
      </c>
      <c r="AG249" s="206" t="str">
        <f>VLOOKUP(Primary_Order[[#This Row],[Product ID]],SKU[],9,0)</f>
        <v>MCO</v>
      </c>
      <c r="AH249" s="206" t="str">
        <f>VLOOKUP(Primary_Order[[#This Row],[Product ID]],SKU[],12,0)</f>
        <v>20W50</v>
      </c>
      <c r="AI249" s="206" t="str">
        <f>VLOOKUP(Primary_Order[[#This Row],[Product ID]],SKU[],13,0)</f>
        <v>3000</v>
      </c>
      <c r="AJ249" s="233">
        <f>VLOOKUP(Primary_Order[[#This Row],[Product ID]],SKU[[SKU ID]:[Bottle Size(Ltr)]],6,0)*Primary_Order[[#This Row],[Free Quantity]]</f>
        <v>0</v>
      </c>
      <c r="AK249" s="206" t="str">
        <f>VLOOKUP(Primary_Order[[#This Row],[Product ID]],SKU[[SKU ID]:[Bottle Size(Ltr)]],4,0)</f>
        <v>20x1L</v>
      </c>
      <c r="AL249" s="231">
        <f>VLOOKUP(Primary_Order[[#This Row],[Product ID]],SKU[],14,0)*Primary_Order[[#This Row],[Total Qty]]</f>
        <v>36492</v>
      </c>
      <c r="AM249" s="231">
        <f>IF(Primary_Order[[#This Row],[Cost]]=0,0,Primary_Order[[#This Row],[Net Total(-15%)]]-Primary_Order[[#This Row],[Cost]])</f>
        <v>5508</v>
      </c>
      <c r="AN249" s="206" t="str">
        <f>"O-"&amp;Primary_Order[[#This Row],[Date]]&amp;"-"&amp;Primary_Order[[#This Row],[MMD ID]]</f>
        <v>O-45698-D-0014</v>
      </c>
      <c r="AO249" s="206" t="str" cm="1">
        <f t="array" ref="AO24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0" spans="1:41" x14ac:dyDescent="0.5">
      <c r="A250" s="206" t="s">
        <v>1190</v>
      </c>
      <c r="B250" s="230">
        <v>45698</v>
      </c>
      <c r="C250" s="206" t="s">
        <v>100</v>
      </c>
      <c r="D250" s="206" t="s">
        <v>1177</v>
      </c>
      <c r="E250" s="206" t="s">
        <v>1178</v>
      </c>
      <c r="F250" s="206" t="s">
        <v>1179</v>
      </c>
      <c r="G250" s="206" t="s">
        <v>45</v>
      </c>
      <c r="H250" s="206" t="s">
        <v>28</v>
      </c>
      <c r="I250" s="206" t="s">
        <v>101</v>
      </c>
      <c r="J250" s="206" t="s">
        <v>536</v>
      </c>
      <c r="K250" s="206" t="s">
        <v>99</v>
      </c>
      <c r="L250" s="206" t="str">
        <f>VLOOKUP(Primary_Order[[#This Row],[Product ID]],SKU[],3,0)</f>
        <v>3000 4T 20W50</v>
      </c>
      <c r="M250" s="231">
        <v>40</v>
      </c>
      <c r="N250" s="231">
        <v>595</v>
      </c>
      <c r="O250" s="231">
        <v>48</v>
      </c>
      <c r="P250" s="232">
        <v>2.2521008403361353E-2</v>
      </c>
      <c r="Q250" s="231">
        <v>0</v>
      </c>
      <c r="R250" s="231">
        <v>581.6</v>
      </c>
      <c r="S250" s="231">
        <v>40</v>
      </c>
      <c r="T250" s="231">
        <v>48</v>
      </c>
      <c r="U250" s="231">
        <v>23800</v>
      </c>
      <c r="V250" s="231">
        <v>0</v>
      </c>
      <c r="W250" s="231">
        <v>23264</v>
      </c>
      <c r="X250" s="231">
        <v>3034.4347826086955</v>
      </c>
      <c r="Y250" s="231">
        <v>20229.565217391304</v>
      </c>
      <c r="Z250" s="206" t="s">
        <v>882</v>
      </c>
      <c r="AA250" s="206">
        <v>633</v>
      </c>
      <c r="AB250" s="206" t="s">
        <v>749</v>
      </c>
      <c r="AC250" s="230">
        <v>45701</v>
      </c>
      <c r="AD250" s="206" t="s">
        <v>50</v>
      </c>
      <c r="AE250" s="206" t="str">
        <f>IFERROR(VLOOKUP(Primary_Order[[#This Row],[AM]],SP!$E$19:$F$23,2,0),Primary_Order[[#This Row],[AM]])</f>
        <v>Eastern</v>
      </c>
      <c r="AF250" s="206" t="str">
        <f>VLOOKUP(Primary_Order[[#This Row],[Product ID]],SKU[],10,0)</f>
        <v>Mineral</v>
      </c>
      <c r="AG250" s="206" t="str">
        <f>VLOOKUP(Primary_Order[[#This Row],[Product ID]],SKU[],9,0)</f>
        <v>MCO</v>
      </c>
      <c r="AH250" s="206" t="str">
        <f>VLOOKUP(Primary_Order[[#This Row],[Product ID]],SKU[],12,0)</f>
        <v>20W50</v>
      </c>
      <c r="AI250" s="206" t="str">
        <f>VLOOKUP(Primary_Order[[#This Row],[Product ID]],SKU[],13,0)</f>
        <v>3000</v>
      </c>
      <c r="AJ250" s="233">
        <f>VLOOKUP(Primary_Order[[#This Row],[Product ID]],SKU[[SKU ID]:[Bottle Size(Ltr)]],6,0)*Primary_Order[[#This Row],[Free Quantity]]</f>
        <v>0</v>
      </c>
      <c r="AK250" s="206" t="str">
        <f>VLOOKUP(Primary_Order[[#This Row],[Product ID]],SKU[[SKU ID]:[Bottle Size(Ltr)]],4,0)</f>
        <v>20x1.2L</v>
      </c>
      <c r="AL250" s="231">
        <f>VLOOKUP(Primary_Order[[#This Row],[Product ID]],SKU[],14,0)*Primary_Order[[#This Row],[Total Qty]]</f>
        <v>17384.400000000001</v>
      </c>
      <c r="AM250" s="231">
        <f>IF(Primary_Order[[#This Row],[Cost]]=0,0,Primary_Order[[#This Row],[Net Total(-15%)]]-Primary_Order[[#This Row],[Cost]])</f>
        <v>2845.1652173913026</v>
      </c>
      <c r="AN250" s="206" t="str">
        <f>"O-"&amp;Primary_Order[[#This Row],[Date]]&amp;"-"&amp;Primary_Order[[#This Row],[MMD ID]]</f>
        <v>O-45698-D-0014</v>
      </c>
      <c r="AO250" s="206" t="str" cm="1">
        <f t="array" ref="AO25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1" spans="1:41" x14ac:dyDescent="0.5">
      <c r="A251" s="206" t="s">
        <v>1215</v>
      </c>
      <c r="B251" s="230">
        <v>45702</v>
      </c>
      <c r="C251" s="206" t="s">
        <v>95</v>
      </c>
      <c r="D251" s="206" t="s">
        <v>1195</v>
      </c>
      <c r="E251" s="206" t="s">
        <v>655</v>
      </c>
      <c r="F251" s="206" t="s">
        <v>50</v>
      </c>
      <c r="G251" s="206" t="s">
        <v>87</v>
      </c>
      <c r="H251" s="206" t="s">
        <v>87</v>
      </c>
      <c r="I251" s="206" t="s">
        <v>1196</v>
      </c>
      <c r="J251" s="206" t="s">
        <v>52</v>
      </c>
      <c r="K251" s="206" t="s">
        <v>96</v>
      </c>
      <c r="L251" s="206" t="str">
        <f>VLOOKUP(Primary_Order[[#This Row],[Product ID]],SKU[],3,0)</f>
        <v>8100 X.Max 0W40</v>
      </c>
      <c r="M251" s="231">
        <v>52</v>
      </c>
      <c r="N251" s="231">
        <v>3000</v>
      </c>
      <c r="O251" s="231">
        <v>208</v>
      </c>
      <c r="P251" s="232">
        <v>0</v>
      </c>
      <c r="Q251" s="231">
        <v>0</v>
      </c>
      <c r="R251" s="231">
        <v>3000</v>
      </c>
      <c r="S251" s="231">
        <v>52</v>
      </c>
      <c r="T251" s="231">
        <v>208</v>
      </c>
      <c r="U251" s="231">
        <v>156000</v>
      </c>
      <c r="V251" s="231">
        <v>0</v>
      </c>
      <c r="W251" s="231">
        <v>156000</v>
      </c>
      <c r="X251" s="231">
        <v>20347.82608695652</v>
      </c>
      <c r="Y251" s="231">
        <v>135652.17391304349</v>
      </c>
      <c r="Z251" s="206" t="s">
        <v>882</v>
      </c>
      <c r="AA251" s="206">
        <v>634</v>
      </c>
      <c r="AB251" s="206" t="s">
        <v>1170</v>
      </c>
      <c r="AC251" s="230">
        <v>45702</v>
      </c>
      <c r="AD251" s="206" t="s">
        <v>50</v>
      </c>
      <c r="AE251" s="206" t="str">
        <f>IFERROR(VLOOKUP(Primary_Order[[#This Row],[AM]],SP!$E$19:$F$23,2,0),Primary_Order[[#This Row],[AM]])</f>
        <v>Captive Sales</v>
      </c>
      <c r="AF251" s="206" t="str">
        <f>VLOOKUP(Primary_Order[[#This Row],[Product ID]],SKU[],10,0)</f>
        <v>Synthetic</v>
      </c>
      <c r="AG251" s="206" t="str">
        <f>VLOOKUP(Primary_Order[[#This Row],[Product ID]],SKU[],9,0)</f>
        <v>PCMO</v>
      </c>
      <c r="AH251" s="206" t="str">
        <f>VLOOKUP(Primary_Order[[#This Row],[Product ID]],SKU[],12,0)</f>
        <v>0W40</v>
      </c>
      <c r="AI251" s="206" t="str">
        <f>VLOOKUP(Primary_Order[[#This Row],[Product ID]],SKU[],13,0)</f>
        <v>8100</v>
      </c>
      <c r="AJ251" s="233">
        <f>VLOOKUP(Primary_Order[[#This Row],[Product ID]],SKU[[SKU ID]:[Bottle Size(Ltr)]],6,0)*Primary_Order[[#This Row],[Free Quantity]]</f>
        <v>0</v>
      </c>
      <c r="AK251" s="206" t="str">
        <f>VLOOKUP(Primary_Order[[#This Row],[Product ID]],SKU[[SKU ID]:[Bottle Size(Ltr)]],4,0)</f>
        <v>4x4L</v>
      </c>
      <c r="AL251" s="231">
        <f>VLOOKUP(Primary_Order[[#This Row],[Product ID]],SKU[],14,0)*Primary_Order[[#This Row],[Total Qty]]</f>
        <v>152670.44</v>
      </c>
      <c r="AM251" s="231">
        <f>IF(Primary_Order[[#This Row],[Cost]]=0,0,Primary_Order[[#This Row],[Net Total(-15%)]]-Primary_Order[[#This Row],[Cost]])</f>
        <v>-17018.266086956515</v>
      </c>
      <c r="AN251" s="206" t="str">
        <f>"O-"&amp;Primary_Order[[#This Row],[Date]]&amp;"-"&amp;Primary_Order[[#This Row],[MMD ID]]</f>
        <v>O-45702-D-0027</v>
      </c>
      <c r="AO251" s="206" t="str" cm="1">
        <f t="array" ref="AO25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2" spans="1:41" x14ac:dyDescent="0.5">
      <c r="A252" s="206" t="s">
        <v>1205</v>
      </c>
      <c r="B252" s="230">
        <v>45701</v>
      </c>
      <c r="C252" s="206" t="s">
        <v>141</v>
      </c>
      <c r="D252" s="206" t="s">
        <v>1188</v>
      </c>
      <c r="E252" s="206" t="s">
        <v>655</v>
      </c>
      <c r="F252" s="206" t="s">
        <v>50</v>
      </c>
      <c r="G252" s="206" t="s">
        <v>87</v>
      </c>
      <c r="H252" s="206" t="s">
        <v>87</v>
      </c>
      <c r="I252" s="206" t="s">
        <v>1293</v>
      </c>
      <c r="J252" s="206" t="s">
        <v>52</v>
      </c>
      <c r="K252" s="206" t="s">
        <v>177</v>
      </c>
      <c r="L252" s="206" t="str">
        <f>VLOOKUP(Primary_Order[[#This Row],[Product ID]],SKU[],3,0)</f>
        <v>Tekma Turbo 20W50</v>
      </c>
      <c r="M252" s="231"/>
      <c r="N252" s="231">
        <v>0</v>
      </c>
      <c r="O252" s="231">
        <v>0</v>
      </c>
      <c r="P252" s="232" t="s">
        <v>50</v>
      </c>
      <c r="Q252" s="231">
        <v>4</v>
      </c>
      <c r="R252" s="231">
        <v>0</v>
      </c>
      <c r="S252" s="231">
        <v>4</v>
      </c>
      <c r="T252" s="231">
        <v>4</v>
      </c>
      <c r="U252" s="231">
        <v>0</v>
      </c>
      <c r="V252" s="231">
        <v>0</v>
      </c>
      <c r="W252" s="231">
        <v>0</v>
      </c>
      <c r="X252" s="231">
        <v>0</v>
      </c>
      <c r="Y252" s="231">
        <v>0</v>
      </c>
      <c r="Z252" s="206" t="s">
        <v>1100</v>
      </c>
      <c r="AA252" s="206" t="s">
        <v>50</v>
      </c>
      <c r="AB252" s="206" t="s">
        <v>1170</v>
      </c>
      <c r="AC252" s="230">
        <v>45704</v>
      </c>
      <c r="AD252" s="206" t="s">
        <v>1204</v>
      </c>
      <c r="AE252" s="206" t="str">
        <f>IFERROR(VLOOKUP(Primary_Order[[#This Row],[AM]],SP!$E$19:$F$23,2,0),Primary_Order[[#This Row],[AM]])</f>
        <v>Captive Sales</v>
      </c>
      <c r="AF252" s="206" t="str">
        <f>VLOOKUP(Primary_Order[[#This Row],[Product ID]],SKU[],10,0)</f>
        <v>Mineral</v>
      </c>
      <c r="AG252" s="206" t="str">
        <f>VLOOKUP(Primary_Order[[#This Row],[Product ID]],SKU[],9,0)</f>
        <v>HDDO</v>
      </c>
      <c r="AH252" s="206" t="str">
        <f>VLOOKUP(Primary_Order[[#This Row],[Product ID]],SKU[],12,0)</f>
        <v>20W50</v>
      </c>
      <c r="AI252" s="206" t="str">
        <f>VLOOKUP(Primary_Order[[#This Row],[Product ID]],SKU[],13,0)</f>
        <v>Tekma</v>
      </c>
      <c r="AJ252" s="233">
        <f>VLOOKUP(Primary_Order[[#This Row],[Product ID]],SKU[[SKU ID]:[Bottle Size(Ltr)]],6,0)*Primary_Order[[#This Row],[Free Quantity]]</f>
        <v>4</v>
      </c>
      <c r="AK252" s="206" t="str">
        <f>VLOOKUP(Primary_Order[[#This Row],[Product ID]],SKU[[SKU ID]:[Bottle Size(Ltr)]],4,0)</f>
        <v>20x1L</v>
      </c>
      <c r="AL252" s="231">
        <f>VLOOKUP(Primary_Order[[#This Row],[Product ID]],SKU[],14,0)*Primary_Order[[#This Row],[Total Qty]]</f>
        <v>1478.44</v>
      </c>
      <c r="AM252" s="231">
        <f>IF(Primary_Order[[#This Row],[Cost]]=0,0,Primary_Order[[#This Row],[Net Total(-15%)]]-Primary_Order[[#This Row],[Cost]])</f>
        <v>-1478.44</v>
      </c>
      <c r="AN252" s="206" t="str">
        <f>"O-"&amp;Primary_Order[[#This Row],[Date]]&amp;"-"&amp;Primary_Order[[#This Row],[MMD ID]]</f>
        <v>O-45701-D-0026</v>
      </c>
      <c r="AO252" s="206" t="str" cm="1">
        <f t="array" ref="AO25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3" spans="1:41" x14ac:dyDescent="0.5">
      <c r="A253" s="206" t="s">
        <v>1205</v>
      </c>
      <c r="B253" s="230">
        <v>45701</v>
      </c>
      <c r="C253" s="206" t="s">
        <v>141</v>
      </c>
      <c r="D253" s="206" t="s">
        <v>1188</v>
      </c>
      <c r="E253" s="206" t="s">
        <v>655</v>
      </c>
      <c r="F253" s="206" t="s">
        <v>50</v>
      </c>
      <c r="G253" s="206" t="s">
        <v>87</v>
      </c>
      <c r="H253" s="206" t="s">
        <v>87</v>
      </c>
      <c r="I253" s="206" t="s">
        <v>1293</v>
      </c>
      <c r="J253" s="206" t="s">
        <v>52</v>
      </c>
      <c r="K253" s="206" t="s">
        <v>185</v>
      </c>
      <c r="L253" s="206" t="str">
        <f>VLOOKUP(Primary_Order[[#This Row],[Product ID]],SKU[],3,0)</f>
        <v>Tekma Turbo 20W50</v>
      </c>
      <c r="M253" s="231"/>
      <c r="N253" s="231">
        <v>0</v>
      </c>
      <c r="O253" s="231">
        <v>0</v>
      </c>
      <c r="P253" s="232" t="s">
        <v>50</v>
      </c>
      <c r="Q253" s="231">
        <v>2</v>
      </c>
      <c r="R253" s="231">
        <v>0</v>
      </c>
      <c r="S253" s="231">
        <v>2</v>
      </c>
      <c r="T253" s="231">
        <v>22</v>
      </c>
      <c r="U253" s="231">
        <v>0</v>
      </c>
      <c r="V253" s="231">
        <v>0</v>
      </c>
      <c r="W253" s="231">
        <v>0</v>
      </c>
      <c r="X253" s="231">
        <v>0</v>
      </c>
      <c r="Y253" s="231">
        <v>0</v>
      </c>
      <c r="Z253" s="206" t="s">
        <v>1100</v>
      </c>
      <c r="AA253" s="206" t="s">
        <v>50</v>
      </c>
      <c r="AB253" s="206" t="s">
        <v>1170</v>
      </c>
      <c r="AC253" s="230">
        <v>45704</v>
      </c>
      <c r="AD253" s="206" t="s">
        <v>1204</v>
      </c>
      <c r="AE253" s="206" t="str">
        <f>IFERROR(VLOOKUP(Primary_Order[[#This Row],[AM]],SP!$E$19:$F$23,2,0),Primary_Order[[#This Row],[AM]])</f>
        <v>Captive Sales</v>
      </c>
      <c r="AF253" s="206" t="str">
        <f>VLOOKUP(Primary_Order[[#This Row],[Product ID]],SKU[],10,0)</f>
        <v>Mineral</v>
      </c>
      <c r="AG253" s="206" t="str">
        <f>VLOOKUP(Primary_Order[[#This Row],[Product ID]],SKU[],9,0)</f>
        <v>HDDO</v>
      </c>
      <c r="AH253" s="206" t="str">
        <f>VLOOKUP(Primary_Order[[#This Row],[Product ID]],SKU[],12,0)</f>
        <v>20W50</v>
      </c>
      <c r="AI253" s="206" t="str">
        <f>VLOOKUP(Primary_Order[[#This Row],[Product ID]],SKU[],13,0)</f>
        <v>Tekma</v>
      </c>
      <c r="AJ253" s="233">
        <f>VLOOKUP(Primary_Order[[#This Row],[Product ID]],SKU[[SKU ID]:[Bottle Size(Ltr)]],6,0)*Primary_Order[[#This Row],[Free Quantity]]</f>
        <v>22</v>
      </c>
      <c r="AK253" s="206" t="str">
        <f>VLOOKUP(Primary_Order[[#This Row],[Product ID]],SKU[[SKU ID]:[Bottle Size(Ltr)]],4,0)</f>
        <v>11L</v>
      </c>
      <c r="AL253" s="231">
        <f>VLOOKUP(Primary_Order[[#This Row],[Product ID]],SKU[],14,0)*Primary_Order[[#This Row],[Total Qty]]</f>
        <v>7787.14</v>
      </c>
      <c r="AM253" s="231">
        <f>IF(Primary_Order[[#This Row],[Cost]]=0,0,Primary_Order[[#This Row],[Net Total(-15%)]]-Primary_Order[[#This Row],[Cost]])</f>
        <v>-7787.14</v>
      </c>
      <c r="AN253" s="206" t="str">
        <f>"O-"&amp;Primary_Order[[#This Row],[Date]]&amp;"-"&amp;Primary_Order[[#This Row],[MMD ID]]</f>
        <v>O-45701-D-0026</v>
      </c>
      <c r="AO253" s="206" t="str" cm="1">
        <f t="array" ref="AO25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4" spans="1:41" x14ac:dyDescent="0.5">
      <c r="A254" s="206" t="s">
        <v>1205</v>
      </c>
      <c r="B254" s="230">
        <v>45701</v>
      </c>
      <c r="C254" s="206" t="s">
        <v>141</v>
      </c>
      <c r="D254" s="206" t="s">
        <v>1188</v>
      </c>
      <c r="E254" s="206" t="s">
        <v>655</v>
      </c>
      <c r="F254" s="206" t="s">
        <v>50</v>
      </c>
      <c r="G254" s="206" t="s">
        <v>87</v>
      </c>
      <c r="H254" s="206" t="s">
        <v>87</v>
      </c>
      <c r="I254" s="206" t="s">
        <v>1293</v>
      </c>
      <c r="J254" s="206" t="s">
        <v>52</v>
      </c>
      <c r="K254" s="206" t="s">
        <v>67</v>
      </c>
      <c r="L254" s="206" t="str">
        <f>VLOOKUP(Primary_Order[[#This Row],[Product ID]],SKU[],3,0)</f>
        <v>Tekma Turbo 20W50</v>
      </c>
      <c r="M254" s="231"/>
      <c r="N254" s="231">
        <v>0</v>
      </c>
      <c r="O254" s="231">
        <v>0</v>
      </c>
      <c r="P254" s="232" t="s">
        <v>50</v>
      </c>
      <c r="Q254" s="231">
        <v>2</v>
      </c>
      <c r="R254" s="231">
        <v>0</v>
      </c>
      <c r="S254" s="231">
        <v>2</v>
      </c>
      <c r="T254" s="231">
        <v>30</v>
      </c>
      <c r="U254" s="231">
        <v>0</v>
      </c>
      <c r="V254" s="231">
        <v>0</v>
      </c>
      <c r="W254" s="231">
        <v>0</v>
      </c>
      <c r="X254" s="231">
        <v>0</v>
      </c>
      <c r="Y254" s="231">
        <v>0</v>
      </c>
      <c r="Z254" s="206" t="s">
        <v>1100</v>
      </c>
      <c r="AA254" s="206" t="s">
        <v>50</v>
      </c>
      <c r="AB254" s="206" t="s">
        <v>1170</v>
      </c>
      <c r="AC254" s="230">
        <v>45704</v>
      </c>
      <c r="AD254" s="206" t="s">
        <v>1204</v>
      </c>
      <c r="AE254" s="206" t="str">
        <f>IFERROR(VLOOKUP(Primary_Order[[#This Row],[AM]],SP!$E$19:$F$23,2,0),Primary_Order[[#This Row],[AM]])</f>
        <v>Captive Sales</v>
      </c>
      <c r="AF254" s="206" t="str">
        <f>VLOOKUP(Primary_Order[[#This Row],[Product ID]],SKU[],10,0)</f>
        <v>Mineral</v>
      </c>
      <c r="AG254" s="206" t="str">
        <f>VLOOKUP(Primary_Order[[#This Row],[Product ID]],SKU[],9,0)</f>
        <v>HDDO</v>
      </c>
      <c r="AH254" s="206" t="str">
        <f>VLOOKUP(Primary_Order[[#This Row],[Product ID]],SKU[],12,0)</f>
        <v>20W50</v>
      </c>
      <c r="AI254" s="206" t="str">
        <f>VLOOKUP(Primary_Order[[#This Row],[Product ID]],SKU[],13,0)</f>
        <v>Tekma</v>
      </c>
      <c r="AJ254" s="233">
        <f>VLOOKUP(Primary_Order[[#This Row],[Product ID]],SKU[[SKU ID]:[Bottle Size(Ltr)]],6,0)*Primary_Order[[#This Row],[Free Quantity]]</f>
        <v>30</v>
      </c>
      <c r="AK254" s="206" t="str">
        <f>VLOOKUP(Primary_Order[[#This Row],[Product ID]],SKU[[SKU ID]:[Bottle Size(Ltr)]],4,0)</f>
        <v>15L</v>
      </c>
      <c r="AL254" s="231">
        <f>VLOOKUP(Primary_Order[[#This Row],[Product ID]],SKU[],14,0)*Primary_Order[[#This Row],[Total Qty]]</f>
        <v>10110.08</v>
      </c>
      <c r="AM254" s="231">
        <f>IF(Primary_Order[[#This Row],[Cost]]=0,0,Primary_Order[[#This Row],[Net Total(-15%)]]-Primary_Order[[#This Row],[Cost]])</f>
        <v>-10110.08</v>
      </c>
      <c r="AN254" s="206" t="str">
        <f>"O-"&amp;Primary_Order[[#This Row],[Date]]&amp;"-"&amp;Primary_Order[[#This Row],[MMD ID]]</f>
        <v>O-45701-D-0026</v>
      </c>
      <c r="AO254" s="206" t="str" cm="1">
        <f t="array" ref="AO25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5" spans="1:41" x14ac:dyDescent="0.5">
      <c r="A255" s="206" t="s">
        <v>1205</v>
      </c>
      <c r="B255" s="230">
        <v>45701</v>
      </c>
      <c r="C255" s="206" t="s">
        <v>141</v>
      </c>
      <c r="D255" s="206" t="s">
        <v>1188</v>
      </c>
      <c r="E255" s="206" t="s">
        <v>655</v>
      </c>
      <c r="F255" s="206" t="s">
        <v>50</v>
      </c>
      <c r="G255" s="206" t="s">
        <v>87</v>
      </c>
      <c r="H255" s="206" t="s">
        <v>87</v>
      </c>
      <c r="I255" s="206" t="s">
        <v>1293</v>
      </c>
      <c r="J255" s="206" t="s">
        <v>52</v>
      </c>
      <c r="K255" s="206" t="s">
        <v>160</v>
      </c>
      <c r="L255" s="206" t="str">
        <f>VLOOKUP(Primary_Order[[#This Row],[Product ID]],SKU[],3,0)</f>
        <v>Tekma Turbo 20W50</v>
      </c>
      <c r="M255" s="231"/>
      <c r="N255" s="231">
        <v>0</v>
      </c>
      <c r="O255" s="231">
        <v>0</v>
      </c>
      <c r="P255" s="232" t="s">
        <v>50</v>
      </c>
      <c r="Q255" s="231">
        <v>2</v>
      </c>
      <c r="R255" s="231">
        <v>0</v>
      </c>
      <c r="S255" s="231">
        <v>2</v>
      </c>
      <c r="T255" s="231">
        <v>10</v>
      </c>
      <c r="U255" s="231">
        <v>0</v>
      </c>
      <c r="V255" s="231">
        <v>0</v>
      </c>
      <c r="W255" s="231">
        <v>0</v>
      </c>
      <c r="X255" s="231">
        <v>0</v>
      </c>
      <c r="Y255" s="231">
        <v>0</v>
      </c>
      <c r="Z255" s="206" t="s">
        <v>1100</v>
      </c>
      <c r="AA255" s="206" t="s">
        <v>50</v>
      </c>
      <c r="AB255" s="206" t="s">
        <v>1170</v>
      </c>
      <c r="AC255" s="230">
        <v>45704</v>
      </c>
      <c r="AD255" s="206" t="s">
        <v>1204</v>
      </c>
      <c r="AE255" s="206" t="str">
        <f>IFERROR(VLOOKUP(Primary_Order[[#This Row],[AM]],SP!$E$19:$F$23,2,0),Primary_Order[[#This Row],[AM]])</f>
        <v>Captive Sales</v>
      </c>
      <c r="AF255" s="206" t="str">
        <f>VLOOKUP(Primary_Order[[#This Row],[Product ID]],SKU[],10,0)</f>
        <v>Mineral</v>
      </c>
      <c r="AG255" s="206" t="str">
        <f>VLOOKUP(Primary_Order[[#This Row],[Product ID]],SKU[],9,0)</f>
        <v>HDDO</v>
      </c>
      <c r="AH255" s="206" t="str">
        <f>VLOOKUP(Primary_Order[[#This Row],[Product ID]],SKU[],12,0)</f>
        <v>20W50</v>
      </c>
      <c r="AI255" s="206" t="str">
        <f>VLOOKUP(Primary_Order[[#This Row],[Product ID]],SKU[],13,0)</f>
        <v>Tekma</v>
      </c>
      <c r="AJ255" s="233">
        <f>VLOOKUP(Primary_Order[[#This Row],[Product ID]],SKU[[SKU ID]:[Bottle Size(Ltr)]],6,0)*Primary_Order[[#This Row],[Free Quantity]]</f>
        <v>10</v>
      </c>
      <c r="AK255" s="206" t="str">
        <f>VLOOKUP(Primary_Order[[#This Row],[Product ID]],SKU[[SKU ID]:[Bottle Size(Ltr)]],4,0)</f>
        <v>4x5L</v>
      </c>
      <c r="AL255" s="231">
        <f>VLOOKUP(Primary_Order[[#This Row],[Product ID]],SKU[],14,0)*Primary_Order[[#This Row],[Total Qty]]</f>
        <v>3660.3</v>
      </c>
      <c r="AM255" s="231">
        <f>IF(Primary_Order[[#This Row],[Cost]]=0,0,Primary_Order[[#This Row],[Net Total(-15%)]]-Primary_Order[[#This Row],[Cost]])</f>
        <v>-3660.3</v>
      </c>
      <c r="AN255" s="206" t="str">
        <f>"O-"&amp;Primary_Order[[#This Row],[Date]]&amp;"-"&amp;Primary_Order[[#This Row],[MMD ID]]</f>
        <v>O-45701-D-0026</v>
      </c>
      <c r="AO255" s="206" t="str" cm="1">
        <f t="array" ref="AO25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6" spans="1:41" x14ac:dyDescent="0.5">
      <c r="A256" s="206" t="s">
        <v>1205</v>
      </c>
      <c r="B256" s="230">
        <v>45701</v>
      </c>
      <c r="C256" s="206" t="s">
        <v>141</v>
      </c>
      <c r="D256" s="206" t="s">
        <v>1188</v>
      </c>
      <c r="E256" s="206" t="s">
        <v>655</v>
      </c>
      <c r="F256" s="206" t="s">
        <v>50</v>
      </c>
      <c r="G256" s="206" t="s">
        <v>87</v>
      </c>
      <c r="H256" s="206" t="s">
        <v>87</v>
      </c>
      <c r="I256" s="206" t="s">
        <v>1293</v>
      </c>
      <c r="J256" s="206" t="s">
        <v>52</v>
      </c>
      <c r="K256" s="206" t="s">
        <v>159</v>
      </c>
      <c r="L256" s="206" t="str">
        <f>VLOOKUP(Primary_Order[[#This Row],[Product ID]],SKU[],3,0)</f>
        <v>Tekma Turbo 20W50</v>
      </c>
      <c r="M256" s="231"/>
      <c r="N256" s="231">
        <v>0</v>
      </c>
      <c r="O256" s="231">
        <v>0</v>
      </c>
      <c r="P256" s="232" t="s">
        <v>50</v>
      </c>
      <c r="Q256" s="231">
        <v>2</v>
      </c>
      <c r="R256" s="231">
        <v>0</v>
      </c>
      <c r="S256" s="231">
        <v>2</v>
      </c>
      <c r="T256" s="231">
        <v>36</v>
      </c>
      <c r="U256" s="231">
        <v>0</v>
      </c>
      <c r="V256" s="231">
        <v>0</v>
      </c>
      <c r="W256" s="231">
        <v>0</v>
      </c>
      <c r="X256" s="231">
        <v>0</v>
      </c>
      <c r="Y256" s="231">
        <v>0</v>
      </c>
      <c r="Z256" s="206" t="s">
        <v>1100</v>
      </c>
      <c r="AA256" s="206" t="s">
        <v>50</v>
      </c>
      <c r="AB256" s="206" t="s">
        <v>1170</v>
      </c>
      <c r="AC256" s="230">
        <v>45704</v>
      </c>
      <c r="AD256" s="206" t="s">
        <v>1204</v>
      </c>
      <c r="AE256" s="206" t="str">
        <f>IFERROR(VLOOKUP(Primary_Order[[#This Row],[AM]],SP!$E$19:$F$23,2,0),Primary_Order[[#This Row],[AM]])</f>
        <v>Captive Sales</v>
      </c>
      <c r="AF256" s="206" t="str">
        <f>VLOOKUP(Primary_Order[[#This Row],[Product ID]],SKU[],10,0)</f>
        <v>Mineral</v>
      </c>
      <c r="AG256" s="206" t="str">
        <f>VLOOKUP(Primary_Order[[#This Row],[Product ID]],SKU[],9,0)</f>
        <v>HDDO</v>
      </c>
      <c r="AH256" s="206" t="str">
        <f>VLOOKUP(Primary_Order[[#This Row],[Product ID]],SKU[],12,0)</f>
        <v>20W50</v>
      </c>
      <c r="AI256" s="206" t="str">
        <f>VLOOKUP(Primary_Order[[#This Row],[Product ID]],SKU[],13,0)</f>
        <v>Tekma</v>
      </c>
      <c r="AJ256" s="233">
        <f>VLOOKUP(Primary_Order[[#This Row],[Product ID]],SKU[[SKU ID]:[Bottle Size(Ltr)]],6,0)*Primary_Order[[#This Row],[Free Quantity]]</f>
        <v>36</v>
      </c>
      <c r="AK256" s="206" t="str">
        <f>VLOOKUP(Primary_Order[[#This Row],[Product ID]],SKU[[SKU ID]:[Bottle Size(Ltr)]],4,0)</f>
        <v>18L</v>
      </c>
      <c r="AL256" s="231">
        <f>VLOOKUP(Primary_Order[[#This Row],[Product ID]],SKU[],14,0)*Primary_Order[[#This Row],[Total Qty]]</f>
        <v>12059.48</v>
      </c>
      <c r="AM256" s="231">
        <f>IF(Primary_Order[[#This Row],[Cost]]=0,0,Primary_Order[[#This Row],[Net Total(-15%)]]-Primary_Order[[#This Row],[Cost]])</f>
        <v>-12059.48</v>
      </c>
      <c r="AN256" s="206" t="str">
        <f>"O-"&amp;Primary_Order[[#This Row],[Date]]&amp;"-"&amp;Primary_Order[[#This Row],[MMD ID]]</f>
        <v>O-45701-D-0026</v>
      </c>
      <c r="AO256" s="206" t="str" cm="1">
        <f t="array" ref="AO25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7" spans="1:41" x14ac:dyDescent="0.5">
      <c r="A257" s="206" t="s">
        <v>1217</v>
      </c>
      <c r="B257" s="230">
        <v>45707</v>
      </c>
      <c r="C257" s="206" t="s">
        <v>97</v>
      </c>
      <c r="D257" s="206" t="s">
        <v>1210</v>
      </c>
      <c r="E257" s="206" t="s">
        <v>1211</v>
      </c>
      <c r="F257" s="206" t="s">
        <v>1218</v>
      </c>
      <c r="G257" s="206" t="s">
        <v>709</v>
      </c>
      <c r="H257" s="206" t="s">
        <v>40</v>
      </c>
      <c r="I257" s="206" t="s">
        <v>98</v>
      </c>
      <c r="J257" s="206" t="s">
        <v>452</v>
      </c>
      <c r="K257" s="206" t="s">
        <v>31</v>
      </c>
      <c r="L257" s="206" t="str">
        <f>VLOOKUP(Primary_Order[[#This Row],[Product ID]],SKU[],3,0)</f>
        <v>3000 4T PLUS 10W30</v>
      </c>
      <c r="M257" s="231">
        <v>60</v>
      </c>
      <c r="N257" s="231">
        <v>540</v>
      </c>
      <c r="O257" s="231">
        <v>60</v>
      </c>
      <c r="P257" s="232">
        <v>9.2592592592593004E-3</v>
      </c>
      <c r="Q257" s="231">
        <v>0</v>
      </c>
      <c r="R257" s="231">
        <v>535</v>
      </c>
      <c r="S257" s="231">
        <v>60</v>
      </c>
      <c r="T257" s="231">
        <v>60</v>
      </c>
      <c r="U257" s="231">
        <v>32400</v>
      </c>
      <c r="V257" s="231">
        <v>0</v>
      </c>
      <c r="W257" s="231">
        <v>32100</v>
      </c>
      <c r="X257" s="231">
        <v>4186.95652173913</v>
      </c>
      <c r="Y257" s="231">
        <v>27913.043478260868</v>
      </c>
      <c r="Z257" s="206" t="s">
        <v>882</v>
      </c>
      <c r="AA257" s="206">
        <v>642</v>
      </c>
      <c r="AB257" s="206" t="s">
        <v>749</v>
      </c>
      <c r="AC257" s="230">
        <v>45707</v>
      </c>
      <c r="AD257" s="206" t="s">
        <v>1212</v>
      </c>
      <c r="AE257" s="206" t="str">
        <f>IFERROR(VLOOKUP(Primary_Order[[#This Row],[AM]],SP!$E$19:$F$23,2,0),Primary_Order[[#This Row],[AM]])</f>
        <v>Central</v>
      </c>
      <c r="AF257" s="206" t="str">
        <f>VLOOKUP(Primary_Order[[#This Row],[Product ID]],SKU[],10,0)</f>
        <v>Mineral</v>
      </c>
      <c r="AG257" s="206" t="str">
        <f>VLOOKUP(Primary_Order[[#This Row],[Product ID]],SKU[],9,0)</f>
        <v>MCO</v>
      </c>
      <c r="AH257" s="206" t="str">
        <f>VLOOKUP(Primary_Order[[#This Row],[Product ID]],SKU[],12,0)</f>
        <v>10W30</v>
      </c>
      <c r="AI257" s="206" t="str">
        <f>VLOOKUP(Primary_Order[[#This Row],[Product ID]],SKU[],13,0)</f>
        <v>3000</v>
      </c>
      <c r="AJ257" s="233">
        <f>VLOOKUP(Primary_Order[[#This Row],[Product ID]],SKU[[SKU ID]:[Bottle Size(Ltr)]],6,0)*Primary_Order[[#This Row],[Free Quantity]]</f>
        <v>0</v>
      </c>
      <c r="AK257" s="206" t="str">
        <f>VLOOKUP(Primary_Order[[#This Row],[Product ID]],SKU[[SKU ID]:[Bottle Size(Ltr)]],4,0)</f>
        <v>20x1L</v>
      </c>
      <c r="AL257" s="231">
        <f>VLOOKUP(Primary_Order[[#This Row],[Product ID]],SKU[],14,0)*Primary_Order[[#This Row],[Total Qty]]</f>
        <v>22759.8</v>
      </c>
      <c r="AM257" s="231">
        <f>IF(Primary_Order[[#This Row],[Cost]]=0,0,Primary_Order[[#This Row],[Net Total(-15%)]]-Primary_Order[[#This Row],[Cost]])</f>
        <v>5153.2434782608689</v>
      </c>
      <c r="AN257" s="206" t="str">
        <f>"O-"&amp;Primary_Order[[#This Row],[Date]]&amp;"-"&amp;Primary_Order[[#This Row],[MMD ID]]</f>
        <v>O-45707-D-0001</v>
      </c>
      <c r="AO257" s="206" t="str" cm="1">
        <f t="array" ref="AO25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8" spans="1:41" x14ac:dyDescent="0.5">
      <c r="A258" s="206" t="s">
        <v>1217</v>
      </c>
      <c r="B258" s="230">
        <v>45707</v>
      </c>
      <c r="C258" s="206" t="s">
        <v>97</v>
      </c>
      <c r="D258" s="206" t="s">
        <v>1210</v>
      </c>
      <c r="E258" s="206" t="s">
        <v>1211</v>
      </c>
      <c r="F258" s="206" t="s">
        <v>1218</v>
      </c>
      <c r="G258" s="206" t="s">
        <v>709</v>
      </c>
      <c r="H258" s="206" t="s">
        <v>40</v>
      </c>
      <c r="I258" s="206" t="s">
        <v>98</v>
      </c>
      <c r="J258" s="206" t="s">
        <v>452</v>
      </c>
      <c r="K258" s="206" t="s">
        <v>53</v>
      </c>
      <c r="L258" s="206" t="str">
        <f>VLOOKUP(Primary_Order[[#This Row],[Product ID]],SKU[],3,0)</f>
        <v>3000 4T PLUS 20W40</v>
      </c>
      <c r="M258" s="231">
        <v>60</v>
      </c>
      <c r="N258" s="231">
        <v>535</v>
      </c>
      <c r="O258" s="231">
        <v>60</v>
      </c>
      <c r="P258" s="232">
        <v>9.3457943925233655E-3</v>
      </c>
      <c r="Q258" s="231">
        <v>0</v>
      </c>
      <c r="R258" s="231">
        <v>530</v>
      </c>
      <c r="S258" s="231">
        <v>60</v>
      </c>
      <c r="T258" s="231">
        <v>60</v>
      </c>
      <c r="U258" s="231">
        <v>32100</v>
      </c>
      <c r="V258" s="231">
        <v>0</v>
      </c>
      <c r="W258" s="231">
        <v>31800</v>
      </c>
      <c r="X258" s="231">
        <v>4147.826086956522</v>
      </c>
      <c r="Y258" s="231">
        <v>27652.17391304348</v>
      </c>
      <c r="Z258" s="206" t="s">
        <v>882</v>
      </c>
      <c r="AA258" s="206">
        <v>642</v>
      </c>
      <c r="AB258" s="206" t="s">
        <v>749</v>
      </c>
      <c r="AC258" s="230">
        <v>45707</v>
      </c>
      <c r="AD258" s="206" t="s">
        <v>1212</v>
      </c>
      <c r="AE258" s="206" t="str">
        <f>IFERROR(VLOOKUP(Primary_Order[[#This Row],[AM]],SP!$E$19:$F$23,2,0),Primary_Order[[#This Row],[AM]])</f>
        <v>Central</v>
      </c>
      <c r="AF258" s="206" t="str">
        <f>VLOOKUP(Primary_Order[[#This Row],[Product ID]],SKU[],10,0)</f>
        <v>Mineral</v>
      </c>
      <c r="AG258" s="206" t="str">
        <f>VLOOKUP(Primary_Order[[#This Row],[Product ID]],SKU[],9,0)</f>
        <v>MCO</v>
      </c>
      <c r="AH258" s="206" t="str">
        <f>VLOOKUP(Primary_Order[[#This Row],[Product ID]],SKU[],12,0)</f>
        <v>20W40</v>
      </c>
      <c r="AI258" s="206" t="str">
        <f>VLOOKUP(Primary_Order[[#This Row],[Product ID]],SKU[],13,0)</f>
        <v>3000</v>
      </c>
      <c r="AJ258" s="233">
        <f>VLOOKUP(Primary_Order[[#This Row],[Product ID]],SKU[[SKU ID]:[Bottle Size(Ltr)]],6,0)*Primary_Order[[#This Row],[Free Quantity]]</f>
        <v>0</v>
      </c>
      <c r="AK258" s="206" t="str">
        <f>VLOOKUP(Primary_Order[[#This Row],[Product ID]],SKU[[SKU ID]:[Bottle Size(Ltr)]],4,0)</f>
        <v>20x1L</v>
      </c>
      <c r="AL258" s="231">
        <f>VLOOKUP(Primary_Order[[#This Row],[Product ID]],SKU[],14,0)*Primary_Order[[#This Row],[Total Qty]]</f>
        <v>24765.599999999999</v>
      </c>
      <c r="AM258" s="231">
        <f>IF(Primary_Order[[#This Row],[Cost]]=0,0,Primary_Order[[#This Row],[Net Total(-15%)]]-Primary_Order[[#This Row],[Cost]])</f>
        <v>2886.5739130434813</v>
      </c>
      <c r="AN258" s="206" t="str">
        <f>"O-"&amp;Primary_Order[[#This Row],[Date]]&amp;"-"&amp;Primary_Order[[#This Row],[MMD ID]]</f>
        <v>O-45707-D-0001</v>
      </c>
      <c r="AO258" s="206" t="str" cm="1">
        <f t="array" ref="AO25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59" spans="1:41" x14ac:dyDescent="0.5">
      <c r="A259" s="206" t="s">
        <v>1217</v>
      </c>
      <c r="B259" s="230">
        <v>45707</v>
      </c>
      <c r="C259" s="206" t="s">
        <v>97</v>
      </c>
      <c r="D259" s="206" t="s">
        <v>1210</v>
      </c>
      <c r="E259" s="206" t="s">
        <v>1211</v>
      </c>
      <c r="F259" s="206" t="s">
        <v>1218</v>
      </c>
      <c r="G259" s="206" t="s">
        <v>709</v>
      </c>
      <c r="H259" s="206" t="s">
        <v>40</v>
      </c>
      <c r="I259" s="206" t="s">
        <v>98</v>
      </c>
      <c r="J259" s="206" t="s">
        <v>452</v>
      </c>
      <c r="K259" s="206" t="s">
        <v>81</v>
      </c>
      <c r="L259" s="206" t="str">
        <f>VLOOKUP(Primary_Order[[#This Row],[Product ID]],SKU[],3,0)</f>
        <v>3000 4T 20W50</v>
      </c>
      <c r="M259" s="231">
        <v>40</v>
      </c>
      <c r="N259" s="231">
        <v>495</v>
      </c>
      <c r="O259" s="231">
        <v>40</v>
      </c>
      <c r="P259" s="232">
        <v>1.0101010101010055E-2</v>
      </c>
      <c r="Q259" s="231">
        <v>0</v>
      </c>
      <c r="R259" s="231">
        <v>490</v>
      </c>
      <c r="S259" s="231">
        <v>40</v>
      </c>
      <c r="T259" s="231">
        <v>40</v>
      </c>
      <c r="U259" s="231">
        <v>19800</v>
      </c>
      <c r="V259" s="231">
        <v>0</v>
      </c>
      <c r="W259" s="231">
        <v>19600</v>
      </c>
      <c r="X259" s="231">
        <v>2556.521739130435</v>
      </c>
      <c r="Y259" s="231">
        <v>17043.478260869564</v>
      </c>
      <c r="Z259" s="206" t="s">
        <v>882</v>
      </c>
      <c r="AA259" s="206">
        <v>642</v>
      </c>
      <c r="AB259" s="206" t="s">
        <v>749</v>
      </c>
      <c r="AC259" s="230">
        <v>45707</v>
      </c>
      <c r="AD259" s="206" t="s">
        <v>1212</v>
      </c>
      <c r="AE259" s="206" t="str">
        <f>IFERROR(VLOOKUP(Primary_Order[[#This Row],[AM]],SP!$E$19:$F$23,2,0),Primary_Order[[#This Row],[AM]])</f>
        <v>Central</v>
      </c>
      <c r="AF259" s="206" t="str">
        <f>VLOOKUP(Primary_Order[[#This Row],[Product ID]],SKU[],10,0)</f>
        <v>Mineral</v>
      </c>
      <c r="AG259" s="206" t="str">
        <f>VLOOKUP(Primary_Order[[#This Row],[Product ID]],SKU[],9,0)</f>
        <v>MCO</v>
      </c>
      <c r="AH259" s="206" t="str">
        <f>VLOOKUP(Primary_Order[[#This Row],[Product ID]],SKU[],12,0)</f>
        <v>20W50</v>
      </c>
      <c r="AI259" s="206" t="str">
        <f>VLOOKUP(Primary_Order[[#This Row],[Product ID]],SKU[],13,0)</f>
        <v>3000</v>
      </c>
      <c r="AJ259" s="233">
        <f>VLOOKUP(Primary_Order[[#This Row],[Product ID]],SKU[[SKU ID]:[Bottle Size(Ltr)]],6,0)*Primary_Order[[#This Row],[Free Quantity]]</f>
        <v>0</v>
      </c>
      <c r="AK259" s="206" t="str">
        <f>VLOOKUP(Primary_Order[[#This Row],[Product ID]],SKU[[SKU ID]:[Bottle Size(Ltr)]],4,0)</f>
        <v>20x1L</v>
      </c>
      <c r="AL259" s="231">
        <f>VLOOKUP(Primary_Order[[#This Row],[Product ID]],SKU[],14,0)*Primary_Order[[#This Row],[Total Qty]]</f>
        <v>14596.800000000001</v>
      </c>
      <c r="AM259" s="231">
        <f>IF(Primary_Order[[#This Row],[Cost]]=0,0,Primary_Order[[#This Row],[Net Total(-15%)]]-Primary_Order[[#This Row],[Cost]])</f>
        <v>2446.678260869563</v>
      </c>
      <c r="AN259" s="206" t="str">
        <f>"O-"&amp;Primary_Order[[#This Row],[Date]]&amp;"-"&amp;Primary_Order[[#This Row],[MMD ID]]</f>
        <v>O-45707-D-0001</v>
      </c>
      <c r="AO259" s="206" t="str" cm="1">
        <f t="array" ref="AO25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0" spans="1:41" x14ac:dyDescent="0.5">
      <c r="A260" s="206" t="s">
        <v>1219</v>
      </c>
      <c r="B260" s="230">
        <v>45707</v>
      </c>
      <c r="C260" s="206" t="s">
        <v>108</v>
      </c>
      <c r="D260" s="206" t="s">
        <v>1213</v>
      </c>
      <c r="E260" s="206" t="s">
        <v>1214</v>
      </c>
      <c r="F260" s="206" t="s">
        <v>1220</v>
      </c>
      <c r="G260" s="206" t="s">
        <v>280</v>
      </c>
      <c r="H260" s="206" t="s">
        <v>84</v>
      </c>
      <c r="I260" s="206" t="s">
        <v>109</v>
      </c>
      <c r="J260" s="206" t="s">
        <v>282</v>
      </c>
      <c r="K260" s="206" t="s">
        <v>54</v>
      </c>
      <c r="L260" s="206" t="str">
        <f>VLOOKUP(Primary_Order[[#This Row],[Product ID]],SKU[],3,0)</f>
        <v>3000 4T PLUS 10W40</v>
      </c>
      <c r="M260" s="231">
        <v>20</v>
      </c>
      <c r="N260" s="231">
        <v>550</v>
      </c>
      <c r="O260" s="231">
        <v>20</v>
      </c>
      <c r="P260" s="232">
        <v>9.0909090909090384E-3</v>
      </c>
      <c r="Q260" s="231">
        <v>0</v>
      </c>
      <c r="R260" s="231">
        <v>545</v>
      </c>
      <c r="S260" s="231">
        <v>20</v>
      </c>
      <c r="T260" s="231">
        <v>20</v>
      </c>
      <c r="U260" s="231">
        <v>11000</v>
      </c>
      <c r="V260" s="231">
        <v>0</v>
      </c>
      <c r="W260" s="231">
        <v>10900</v>
      </c>
      <c r="X260" s="231">
        <v>1421.7391304347825</v>
      </c>
      <c r="Y260" s="231">
        <v>9478.2608695652179</v>
      </c>
      <c r="Z260" s="206" t="s">
        <v>882</v>
      </c>
      <c r="AA260" s="206">
        <v>643</v>
      </c>
      <c r="AB260" s="206" t="s">
        <v>749</v>
      </c>
      <c r="AC260" s="230">
        <v>45707</v>
      </c>
      <c r="AD260" s="206" t="s">
        <v>50</v>
      </c>
      <c r="AE260" s="206" t="str">
        <f>IFERROR(VLOOKUP(Primary_Order[[#This Row],[AM]],SP!$E$19:$F$23,2,0),Primary_Order[[#This Row],[AM]])</f>
        <v>Northern</v>
      </c>
      <c r="AF260" s="206" t="str">
        <f>VLOOKUP(Primary_Order[[#This Row],[Product ID]],SKU[],10,0)</f>
        <v>Mineral</v>
      </c>
      <c r="AG260" s="206" t="str">
        <f>VLOOKUP(Primary_Order[[#This Row],[Product ID]],SKU[],9,0)</f>
        <v>MCO</v>
      </c>
      <c r="AH260" s="206" t="str">
        <f>VLOOKUP(Primary_Order[[#This Row],[Product ID]],SKU[],12,0)</f>
        <v>10W40</v>
      </c>
      <c r="AI260" s="206" t="str">
        <f>VLOOKUP(Primary_Order[[#This Row],[Product ID]],SKU[],13,0)</f>
        <v>3000</v>
      </c>
      <c r="AJ260" s="233">
        <f>VLOOKUP(Primary_Order[[#This Row],[Product ID]],SKU[[SKU ID]:[Bottle Size(Ltr)]],6,0)*Primary_Order[[#This Row],[Free Quantity]]</f>
        <v>0</v>
      </c>
      <c r="AK260" s="206" t="str">
        <f>VLOOKUP(Primary_Order[[#This Row],[Product ID]],SKU[[SKU ID]:[Bottle Size(Ltr)]],4,0)</f>
        <v>20x1L</v>
      </c>
      <c r="AL260" s="231">
        <f>VLOOKUP(Primary_Order[[#This Row],[Product ID]],SKU[],14,0)*Primary_Order[[#This Row],[Total Qty]]</f>
        <v>7697</v>
      </c>
      <c r="AM260" s="231">
        <f>IF(Primary_Order[[#This Row],[Cost]]=0,0,Primary_Order[[#This Row],[Net Total(-15%)]]-Primary_Order[[#This Row],[Cost]])</f>
        <v>1781.2608695652179</v>
      </c>
      <c r="AN260" s="206" t="str">
        <f>"O-"&amp;Primary_Order[[#This Row],[Date]]&amp;"-"&amp;Primary_Order[[#This Row],[MMD ID]]</f>
        <v>O-45707-D-0023</v>
      </c>
      <c r="AO260" s="206" t="str" cm="1">
        <f t="array" ref="AO26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1" spans="1:41" x14ac:dyDescent="0.5">
      <c r="A261" s="206" t="s">
        <v>1219</v>
      </c>
      <c r="B261" s="230">
        <v>45707</v>
      </c>
      <c r="C261" s="206" t="s">
        <v>108</v>
      </c>
      <c r="D261" s="206" t="s">
        <v>1213</v>
      </c>
      <c r="E261" s="206" t="s">
        <v>1214</v>
      </c>
      <c r="F261" s="206" t="s">
        <v>1220</v>
      </c>
      <c r="G261" s="206" t="s">
        <v>280</v>
      </c>
      <c r="H261" s="206" t="s">
        <v>84</v>
      </c>
      <c r="I261" s="206" t="s">
        <v>109</v>
      </c>
      <c r="J261" s="206" t="s">
        <v>282</v>
      </c>
      <c r="K261" s="206" t="s">
        <v>81</v>
      </c>
      <c r="L261" s="206" t="str">
        <f>VLOOKUP(Primary_Order[[#This Row],[Product ID]],SKU[],3,0)</f>
        <v>3000 4T 20W50</v>
      </c>
      <c r="M261" s="231">
        <v>100</v>
      </c>
      <c r="N261" s="231">
        <v>495</v>
      </c>
      <c r="O261" s="231">
        <v>100</v>
      </c>
      <c r="P261" s="232">
        <v>2.4242424242424288E-2</v>
      </c>
      <c r="Q261" s="231">
        <v>0</v>
      </c>
      <c r="R261" s="231">
        <v>483</v>
      </c>
      <c r="S261" s="231">
        <v>100</v>
      </c>
      <c r="T261" s="231">
        <v>100</v>
      </c>
      <c r="U261" s="231">
        <v>49500</v>
      </c>
      <c r="V261" s="231">
        <v>0</v>
      </c>
      <c r="W261" s="231">
        <v>48300</v>
      </c>
      <c r="X261" s="231">
        <v>6300</v>
      </c>
      <c r="Y261" s="231">
        <v>42000</v>
      </c>
      <c r="Z261" s="206" t="s">
        <v>882</v>
      </c>
      <c r="AA261" s="206">
        <v>643</v>
      </c>
      <c r="AB261" s="206" t="s">
        <v>749</v>
      </c>
      <c r="AC261" s="230">
        <v>45707</v>
      </c>
      <c r="AD261" s="206" t="s">
        <v>50</v>
      </c>
      <c r="AE261" s="206" t="str">
        <f>IFERROR(VLOOKUP(Primary_Order[[#This Row],[AM]],SP!$E$19:$F$23,2,0),Primary_Order[[#This Row],[AM]])</f>
        <v>Northern</v>
      </c>
      <c r="AF261" s="206" t="str">
        <f>VLOOKUP(Primary_Order[[#This Row],[Product ID]],SKU[],10,0)</f>
        <v>Mineral</v>
      </c>
      <c r="AG261" s="206" t="str">
        <f>VLOOKUP(Primary_Order[[#This Row],[Product ID]],SKU[],9,0)</f>
        <v>MCO</v>
      </c>
      <c r="AH261" s="206" t="str">
        <f>VLOOKUP(Primary_Order[[#This Row],[Product ID]],SKU[],12,0)</f>
        <v>20W50</v>
      </c>
      <c r="AI261" s="206" t="str">
        <f>VLOOKUP(Primary_Order[[#This Row],[Product ID]],SKU[],13,0)</f>
        <v>3000</v>
      </c>
      <c r="AJ261" s="233">
        <f>VLOOKUP(Primary_Order[[#This Row],[Product ID]],SKU[[SKU ID]:[Bottle Size(Ltr)]],6,0)*Primary_Order[[#This Row],[Free Quantity]]</f>
        <v>0</v>
      </c>
      <c r="AK261" s="206" t="str">
        <f>VLOOKUP(Primary_Order[[#This Row],[Product ID]],SKU[[SKU ID]:[Bottle Size(Ltr)]],4,0)</f>
        <v>20x1L</v>
      </c>
      <c r="AL261" s="231">
        <f>VLOOKUP(Primary_Order[[#This Row],[Product ID]],SKU[],14,0)*Primary_Order[[#This Row],[Total Qty]]</f>
        <v>36492</v>
      </c>
      <c r="AM261" s="231">
        <f>IF(Primary_Order[[#This Row],[Cost]]=0,0,Primary_Order[[#This Row],[Net Total(-15%)]]-Primary_Order[[#This Row],[Cost]])</f>
        <v>5508</v>
      </c>
      <c r="AN261" s="206" t="str">
        <f>"O-"&amp;Primary_Order[[#This Row],[Date]]&amp;"-"&amp;Primary_Order[[#This Row],[MMD ID]]</f>
        <v>O-45707-D-0023</v>
      </c>
      <c r="AO261" s="206" t="str" cm="1">
        <f t="array" ref="AO26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2" spans="1:41" x14ac:dyDescent="0.5">
      <c r="A262" s="206" t="s">
        <v>1221</v>
      </c>
      <c r="B262" s="230">
        <v>45704</v>
      </c>
      <c r="C262" s="206" t="s">
        <v>108</v>
      </c>
      <c r="D262" s="206" t="s">
        <v>1193</v>
      </c>
      <c r="E262" s="206" t="s">
        <v>1194</v>
      </c>
      <c r="F262" s="206">
        <v>1713709479</v>
      </c>
      <c r="G262" s="206" t="s">
        <v>280</v>
      </c>
      <c r="H262" s="206" t="s">
        <v>84</v>
      </c>
      <c r="I262" s="206" t="s">
        <v>109</v>
      </c>
      <c r="J262" s="206" t="s">
        <v>282</v>
      </c>
      <c r="K262" s="206" t="s">
        <v>54</v>
      </c>
      <c r="L262" s="206" t="str">
        <f>VLOOKUP(Primary_Order[[#This Row],[Product ID]],SKU[],3,0)</f>
        <v>3000 4T PLUS 10W40</v>
      </c>
      <c r="M262" s="231">
        <v>60</v>
      </c>
      <c r="N262" s="231">
        <v>550</v>
      </c>
      <c r="O262" s="231">
        <v>60</v>
      </c>
      <c r="P262" s="232">
        <v>0</v>
      </c>
      <c r="Q262" s="231">
        <v>0</v>
      </c>
      <c r="R262" s="231">
        <v>550</v>
      </c>
      <c r="S262" s="231">
        <v>60</v>
      </c>
      <c r="T262" s="231">
        <v>60</v>
      </c>
      <c r="U262" s="231">
        <v>33000</v>
      </c>
      <c r="V262" s="231">
        <v>0</v>
      </c>
      <c r="W262" s="231">
        <v>33000</v>
      </c>
      <c r="X262" s="231">
        <v>4304.347826086957</v>
      </c>
      <c r="Y262" s="231">
        <v>28695.652173913044</v>
      </c>
      <c r="Z262" s="206" t="s">
        <v>882</v>
      </c>
      <c r="AA262" s="206">
        <v>637</v>
      </c>
      <c r="AB262" s="206" t="s">
        <v>749</v>
      </c>
      <c r="AC262" s="230">
        <v>45707</v>
      </c>
      <c r="AD262" s="206" t="s">
        <v>50</v>
      </c>
      <c r="AE262" s="206" t="str">
        <f>IFERROR(VLOOKUP(Primary_Order[[#This Row],[AM]],SP!$E$19:$F$23,2,0),Primary_Order[[#This Row],[AM]])</f>
        <v>Northern</v>
      </c>
      <c r="AF262" s="206" t="str">
        <f>VLOOKUP(Primary_Order[[#This Row],[Product ID]],SKU[],10,0)</f>
        <v>Mineral</v>
      </c>
      <c r="AG262" s="206" t="str">
        <f>VLOOKUP(Primary_Order[[#This Row],[Product ID]],SKU[],9,0)</f>
        <v>MCO</v>
      </c>
      <c r="AH262" s="206" t="str">
        <f>VLOOKUP(Primary_Order[[#This Row],[Product ID]],SKU[],12,0)</f>
        <v>10W40</v>
      </c>
      <c r="AI262" s="206" t="str">
        <f>VLOOKUP(Primary_Order[[#This Row],[Product ID]],SKU[],13,0)</f>
        <v>3000</v>
      </c>
      <c r="AJ262" s="233">
        <f>VLOOKUP(Primary_Order[[#This Row],[Product ID]],SKU[[SKU ID]:[Bottle Size(Ltr)]],6,0)*Primary_Order[[#This Row],[Free Quantity]]</f>
        <v>0</v>
      </c>
      <c r="AK262" s="206" t="str">
        <f>VLOOKUP(Primary_Order[[#This Row],[Product ID]],SKU[[SKU ID]:[Bottle Size(Ltr)]],4,0)</f>
        <v>20x1L</v>
      </c>
      <c r="AL262" s="231">
        <f>VLOOKUP(Primary_Order[[#This Row],[Product ID]],SKU[],14,0)*Primary_Order[[#This Row],[Total Qty]]</f>
        <v>23091</v>
      </c>
      <c r="AM262" s="231">
        <f>IF(Primary_Order[[#This Row],[Cost]]=0,0,Primary_Order[[#This Row],[Net Total(-15%)]]-Primary_Order[[#This Row],[Cost]])</f>
        <v>5604.652173913044</v>
      </c>
      <c r="AN262" s="206" t="str">
        <f>"O-"&amp;Primary_Order[[#This Row],[Date]]&amp;"-"&amp;Primary_Order[[#This Row],[MMD ID]]</f>
        <v>O-45704-D-0023</v>
      </c>
      <c r="AO262" s="206" t="str" cm="1">
        <f t="array" ref="AO26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3" spans="1:41" x14ac:dyDescent="0.5">
      <c r="A263" s="206" t="s">
        <v>1221</v>
      </c>
      <c r="B263" s="230">
        <v>45704</v>
      </c>
      <c r="C263" s="206" t="s">
        <v>108</v>
      </c>
      <c r="D263" s="206" t="s">
        <v>1193</v>
      </c>
      <c r="E263" s="206" t="s">
        <v>1194</v>
      </c>
      <c r="F263" s="206">
        <v>1713709479</v>
      </c>
      <c r="G263" s="206" t="s">
        <v>280</v>
      </c>
      <c r="H263" s="206" t="s">
        <v>84</v>
      </c>
      <c r="I263" s="206" t="s">
        <v>109</v>
      </c>
      <c r="J263" s="206" t="s">
        <v>282</v>
      </c>
      <c r="K263" s="206" t="s">
        <v>32</v>
      </c>
      <c r="L263" s="206" t="str">
        <f>VLOOKUP(Primary_Order[[#This Row],[Product ID]],SKU[],3,0)</f>
        <v>3000 4T PLUS 10W30</v>
      </c>
      <c r="M263" s="231">
        <v>20</v>
      </c>
      <c r="N263" s="231">
        <v>650</v>
      </c>
      <c r="O263" s="231">
        <v>24</v>
      </c>
      <c r="P263" s="232">
        <v>-2.2204460492503131E-16</v>
      </c>
      <c r="Q263" s="231">
        <v>0</v>
      </c>
      <c r="R263" s="231">
        <v>650.00000000000011</v>
      </c>
      <c r="S263" s="231">
        <v>20</v>
      </c>
      <c r="T263" s="231">
        <v>24</v>
      </c>
      <c r="U263" s="231">
        <v>13000</v>
      </c>
      <c r="V263" s="231">
        <v>0</v>
      </c>
      <c r="W263" s="231">
        <v>13000.000000000002</v>
      </c>
      <c r="X263" s="231">
        <v>1695.6521739130437</v>
      </c>
      <c r="Y263" s="231">
        <v>11304.347826086958</v>
      </c>
      <c r="Z263" s="206" t="s">
        <v>882</v>
      </c>
      <c r="AA263" s="206">
        <v>637</v>
      </c>
      <c r="AB263" s="206" t="s">
        <v>749</v>
      </c>
      <c r="AC263" s="230">
        <v>45707</v>
      </c>
      <c r="AD263" s="206" t="s">
        <v>50</v>
      </c>
      <c r="AE263" s="206" t="str">
        <f>IFERROR(VLOOKUP(Primary_Order[[#This Row],[AM]],SP!$E$19:$F$23,2,0),Primary_Order[[#This Row],[AM]])</f>
        <v>Northern</v>
      </c>
      <c r="AF263" s="206" t="str">
        <f>VLOOKUP(Primary_Order[[#This Row],[Product ID]],SKU[],10,0)</f>
        <v>Mineral</v>
      </c>
      <c r="AG263" s="206" t="str">
        <f>VLOOKUP(Primary_Order[[#This Row],[Product ID]],SKU[],9,0)</f>
        <v>MCO</v>
      </c>
      <c r="AH263" s="206" t="str">
        <f>VLOOKUP(Primary_Order[[#This Row],[Product ID]],SKU[],12,0)</f>
        <v>10W30</v>
      </c>
      <c r="AI263" s="206" t="str">
        <f>VLOOKUP(Primary_Order[[#This Row],[Product ID]],SKU[],13,0)</f>
        <v>3000</v>
      </c>
      <c r="AJ263" s="233">
        <f>VLOOKUP(Primary_Order[[#This Row],[Product ID]],SKU[[SKU ID]:[Bottle Size(Ltr)]],6,0)*Primary_Order[[#This Row],[Free Quantity]]</f>
        <v>0</v>
      </c>
      <c r="AK263" s="206" t="str">
        <f>VLOOKUP(Primary_Order[[#This Row],[Product ID]],SKU[[SKU ID]:[Bottle Size(Ltr)]],4,0)</f>
        <v>20x1.2L</v>
      </c>
      <c r="AL263" s="231">
        <f>VLOOKUP(Primary_Order[[#This Row],[Product ID]],SKU[],14,0)*Primary_Order[[#This Row],[Total Qty]]</f>
        <v>8778</v>
      </c>
      <c r="AM263" s="231">
        <f>IF(Primary_Order[[#This Row],[Cost]]=0,0,Primary_Order[[#This Row],[Net Total(-15%)]]-Primary_Order[[#This Row],[Cost]])</f>
        <v>2526.3478260869579</v>
      </c>
      <c r="AN263" s="206" t="str">
        <f>"O-"&amp;Primary_Order[[#This Row],[Date]]&amp;"-"&amp;Primary_Order[[#This Row],[MMD ID]]</f>
        <v>O-45704-D-0023</v>
      </c>
      <c r="AO263" s="206" t="str" cm="1">
        <f t="array" ref="AO26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4" spans="1:41" x14ac:dyDescent="0.5">
      <c r="A264" s="206" t="s">
        <v>1221</v>
      </c>
      <c r="B264" s="230">
        <v>45704</v>
      </c>
      <c r="C264" s="206" t="s">
        <v>108</v>
      </c>
      <c r="D264" s="206" t="s">
        <v>1193</v>
      </c>
      <c r="E264" s="206" t="s">
        <v>1194</v>
      </c>
      <c r="F264" s="206">
        <v>1713709479</v>
      </c>
      <c r="G264" s="206" t="s">
        <v>280</v>
      </c>
      <c r="H264" s="206" t="s">
        <v>84</v>
      </c>
      <c r="I264" s="206" t="s">
        <v>109</v>
      </c>
      <c r="J264" s="206" t="s">
        <v>282</v>
      </c>
      <c r="K264" s="206" t="s">
        <v>81</v>
      </c>
      <c r="L264" s="206" t="str">
        <f>VLOOKUP(Primary_Order[[#This Row],[Product ID]],SKU[],3,0)</f>
        <v>3000 4T 20W50</v>
      </c>
      <c r="M264" s="231">
        <v>20</v>
      </c>
      <c r="N264" s="231">
        <v>495</v>
      </c>
      <c r="O264" s="231">
        <v>20</v>
      </c>
      <c r="P264" s="232">
        <v>0</v>
      </c>
      <c r="Q264" s="231">
        <v>0</v>
      </c>
      <c r="R264" s="231">
        <v>495</v>
      </c>
      <c r="S264" s="231">
        <v>20</v>
      </c>
      <c r="T264" s="231">
        <v>20</v>
      </c>
      <c r="U264" s="231">
        <v>9900</v>
      </c>
      <c r="V264" s="231">
        <v>0</v>
      </c>
      <c r="W264" s="231">
        <v>9900</v>
      </c>
      <c r="X264" s="231">
        <v>1291.304347826087</v>
      </c>
      <c r="Y264" s="231">
        <v>8608.6956521739139</v>
      </c>
      <c r="Z264" s="206" t="s">
        <v>882</v>
      </c>
      <c r="AA264" s="206">
        <v>637</v>
      </c>
      <c r="AB264" s="206" t="s">
        <v>749</v>
      </c>
      <c r="AC264" s="230">
        <v>45707</v>
      </c>
      <c r="AD264" s="206" t="s">
        <v>50</v>
      </c>
      <c r="AE264" s="206" t="str">
        <f>IFERROR(VLOOKUP(Primary_Order[[#This Row],[AM]],SP!$E$19:$F$23,2,0),Primary_Order[[#This Row],[AM]])</f>
        <v>Northern</v>
      </c>
      <c r="AF264" s="206" t="str">
        <f>VLOOKUP(Primary_Order[[#This Row],[Product ID]],SKU[],10,0)</f>
        <v>Mineral</v>
      </c>
      <c r="AG264" s="206" t="str">
        <f>VLOOKUP(Primary_Order[[#This Row],[Product ID]],SKU[],9,0)</f>
        <v>MCO</v>
      </c>
      <c r="AH264" s="206" t="str">
        <f>VLOOKUP(Primary_Order[[#This Row],[Product ID]],SKU[],12,0)</f>
        <v>20W50</v>
      </c>
      <c r="AI264" s="206" t="str">
        <f>VLOOKUP(Primary_Order[[#This Row],[Product ID]],SKU[],13,0)</f>
        <v>3000</v>
      </c>
      <c r="AJ264" s="233">
        <f>VLOOKUP(Primary_Order[[#This Row],[Product ID]],SKU[[SKU ID]:[Bottle Size(Ltr)]],6,0)*Primary_Order[[#This Row],[Free Quantity]]</f>
        <v>0</v>
      </c>
      <c r="AK264" s="206" t="str">
        <f>VLOOKUP(Primary_Order[[#This Row],[Product ID]],SKU[[SKU ID]:[Bottle Size(Ltr)]],4,0)</f>
        <v>20x1L</v>
      </c>
      <c r="AL264" s="231">
        <f>VLOOKUP(Primary_Order[[#This Row],[Product ID]],SKU[],14,0)*Primary_Order[[#This Row],[Total Qty]]</f>
        <v>7298.4000000000005</v>
      </c>
      <c r="AM264" s="231">
        <f>IF(Primary_Order[[#This Row],[Cost]]=0,0,Primary_Order[[#This Row],[Net Total(-15%)]]-Primary_Order[[#This Row],[Cost]])</f>
        <v>1310.2956521739134</v>
      </c>
      <c r="AN264" s="206" t="str">
        <f>"O-"&amp;Primary_Order[[#This Row],[Date]]&amp;"-"&amp;Primary_Order[[#This Row],[MMD ID]]</f>
        <v>O-45704-D-0023</v>
      </c>
      <c r="AO264" s="206" t="str" cm="1">
        <f t="array" ref="AO26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5" spans="1:41" x14ac:dyDescent="0.5">
      <c r="A265" s="206" t="s">
        <v>1222</v>
      </c>
      <c r="B265" s="230">
        <v>45704</v>
      </c>
      <c r="C265" s="206" t="s">
        <v>100</v>
      </c>
      <c r="D265" s="206" t="s">
        <v>1197</v>
      </c>
      <c r="E265" s="206" t="s">
        <v>1198</v>
      </c>
      <c r="F265" s="206" t="s">
        <v>1199</v>
      </c>
      <c r="G265" s="206" t="s">
        <v>45</v>
      </c>
      <c r="H265" s="206" t="s">
        <v>28</v>
      </c>
      <c r="I265" s="206" t="s">
        <v>101</v>
      </c>
      <c r="J265" s="206" t="s">
        <v>536</v>
      </c>
      <c r="K265" s="206" t="s">
        <v>31</v>
      </c>
      <c r="L265" s="206" t="str">
        <f>VLOOKUP(Primary_Order[[#This Row],[Product ID]],SKU[],3,0)</f>
        <v>3000 4T PLUS 10W30</v>
      </c>
      <c r="M265" s="231">
        <v>20</v>
      </c>
      <c r="N265" s="231">
        <v>540</v>
      </c>
      <c r="O265" s="231">
        <v>20</v>
      </c>
      <c r="P265" s="232">
        <v>9.2592592592593004E-3</v>
      </c>
      <c r="Q265" s="231">
        <v>0</v>
      </c>
      <c r="R265" s="231">
        <v>535</v>
      </c>
      <c r="S265" s="231">
        <v>20</v>
      </c>
      <c r="T265" s="231">
        <v>20</v>
      </c>
      <c r="U265" s="231">
        <v>10800</v>
      </c>
      <c r="V265" s="231">
        <v>0</v>
      </c>
      <c r="W265" s="231">
        <v>10700</v>
      </c>
      <c r="X265" s="231">
        <v>1395.6521739130435</v>
      </c>
      <c r="Y265" s="231">
        <v>9304.347826086956</v>
      </c>
      <c r="Z265" s="206" t="s">
        <v>882</v>
      </c>
      <c r="AA265" s="206">
        <v>638</v>
      </c>
      <c r="AB265" s="206" t="s">
        <v>749</v>
      </c>
      <c r="AC265" s="230">
        <v>45707</v>
      </c>
      <c r="AD265" s="206" t="s">
        <v>50</v>
      </c>
      <c r="AE265" s="206" t="str">
        <f>IFERROR(VLOOKUP(Primary_Order[[#This Row],[AM]],SP!$E$19:$F$23,2,0),Primary_Order[[#This Row],[AM]])</f>
        <v>Eastern</v>
      </c>
      <c r="AF265" s="206" t="str">
        <f>VLOOKUP(Primary_Order[[#This Row],[Product ID]],SKU[],10,0)</f>
        <v>Mineral</v>
      </c>
      <c r="AG265" s="206" t="str">
        <f>VLOOKUP(Primary_Order[[#This Row],[Product ID]],SKU[],9,0)</f>
        <v>MCO</v>
      </c>
      <c r="AH265" s="206" t="str">
        <f>VLOOKUP(Primary_Order[[#This Row],[Product ID]],SKU[],12,0)</f>
        <v>10W30</v>
      </c>
      <c r="AI265" s="206" t="str">
        <f>VLOOKUP(Primary_Order[[#This Row],[Product ID]],SKU[],13,0)</f>
        <v>3000</v>
      </c>
      <c r="AJ265" s="233">
        <f>VLOOKUP(Primary_Order[[#This Row],[Product ID]],SKU[[SKU ID]:[Bottle Size(Ltr)]],6,0)*Primary_Order[[#This Row],[Free Quantity]]</f>
        <v>0</v>
      </c>
      <c r="AK265" s="206" t="str">
        <f>VLOOKUP(Primary_Order[[#This Row],[Product ID]],SKU[[SKU ID]:[Bottle Size(Ltr)]],4,0)</f>
        <v>20x1L</v>
      </c>
      <c r="AL265" s="231">
        <f>VLOOKUP(Primary_Order[[#This Row],[Product ID]],SKU[],14,0)*Primary_Order[[#This Row],[Total Qty]]</f>
        <v>7586.5999999999995</v>
      </c>
      <c r="AM265" s="231">
        <f>IF(Primary_Order[[#This Row],[Cost]]=0,0,Primary_Order[[#This Row],[Net Total(-15%)]]-Primary_Order[[#This Row],[Cost]])</f>
        <v>1717.7478260869566</v>
      </c>
      <c r="AN265" s="206" t="str">
        <f>"O-"&amp;Primary_Order[[#This Row],[Date]]&amp;"-"&amp;Primary_Order[[#This Row],[MMD ID]]</f>
        <v>O-45704-D-0014</v>
      </c>
      <c r="AO265" s="206" t="str" cm="1">
        <f t="array" ref="AO26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6" spans="1:41" x14ac:dyDescent="0.5">
      <c r="A266" s="206" t="s">
        <v>1222</v>
      </c>
      <c r="B266" s="230">
        <v>45704</v>
      </c>
      <c r="C266" s="206" t="s">
        <v>100</v>
      </c>
      <c r="D266" s="206" t="s">
        <v>1197</v>
      </c>
      <c r="E266" s="206" t="s">
        <v>1198</v>
      </c>
      <c r="F266" s="206" t="s">
        <v>1199</v>
      </c>
      <c r="G266" s="206" t="s">
        <v>45</v>
      </c>
      <c r="H266" s="206" t="s">
        <v>28</v>
      </c>
      <c r="I266" s="206" t="s">
        <v>101</v>
      </c>
      <c r="J266" s="206" t="s">
        <v>536</v>
      </c>
      <c r="K266" s="206" t="s">
        <v>54</v>
      </c>
      <c r="L266" s="206" t="str">
        <f>VLOOKUP(Primary_Order[[#This Row],[Product ID]],SKU[],3,0)</f>
        <v>3000 4T PLUS 10W40</v>
      </c>
      <c r="M266" s="231">
        <v>20</v>
      </c>
      <c r="N266" s="231">
        <v>550</v>
      </c>
      <c r="O266" s="231">
        <v>20</v>
      </c>
      <c r="P266" s="232">
        <v>9.0909090909090384E-3</v>
      </c>
      <c r="Q266" s="231">
        <v>0</v>
      </c>
      <c r="R266" s="231">
        <v>545</v>
      </c>
      <c r="S266" s="231">
        <v>20</v>
      </c>
      <c r="T266" s="231">
        <v>20</v>
      </c>
      <c r="U266" s="231">
        <v>11000</v>
      </c>
      <c r="V266" s="231">
        <v>0</v>
      </c>
      <c r="W266" s="231">
        <v>10900</v>
      </c>
      <c r="X266" s="231">
        <v>1421.7391304347825</v>
      </c>
      <c r="Y266" s="231">
        <v>9478.2608695652179</v>
      </c>
      <c r="Z266" s="206" t="s">
        <v>882</v>
      </c>
      <c r="AA266" s="206">
        <v>638</v>
      </c>
      <c r="AB266" s="206" t="s">
        <v>749</v>
      </c>
      <c r="AC266" s="230">
        <v>45707</v>
      </c>
      <c r="AD266" s="206" t="s">
        <v>50</v>
      </c>
      <c r="AE266" s="206" t="str">
        <f>IFERROR(VLOOKUP(Primary_Order[[#This Row],[AM]],SP!$E$19:$F$23,2,0),Primary_Order[[#This Row],[AM]])</f>
        <v>Eastern</v>
      </c>
      <c r="AF266" s="206" t="str">
        <f>VLOOKUP(Primary_Order[[#This Row],[Product ID]],SKU[],10,0)</f>
        <v>Mineral</v>
      </c>
      <c r="AG266" s="206" t="str">
        <f>VLOOKUP(Primary_Order[[#This Row],[Product ID]],SKU[],9,0)</f>
        <v>MCO</v>
      </c>
      <c r="AH266" s="206" t="str">
        <f>VLOOKUP(Primary_Order[[#This Row],[Product ID]],SKU[],12,0)</f>
        <v>10W40</v>
      </c>
      <c r="AI266" s="206" t="str">
        <f>VLOOKUP(Primary_Order[[#This Row],[Product ID]],SKU[],13,0)</f>
        <v>3000</v>
      </c>
      <c r="AJ266" s="233">
        <f>VLOOKUP(Primary_Order[[#This Row],[Product ID]],SKU[[SKU ID]:[Bottle Size(Ltr)]],6,0)*Primary_Order[[#This Row],[Free Quantity]]</f>
        <v>0</v>
      </c>
      <c r="AK266" s="206" t="str">
        <f>VLOOKUP(Primary_Order[[#This Row],[Product ID]],SKU[[SKU ID]:[Bottle Size(Ltr)]],4,0)</f>
        <v>20x1L</v>
      </c>
      <c r="AL266" s="231">
        <f>VLOOKUP(Primary_Order[[#This Row],[Product ID]],SKU[],14,0)*Primary_Order[[#This Row],[Total Qty]]</f>
        <v>7697</v>
      </c>
      <c r="AM266" s="231">
        <f>IF(Primary_Order[[#This Row],[Cost]]=0,0,Primary_Order[[#This Row],[Net Total(-15%)]]-Primary_Order[[#This Row],[Cost]])</f>
        <v>1781.2608695652179</v>
      </c>
      <c r="AN266" s="206" t="str">
        <f>"O-"&amp;Primary_Order[[#This Row],[Date]]&amp;"-"&amp;Primary_Order[[#This Row],[MMD ID]]</f>
        <v>O-45704-D-0014</v>
      </c>
      <c r="AO266" s="206" t="str" cm="1">
        <f t="array" ref="AO26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7" spans="1:41" x14ac:dyDescent="0.5">
      <c r="A267" s="206" t="s">
        <v>1222</v>
      </c>
      <c r="B267" s="230">
        <v>45704</v>
      </c>
      <c r="C267" s="206" t="s">
        <v>100</v>
      </c>
      <c r="D267" s="206" t="s">
        <v>1197</v>
      </c>
      <c r="E267" s="206" t="s">
        <v>1198</v>
      </c>
      <c r="F267" s="206" t="s">
        <v>1199</v>
      </c>
      <c r="G267" s="206" t="s">
        <v>45</v>
      </c>
      <c r="H267" s="206" t="s">
        <v>28</v>
      </c>
      <c r="I267" s="206" t="s">
        <v>101</v>
      </c>
      <c r="J267" s="206" t="s">
        <v>536</v>
      </c>
      <c r="K267" s="206" t="s">
        <v>32</v>
      </c>
      <c r="L267" s="206" t="str">
        <f>VLOOKUP(Primary_Order[[#This Row],[Product ID]],SKU[],3,0)</f>
        <v>3000 4T PLUS 10W30</v>
      </c>
      <c r="M267" s="231">
        <v>20</v>
      </c>
      <c r="N267" s="231">
        <v>650</v>
      </c>
      <c r="O267" s="231">
        <v>24</v>
      </c>
      <c r="P267" s="232">
        <v>7.692307692307554E-3</v>
      </c>
      <c r="Q267" s="231">
        <v>0</v>
      </c>
      <c r="R267" s="231">
        <v>645.00000000000011</v>
      </c>
      <c r="S267" s="231">
        <v>20</v>
      </c>
      <c r="T267" s="231">
        <v>24</v>
      </c>
      <c r="U267" s="231">
        <v>13000</v>
      </c>
      <c r="V267" s="231">
        <v>0</v>
      </c>
      <c r="W267" s="231">
        <v>12900.000000000002</v>
      </c>
      <c r="X267" s="231">
        <v>1682.6086956521742</v>
      </c>
      <c r="Y267" s="231">
        <v>11217.391304347828</v>
      </c>
      <c r="Z267" s="206" t="s">
        <v>882</v>
      </c>
      <c r="AA267" s="206">
        <v>638</v>
      </c>
      <c r="AB267" s="206" t="s">
        <v>749</v>
      </c>
      <c r="AC267" s="230">
        <v>45707</v>
      </c>
      <c r="AD267" s="206" t="s">
        <v>50</v>
      </c>
      <c r="AE267" s="206" t="str">
        <f>IFERROR(VLOOKUP(Primary_Order[[#This Row],[AM]],SP!$E$19:$F$23,2,0),Primary_Order[[#This Row],[AM]])</f>
        <v>Eastern</v>
      </c>
      <c r="AF267" s="206" t="str">
        <f>VLOOKUP(Primary_Order[[#This Row],[Product ID]],SKU[],10,0)</f>
        <v>Mineral</v>
      </c>
      <c r="AG267" s="206" t="str">
        <f>VLOOKUP(Primary_Order[[#This Row],[Product ID]],SKU[],9,0)</f>
        <v>MCO</v>
      </c>
      <c r="AH267" s="206" t="str">
        <f>VLOOKUP(Primary_Order[[#This Row],[Product ID]],SKU[],12,0)</f>
        <v>10W30</v>
      </c>
      <c r="AI267" s="206" t="str">
        <f>VLOOKUP(Primary_Order[[#This Row],[Product ID]],SKU[],13,0)</f>
        <v>3000</v>
      </c>
      <c r="AJ267" s="233">
        <f>VLOOKUP(Primary_Order[[#This Row],[Product ID]],SKU[[SKU ID]:[Bottle Size(Ltr)]],6,0)*Primary_Order[[#This Row],[Free Quantity]]</f>
        <v>0</v>
      </c>
      <c r="AK267" s="206" t="str">
        <f>VLOOKUP(Primary_Order[[#This Row],[Product ID]],SKU[[SKU ID]:[Bottle Size(Ltr)]],4,0)</f>
        <v>20x1.2L</v>
      </c>
      <c r="AL267" s="231">
        <f>VLOOKUP(Primary_Order[[#This Row],[Product ID]],SKU[],14,0)*Primary_Order[[#This Row],[Total Qty]]</f>
        <v>8778</v>
      </c>
      <c r="AM267" s="231">
        <f>IF(Primary_Order[[#This Row],[Cost]]=0,0,Primary_Order[[#This Row],[Net Total(-15%)]]-Primary_Order[[#This Row],[Cost]])</f>
        <v>2439.3913043478278</v>
      </c>
      <c r="AN267" s="206" t="str">
        <f>"O-"&amp;Primary_Order[[#This Row],[Date]]&amp;"-"&amp;Primary_Order[[#This Row],[MMD ID]]</f>
        <v>O-45704-D-0014</v>
      </c>
      <c r="AO267" s="206" t="str" cm="1">
        <f t="array" ref="AO26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8" spans="1:41" x14ac:dyDescent="0.5">
      <c r="A268" s="206" t="s">
        <v>1222</v>
      </c>
      <c r="B268" s="230">
        <v>45704</v>
      </c>
      <c r="C268" s="206" t="s">
        <v>100</v>
      </c>
      <c r="D268" s="206" t="s">
        <v>1197</v>
      </c>
      <c r="E268" s="206" t="s">
        <v>1198</v>
      </c>
      <c r="F268" s="206" t="s">
        <v>1199</v>
      </c>
      <c r="G268" s="206" t="s">
        <v>45</v>
      </c>
      <c r="H268" s="206" t="s">
        <v>28</v>
      </c>
      <c r="I268" s="206" t="s">
        <v>101</v>
      </c>
      <c r="J268" s="206" t="s">
        <v>536</v>
      </c>
      <c r="K268" s="206" t="s">
        <v>81</v>
      </c>
      <c r="L268" s="206" t="str">
        <f>VLOOKUP(Primary_Order[[#This Row],[Product ID]],SKU[],3,0)</f>
        <v>3000 4T 20W50</v>
      </c>
      <c r="M268" s="231">
        <v>20</v>
      </c>
      <c r="N268" s="231">
        <v>495</v>
      </c>
      <c r="O268" s="231">
        <v>20</v>
      </c>
      <c r="P268" s="232">
        <v>1.0101010101010055E-2</v>
      </c>
      <c r="Q268" s="231">
        <v>0</v>
      </c>
      <c r="R268" s="231">
        <v>490</v>
      </c>
      <c r="S268" s="231">
        <v>20</v>
      </c>
      <c r="T268" s="231">
        <v>20</v>
      </c>
      <c r="U268" s="231">
        <v>9900</v>
      </c>
      <c r="V268" s="231">
        <v>0</v>
      </c>
      <c r="W268" s="231">
        <v>9800</v>
      </c>
      <c r="X268" s="231">
        <v>1278.2608695652175</v>
      </c>
      <c r="Y268" s="231">
        <v>8521.7391304347821</v>
      </c>
      <c r="Z268" s="206" t="s">
        <v>882</v>
      </c>
      <c r="AA268" s="206">
        <v>638</v>
      </c>
      <c r="AB268" s="206" t="s">
        <v>749</v>
      </c>
      <c r="AC268" s="230">
        <v>45707</v>
      </c>
      <c r="AD268" s="206" t="s">
        <v>50</v>
      </c>
      <c r="AE268" s="206" t="str">
        <f>IFERROR(VLOOKUP(Primary_Order[[#This Row],[AM]],SP!$E$19:$F$23,2,0),Primary_Order[[#This Row],[AM]])</f>
        <v>Eastern</v>
      </c>
      <c r="AF268" s="206" t="str">
        <f>VLOOKUP(Primary_Order[[#This Row],[Product ID]],SKU[],10,0)</f>
        <v>Mineral</v>
      </c>
      <c r="AG268" s="206" t="str">
        <f>VLOOKUP(Primary_Order[[#This Row],[Product ID]],SKU[],9,0)</f>
        <v>MCO</v>
      </c>
      <c r="AH268" s="206" t="str">
        <f>VLOOKUP(Primary_Order[[#This Row],[Product ID]],SKU[],12,0)</f>
        <v>20W50</v>
      </c>
      <c r="AI268" s="206" t="str">
        <f>VLOOKUP(Primary_Order[[#This Row],[Product ID]],SKU[],13,0)</f>
        <v>3000</v>
      </c>
      <c r="AJ268" s="233">
        <f>VLOOKUP(Primary_Order[[#This Row],[Product ID]],SKU[[SKU ID]:[Bottle Size(Ltr)]],6,0)*Primary_Order[[#This Row],[Free Quantity]]</f>
        <v>0</v>
      </c>
      <c r="AK268" s="206" t="str">
        <f>VLOOKUP(Primary_Order[[#This Row],[Product ID]],SKU[[SKU ID]:[Bottle Size(Ltr)]],4,0)</f>
        <v>20x1L</v>
      </c>
      <c r="AL268" s="231">
        <f>VLOOKUP(Primary_Order[[#This Row],[Product ID]],SKU[],14,0)*Primary_Order[[#This Row],[Total Qty]]</f>
        <v>7298.4000000000005</v>
      </c>
      <c r="AM268" s="231">
        <f>IF(Primary_Order[[#This Row],[Cost]]=0,0,Primary_Order[[#This Row],[Net Total(-15%)]]-Primary_Order[[#This Row],[Cost]])</f>
        <v>1223.3391304347815</v>
      </c>
      <c r="AN268" s="206" t="str">
        <f>"O-"&amp;Primary_Order[[#This Row],[Date]]&amp;"-"&amp;Primary_Order[[#This Row],[MMD ID]]</f>
        <v>O-45704-D-0014</v>
      </c>
      <c r="AO268" s="206" t="str" cm="1">
        <f t="array" ref="AO26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69" spans="1:41" x14ac:dyDescent="0.5">
      <c r="A269" s="206" t="s">
        <v>1223</v>
      </c>
      <c r="B269" s="230">
        <v>45698</v>
      </c>
      <c r="C269" s="206" t="s">
        <v>97</v>
      </c>
      <c r="D269" s="206" t="s">
        <v>1200</v>
      </c>
      <c r="E269" s="206" t="s">
        <v>1201</v>
      </c>
      <c r="F269" s="206">
        <v>1918732041</v>
      </c>
      <c r="G269" s="206" t="s">
        <v>709</v>
      </c>
      <c r="H269" s="206" t="s">
        <v>40</v>
      </c>
      <c r="I269" s="206" t="s">
        <v>98</v>
      </c>
      <c r="J269" s="206" t="s">
        <v>452</v>
      </c>
      <c r="K269" s="206" t="s">
        <v>31</v>
      </c>
      <c r="L269" s="206" t="str">
        <f>VLOOKUP(Primary_Order[[#This Row],[Product ID]],SKU[],3,0)</f>
        <v>3000 4T PLUS 10W30</v>
      </c>
      <c r="M269" s="231">
        <v>40</v>
      </c>
      <c r="N269" s="231">
        <v>540</v>
      </c>
      <c r="O269" s="231">
        <v>40</v>
      </c>
      <c r="P269" s="232">
        <v>9.2592592592593004E-3</v>
      </c>
      <c r="Q269" s="231">
        <v>0</v>
      </c>
      <c r="R269" s="231">
        <v>535</v>
      </c>
      <c r="S269" s="231">
        <v>40</v>
      </c>
      <c r="T269" s="231">
        <v>40</v>
      </c>
      <c r="U269" s="231">
        <v>21600</v>
      </c>
      <c r="V269" s="231">
        <v>0</v>
      </c>
      <c r="W269" s="231">
        <v>21400</v>
      </c>
      <c r="X269" s="231">
        <v>2791.304347826087</v>
      </c>
      <c r="Y269" s="231">
        <v>18608.695652173912</v>
      </c>
      <c r="Z269" s="206" t="s">
        <v>882</v>
      </c>
      <c r="AA269" s="206">
        <v>639</v>
      </c>
      <c r="AB269" s="206" t="s">
        <v>749</v>
      </c>
      <c r="AC269" s="230">
        <v>45707</v>
      </c>
      <c r="AD269" s="206" t="s">
        <v>1202</v>
      </c>
      <c r="AE269" s="206" t="str">
        <f>IFERROR(VLOOKUP(Primary_Order[[#This Row],[AM]],SP!$E$19:$F$23,2,0),Primary_Order[[#This Row],[AM]])</f>
        <v>Central</v>
      </c>
      <c r="AF269" s="206" t="str">
        <f>VLOOKUP(Primary_Order[[#This Row],[Product ID]],SKU[],10,0)</f>
        <v>Mineral</v>
      </c>
      <c r="AG269" s="206" t="str">
        <f>VLOOKUP(Primary_Order[[#This Row],[Product ID]],SKU[],9,0)</f>
        <v>MCO</v>
      </c>
      <c r="AH269" s="206" t="str">
        <f>VLOOKUP(Primary_Order[[#This Row],[Product ID]],SKU[],12,0)</f>
        <v>10W30</v>
      </c>
      <c r="AI269" s="206" t="str">
        <f>VLOOKUP(Primary_Order[[#This Row],[Product ID]],SKU[],13,0)</f>
        <v>3000</v>
      </c>
      <c r="AJ269" s="233">
        <f>VLOOKUP(Primary_Order[[#This Row],[Product ID]],SKU[[SKU ID]:[Bottle Size(Ltr)]],6,0)*Primary_Order[[#This Row],[Free Quantity]]</f>
        <v>0</v>
      </c>
      <c r="AK269" s="206" t="str">
        <f>VLOOKUP(Primary_Order[[#This Row],[Product ID]],SKU[[SKU ID]:[Bottle Size(Ltr)]],4,0)</f>
        <v>20x1L</v>
      </c>
      <c r="AL269" s="231">
        <f>VLOOKUP(Primary_Order[[#This Row],[Product ID]],SKU[],14,0)*Primary_Order[[#This Row],[Total Qty]]</f>
        <v>15173.199999999999</v>
      </c>
      <c r="AM269" s="231">
        <f>IF(Primary_Order[[#This Row],[Cost]]=0,0,Primary_Order[[#This Row],[Net Total(-15%)]]-Primary_Order[[#This Row],[Cost]])</f>
        <v>3435.4956521739132</v>
      </c>
      <c r="AN269" s="206" t="str">
        <f>"O-"&amp;Primary_Order[[#This Row],[Date]]&amp;"-"&amp;Primary_Order[[#This Row],[MMD ID]]</f>
        <v>O-45698-D-0001</v>
      </c>
      <c r="AO269" s="206" t="str" cm="1">
        <f t="array" ref="AO26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0" spans="1:41" x14ac:dyDescent="0.5">
      <c r="A270" s="206" t="s">
        <v>1223</v>
      </c>
      <c r="B270" s="230">
        <v>45698</v>
      </c>
      <c r="C270" s="206" t="s">
        <v>97</v>
      </c>
      <c r="D270" s="206" t="s">
        <v>1200</v>
      </c>
      <c r="E270" s="206" t="s">
        <v>1201</v>
      </c>
      <c r="F270" s="206">
        <v>1918732041</v>
      </c>
      <c r="G270" s="206" t="s">
        <v>709</v>
      </c>
      <c r="H270" s="206" t="s">
        <v>40</v>
      </c>
      <c r="I270" s="206" t="s">
        <v>98</v>
      </c>
      <c r="J270" s="206" t="s">
        <v>452</v>
      </c>
      <c r="K270" s="206" t="s">
        <v>32</v>
      </c>
      <c r="L270" s="206" t="str">
        <f>VLOOKUP(Primary_Order[[#This Row],[Product ID]],SKU[],3,0)</f>
        <v>3000 4T PLUS 10W30</v>
      </c>
      <c r="M270" s="231">
        <v>40</v>
      </c>
      <c r="N270" s="231">
        <v>650</v>
      </c>
      <c r="O270" s="231">
        <v>48</v>
      </c>
      <c r="P270" s="232">
        <v>7.692307692307554E-3</v>
      </c>
      <c r="Q270" s="231">
        <v>0</v>
      </c>
      <c r="R270" s="231">
        <v>645.00000000000011</v>
      </c>
      <c r="S270" s="231">
        <v>40</v>
      </c>
      <c r="T270" s="231">
        <v>48</v>
      </c>
      <c r="U270" s="231">
        <v>26000</v>
      </c>
      <c r="V270" s="231">
        <v>0</v>
      </c>
      <c r="W270" s="231">
        <v>25800.000000000004</v>
      </c>
      <c r="X270" s="231">
        <v>3365.2173913043484</v>
      </c>
      <c r="Y270" s="231">
        <v>22434.782608695656</v>
      </c>
      <c r="Z270" s="206" t="s">
        <v>882</v>
      </c>
      <c r="AA270" s="206">
        <v>639</v>
      </c>
      <c r="AB270" s="206" t="s">
        <v>749</v>
      </c>
      <c r="AC270" s="230">
        <v>45707</v>
      </c>
      <c r="AD270" s="206" t="s">
        <v>1202</v>
      </c>
      <c r="AE270" s="206" t="str">
        <f>IFERROR(VLOOKUP(Primary_Order[[#This Row],[AM]],SP!$E$19:$F$23,2,0),Primary_Order[[#This Row],[AM]])</f>
        <v>Central</v>
      </c>
      <c r="AF270" s="206" t="str">
        <f>VLOOKUP(Primary_Order[[#This Row],[Product ID]],SKU[],10,0)</f>
        <v>Mineral</v>
      </c>
      <c r="AG270" s="206" t="str">
        <f>VLOOKUP(Primary_Order[[#This Row],[Product ID]],SKU[],9,0)</f>
        <v>MCO</v>
      </c>
      <c r="AH270" s="206" t="str">
        <f>VLOOKUP(Primary_Order[[#This Row],[Product ID]],SKU[],12,0)</f>
        <v>10W30</v>
      </c>
      <c r="AI270" s="206" t="str">
        <f>VLOOKUP(Primary_Order[[#This Row],[Product ID]],SKU[],13,0)</f>
        <v>3000</v>
      </c>
      <c r="AJ270" s="233">
        <f>VLOOKUP(Primary_Order[[#This Row],[Product ID]],SKU[[SKU ID]:[Bottle Size(Ltr)]],6,0)*Primary_Order[[#This Row],[Free Quantity]]</f>
        <v>0</v>
      </c>
      <c r="AK270" s="206" t="str">
        <f>VLOOKUP(Primary_Order[[#This Row],[Product ID]],SKU[[SKU ID]:[Bottle Size(Ltr)]],4,0)</f>
        <v>20x1.2L</v>
      </c>
      <c r="AL270" s="231">
        <f>VLOOKUP(Primary_Order[[#This Row],[Product ID]],SKU[],14,0)*Primary_Order[[#This Row],[Total Qty]]</f>
        <v>17556</v>
      </c>
      <c r="AM270" s="231">
        <f>IF(Primary_Order[[#This Row],[Cost]]=0,0,Primary_Order[[#This Row],[Net Total(-15%)]]-Primary_Order[[#This Row],[Cost]])</f>
        <v>4878.7826086956557</v>
      </c>
      <c r="AN270" s="206" t="str">
        <f>"O-"&amp;Primary_Order[[#This Row],[Date]]&amp;"-"&amp;Primary_Order[[#This Row],[MMD ID]]</f>
        <v>O-45698-D-0001</v>
      </c>
      <c r="AO270" s="206" t="str" cm="1">
        <f t="array" ref="AO27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1" spans="1:41" x14ac:dyDescent="0.5">
      <c r="A271" s="206" t="s">
        <v>1223</v>
      </c>
      <c r="B271" s="230">
        <v>45698</v>
      </c>
      <c r="C271" s="206" t="s">
        <v>97</v>
      </c>
      <c r="D271" s="206" t="s">
        <v>1200</v>
      </c>
      <c r="E271" s="206" t="s">
        <v>1201</v>
      </c>
      <c r="F271" s="206">
        <v>1918732041</v>
      </c>
      <c r="G271" s="206" t="s">
        <v>709</v>
      </c>
      <c r="H271" s="206" t="s">
        <v>40</v>
      </c>
      <c r="I271" s="206" t="s">
        <v>98</v>
      </c>
      <c r="J271" s="206" t="s">
        <v>452</v>
      </c>
      <c r="K271" s="206" t="s">
        <v>33</v>
      </c>
      <c r="L271" s="206" t="str">
        <f>VLOOKUP(Primary_Order[[#This Row],[Product ID]],SKU[],3,0)</f>
        <v>3000 4T PLUS 20W40</v>
      </c>
      <c r="M271" s="231">
        <v>20</v>
      </c>
      <c r="N271" s="231">
        <v>645</v>
      </c>
      <c r="O271" s="231">
        <v>24</v>
      </c>
      <c r="P271" s="232">
        <v>7.7519379844961378E-3</v>
      </c>
      <c r="Q271" s="231">
        <v>0</v>
      </c>
      <c r="R271" s="231">
        <v>640</v>
      </c>
      <c r="S271" s="231">
        <v>20</v>
      </c>
      <c r="T271" s="231">
        <v>24</v>
      </c>
      <c r="U271" s="231">
        <v>12900</v>
      </c>
      <c r="V271" s="231">
        <v>0</v>
      </c>
      <c r="W271" s="231">
        <v>12800</v>
      </c>
      <c r="X271" s="231">
        <v>1669.5652173913043</v>
      </c>
      <c r="Y271" s="231">
        <v>11130.434782608696</v>
      </c>
      <c r="Z271" s="206" t="s">
        <v>882</v>
      </c>
      <c r="AA271" s="206">
        <v>639</v>
      </c>
      <c r="AB271" s="206" t="s">
        <v>749</v>
      </c>
      <c r="AC271" s="230">
        <v>45707</v>
      </c>
      <c r="AD271" s="206" t="s">
        <v>1202</v>
      </c>
      <c r="AE271" s="206" t="str">
        <f>IFERROR(VLOOKUP(Primary_Order[[#This Row],[AM]],SP!$E$19:$F$23,2,0),Primary_Order[[#This Row],[AM]])</f>
        <v>Central</v>
      </c>
      <c r="AF271" s="206" t="str">
        <f>VLOOKUP(Primary_Order[[#This Row],[Product ID]],SKU[],10,0)</f>
        <v>Mineral</v>
      </c>
      <c r="AG271" s="206" t="str">
        <f>VLOOKUP(Primary_Order[[#This Row],[Product ID]],SKU[],9,0)</f>
        <v>MCO</v>
      </c>
      <c r="AH271" s="206" t="str">
        <f>VLOOKUP(Primary_Order[[#This Row],[Product ID]],SKU[],12,0)</f>
        <v>20W40</v>
      </c>
      <c r="AI271" s="206" t="str">
        <f>VLOOKUP(Primary_Order[[#This Row],[Product ID]],SKU[],13,0)</f>
        <v>3000</v>
      </c>
      <c r="AJ271" s="233">
        <f>VLOOKUP(Primary_Order[[#This Row],[Product ID]],SKU[[SKU ID]:[Bottle Size(Ltr)]],6,0)*Primary_Order[[#This Row],[Free Quantity]]</f>
        <v>0</v>
      </c>
      <c r="AK271" s="206" t="str">
        <f>VLOOKUP(Primary_Order[[#This Row],[Product ID]],SKU[[SKU ID]:[Bottle Size(Ltr)]],4,0)</f>
        <v>20x1.2L</v>
      </c>
      <c r="AL271" s="231">
        <f>VLOOKUP(Primary_Order[[#This Row],[Product ID]],SKU[],14,0)*Primary_Order[[#This Row],[Total Qty]]</f>
        <v>9397.9559070121941</v>
      </c>
      <c r="AM271" s="231">
        <f>IF(Primary_Order[[#This Row],[Cost]]=0,0,Primary_Order[[#This Row],[Net Total(-15%)]]-Primary_Order[[#This Row],[Cost]])</f>
        <v>1732.4788755965019</v>
      </c>
      <c r="AN271" s="206" t="str">
        <f>"O-"&amp;Primary_Order[[#This Row],[Date]]&amp;"-"&amp;Primary_Order[[#This Row],[MMD ID]]</f>
        <v>O-45698-D-0001</v>
      </c>
      <c r="AO271" s="206" t="str" cm="1">
        <f t="array" ref="AO27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2" spans="1:41" x14ac:dyDescent="0.5">
      <c r="A272" s="206" t="s">
        <v>1223</v>
      </c>
      <c r="B272" s="230">
        <v>45698</v>
      </c>
      <c r="C272" s="206" t="s">
        <v>97</v>
      </c>
      <c r="D272" s="206" t="s">
        <v>1200</v>
      </c>
      <c r="E272" s="206" t="s">
        <v>1201</v>
      </c>
      <c r="F272" s="206">
        <v>1918732041</v>
      </c>
      <c r="G272" s="206" t="s">
        <v>709</v>
      </c>
      <c r="H272" s="206" t="s">
        <v>40</v>
      </c>
      <c r="I272" s="206" t="s">
        <v>98</v>
      </c>
      <c r="J272" s="206" t="s">
        <v>452</v>
      </c>
      <c r="K272" s="206" t="s">
        <v>56</v>
      </c>
      <c r="L272" s="206" t="str">
        <f>VLOOKUP(Primary_Order[[#This Row],[Product ID]],SKU[],3,0)</f>
        <v>7100 4T 10W30 ESTER CORE®</v>
      </c>
      <c r="M272" s="231">
        <v>36</v>
      </c>
      <c r="N272" s="231">
        <v>1080</v>
      </c>
      <c r="O272" s="231">
        <v>36</v>
      </c>
      <c r="P272" s="232">
        <v>4.6296296296296502E-3</v>
      </c>
      <c r="Q272" s="231">
        <v>0</v>
      </c>
      <c r="R272" s="231">
        <v>1075</v>
      </c>
      <c r="S272" s="231">
        <v>36</v>
      </c>
      <c r="T272" s="231">
        <v>36</v>
      </c>
      <c r="U272" s="231">
        <v>38880</v>
      </c>
      <c r="V272" s="231">
        <v>0</v>
      </c>
      <c r="W272" s="231">
        <v>38700</v>
      </c>
      <c r="X272" s="231">
        <v>5047.826086956522</v>
      </c>
      <c r="Y272" s="231">
        <v>33652.17391304348</v>
      </c>
      <c r="Z272" s="206" t="s">
        <v>882</v>
      </c>
      <c r="AA272" s="206">
        <v>639</v>
      </c>
      <c r="AB272" s="206" t="s">
        <v>749</v>
      </c>
      <c r="AC272" s="230">
        <v>45707</v>
      </c>
      <c r="AD272" s="206" t="s">
        <v>1202</v>
      </c>
      <c r="AE272" s="206" t="str">
        <f>IFERROR(VLOOKUP(Primary_Order[[#This Row],[AM]],SP!$E$19:$F$23,2,0),Primary_Order[[#This Row],[AM]])</f>
        <v>Central</v>
      </c>
      <c r="AF272" s="206" t="str">
        <f>VLOOKUP(Primary_Order[[#This Row],[Product ID]],SKU[],10,0)</f>
        <v>Synthetic</v>
      </c>
      <c r="AG272" s="206" t="str">
        <f>VLOOKUP(Primary_Order[[#This Row],[Product ID]],SKU[],9,0)</f>
        <v>MCO</v>
      </c>
      <c r="AH272" s="206" t="str">
        <f>VLOOKUP(Primary_Order[[#This Row],[Product ID]],SKU[],12,0)</f>
        <v>10W30</v>
      </c>
      <c r="AI272" s="206" t="str">
        <f>VLOOKUP(Primary_Order[[#This Row],[Product ID]],SKU[],13,0)</f>
        <v>7100</v>
      </c>
      <c r="AJ272" s="233">
        <f>VLOOKUP(Primary_Order[[#This Row],[Product ID]],SKU[[SKU ID]:[Bottle Size(Ltr)]],6,0)*Primary_Order[[#This Row],[Free Quantity]]</f>
        <v>0</v>
      </c>
      <c r="AK272" s="206" t="str">
        <f>VLOOKUP(Primary_Order[[#This Row],[Product ID]],SKU[[SKU ID]:[Bottle Size(Ltr)]],4,0)</f>
        <v>12x1L</v>
      </c>
      <c r="AL272" s="231">
        <f>VLOOKUP(Primary_Order[[#This Row],[Product ID]],SKU[],14,0)*Primary_Order[[#This Row],[Total Qty]]</f>
        <v>24834.959999999999</v>
      </c>
      <c r="AM272" s="231">
        <f>IF(Primary_Order[[#This Row],[Cost]]=0,0,Primary_Order[[#This Row],[Net Total(-15%)]]-Primary_Order[[#This Row],[Cost]])</f>
        <v>8817.2139130434807</v>
      </c>
      <c r="AN272" s="206" t="str">
        <f>"O-"&amp;Primary_Order[[#This Row],[Date]]&amp;"-"&amp;Primary_Order[[#This Row],[MMD ID]]</f>
        <v>O-45698-D-0001</v>
      </c>
      <c r="AO272" s="206" t="str" cm="1">
        <f t="array" ref="AO27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3" spans="1:41" x14ac:dyDescent="0.5">
      <c r="A273" s="206" t="s">
        <v>1223</v>
      </c>
      <c r="B273" s="230">
        <v>45698</v>
      </c>
      <c r="C273" s="206" t="s">
        <v>97</v>
      </c>
      <c r="D273" s="206" t="s">
        <v>1200</v>
      </c>
      <c r="E273" s="206" t="s">
        <v>1201</v>
      </c>
      <c r="F273" s="206">
        <v>1918732041</v>
      </c>
      <c r="G273" s="206" t="s">
        <v>709</v>
      </c>
      <c r="H273" s="206" t="s">
        <v>40</v>
      </c>
      <c r="I273" s="206" t="s">
        <v>98</v>
      </c>
      <c r="J273" s="206" t="s">
        <v>452</v>
      </c>
      <c r="K273" s="206" t="s">
        <v>81</v>
      </c>
      <c r="L273" s="206" t="str">
        <f>VLOOKUP(Primary_Order[[#This Row],[Product ID]],SKU[],3,0)</f>
        <v>3000 4T 20W50</v>
      </c>
      <c r="M273" s="231">
        <v>40</v>
      </c>
      <c r="N273" s="231">
        <v>495</v>
      </c>
      <c r="O273" s="231">
        <v>40</v>
      </c>
      <c r="P273" s="232">
        <v>1.0101010101010055E-2</v>
      </c>
      <c r="Q273" s="231">
        <v>0</v>
      </c>
      <c r="R273" s="231">
        <v>490</v>
      </c>
      <c r="S273" s="231">
        <v>40</v>
      </c>
      <c r="T273" s="231">
        <v>40</v>
      </c>
      <c r="U273" s="231">
        <v>19800</v>
      </c>
      <c r="V273" s="231">
        <v>0</v>
      </c>
      <c r="W273" s="231">
        <v>19600</v>
      </c>
      <c r="X273" s="231">
        <v>2556.521739130435</v>
      </c>
      <c r="Y273" s="231">
        <v>17043.478260869564</v>
      </c>
      <c r="Z273" s="206" t="s">
        <v>882</v>
      </c>
      <c r="AA273" s="206">
        <v>639</v>
      </c>
      <c r="AB273" s="206" t="s">
        <v>749</v>
      </c>
      <c r="AC273" s="230">
        <v>45707</v>
      </c>
      <c r="AD273" s="206" t="s">
        <v>1202</v>
      </c>
      <c r="AE273" s="206" t="str">
        <f>IFERROR(VLOOKUP(Primary_Order[[#This Row],[AM]],SP!$E$19:$F$23,2,0),Primary_Order[[#This Row],[AM]])</f>
        <v>Central</v>
      </c>
      <c r="AF273" s="206" t="str">
        <f>VLOOKUP(Primary_Order[[#This Row],[Product ID]],SKU[],10,0)</f>
        <v>Mineral</v>
      </c>
      <c r="AG273" s="206" t="str">
        <f>VLOOKUP(Primary_Order[[#This Row],[Product ID]],SKU[],9,0)</f>
        <v>MCO</v>
      </c>
      <c r="AH273" s="206" t="str">
        <f>VLOOKUP(Primary_Order[[#This Row],[Product ID]],SKU[],12,0)</f>
        <v>20W50</v>
      </c>
      <c r="AI273" s="206" t="str">
        <f>VLOOKUP(Primary_Order[[#This Row],[Product ID]],SKU[],13,0)</f>
        <v>3000</v>
      </c>
      <c r="AJ273" s="233">
        <f>VLOOKUP(Primary_Order[[#This Row],[Product ID]],SKU[[SKU ID]:[Bottle Size(Ltr)]],6,0)*Primary_Order[[#This Row],[Free Quantity]]</f>
        <v>0</v>
      </c>
      <c r="AK273" s="206" t="str">
        <f>VLOOKUP(Primary_Order[[#This Row],[Product ID]],SKU[[SKU ID]:[Bottle Size(Ltr)]],4,0)</f>
        <v>20x1L</v>
      </c>
      <c r="AL273" s="231">
        <f>VLOOKUP(Primary_Order[[#This Row],[Product ID]],SKU[],14,0)*Primary_Order[[#This Row],[Total Qty]]</f>
        <v>14596.800000000001</v>
      </c>
      <c r="AM273" s="231">
        <f>IF(Primary_Order[[#This Row],[Cost]]=0,0,Primary_Order[[#This Row],[Net Total(-15%)]]-Primary_Order[[#This Row],[Cost]])</f>
        <v>2446.678260869563</v>
      </c>
      <c r="AN273" s="206" t="str">
        <f>"O-"&amp;Primary_Order[[#This Row],[Date]]&amp;"-"&amp;Primary_Order[[#This Row],[MMD ID]]</f>
        <v>O-45698-D-0001</v>
      </c>
      <c r="AO273" s="206" t="str" cm="1">
        <f t="array" ref="AO27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4" spans="1:41" x14ac:dyDescent="0.5">
      <c r="A274" s="206" t="s">
        <v>1224</v>
      </c>
      <c r="B274" s="230">
        <v>45706</v>
      </c>
      <c r="C274" s="206" t="s">
        <v>108</v>
      </c>
      <c r="D274" s="206" t="s">
        <v>1206</v>
      </c>
      <c r="E274" s="206" t="s">
        <v>1207</v>
      </c>
      <c r="F274" s="206">
        <v>1722254955</v>
      </c>
      <c r="G274" s="206" t="s">
        <v>280</v>
      </c>
      <c r="H274" s="206" t="s">
        <v>84</v>
      </c>
      <c r="I274" s="206" t="s">
        <v>109</v>
      </c>
      <c r="J274" s="206" t="s">
        <v>282</v>
      </c>
      <c r="K274" s="206" t="s">
        <v>31</v>
      </c>
      <c r="L274" s="206" t="str">
        <f>VLOOKUP(Primary_Order[[#This Row],[Product ID]],SKU[],3,0)</f>
        <v>3000 4T PLUS 10W30</v>
      </c>
      <c r="M274" s="231">
        <v>80</v>
      </c>
      <c r="N274" s="231">
        <v>540</v>
      </c>
      <c r="O274" s="231">
        <v>80</v>
      </c>
      <c r="P274" s="232">
        <v>0</v>
      </c>
      <c r="Q274" s="231">
        <v>0</v>
      </c>
      <c r="R274" s="231">
        <v>540</v>
      </c>
      <c r="S274" s="231">
        <v>80</v>
      </c>
      <c r="T274" s="231">
        <v>80</v>
      </c>
      <c r="U274" s="231">
        <v>43200</v>
      </c>
      <c r="V274" s="231">
        <v>0</v>
      </c>
      <c r="W274" s="231">
        <v>43200</v>
      </c>
      <c r="X274" s="231">
        <v>5634.782608695652</v>
      </c>
      <c r="Y274" s="231">
        <v>37565.217391304344</v>
      </c>
      <c r="Z274" s="206" t="s">
        <v>882</v>
      </c>
      <c r="AA274" s="206">
        <v>640</v>
      </c>
      <c r="AB274" s="206" t="s">
        <v>749</v>
      </c>
      <c r="AC274" s="230">
        <v>45707</v>
      </c>
      <c r="AD274" s="206" t="s">
        <v>50</v>
      </c>
      <c r="AE274" s="206" t="str">
        <f>IFERROR(VLOOKUP(Primary_Order[[#This Row],[AM]],SP!$E$19:$F$23,2,0),Primary_Order[[#This Row],[AM]])</f>
        <v>Northern</v>
      </c>
      <c r="AF274" s="206" t="str">
        <f>VLOOKUP(Primary_Order[[#This Row],[Product ID]],SKU[],10,0)</f>
        <v>Mineral</v>
      </c>
      <c r="AG274" s="206" t="str">
        <f>VLOOKUP(Primary_Order[[#This Row],[Product ID]],SKU[],9,0)</f>
        <v>MCO</v>
      </c>
      <c r="AH274" s="206" t="str">
        <f>VLOOKUP(Primary_Order[[#This Row],[Product ID]],SKU[],12,0)</f>
        <v>10W30</v>
      </c>
      <c r="AI274" s="206" t="str">
        <f>VLOOKUP(Primary_Order[[#This Row],[Product ID]],SKU[],13,0)</f>
        <v>3000</v>
      </c>
      <c r="AJ274" s="233">
        <f>VLOOKUP(Primary_Order[[#This Row],[Product ID]],SKU[[SKU ID]:[Bottle Size(Ltr)]],6,0)*Primary_Order[[#This Row],[Free Quantity]]</f>
        <v>0</v>
      </c>
      <c r="AK274" s="206" t="str">
        <f>VLOOKUP(Primary_Order[[#This Row],[Product ID]],SKU[[SKU ID]:[Bottle Size(Ltr)]],4,0)</f>
        <v>20x1L</v>
      </c>
      <c r="AL274" s="231">
        <f>VLOOKUP(Primary_Order[[#This Row],[Product ID]],SKU[],14,0)*Primary_Order[[#This Row],[Total Qty]]</f>
        <v>30346.399999999998</v>
      </c>
      <c r="AM274" s="231">
        <f>IF(Primary_Order[[#This Row],[Cost]]=0,0,Primary_Order[[#This Row],[Net Total(-15%)]]-Primary_Order[[#This Row],[Cost]])</f>
        <v>7218.8173913043465</v>
      </c>
      <c r="AN274" s="206" t="str">
        <f>"O-"&amp;Primary_Order[[#This Row],[Date]]&amp;"-"&amp;Primary_Order[[#This Row],[MMD ID]]</f>
        <v>O-45706-D-0023</v>
      </c>
      <c r="AO274" s="206" t="str" cm="1">
        <f t="array" ref="AO27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5" spans="1:41" x14ac:dyDescent="0.5">
      <c r="A275" s="206" t="s">
        <v>1224</v>
      </c>
      <c r="B275" s="230">
        <v>45706</v>
      </c>
      <c r="C275" s="206" t="s">
        <v>108</v>
      </c>
      <c r="D275" s="206" t="s">
        <v>1206</v>
      </c>
      <c r="E275" s="206" t="s">
        <v>1207</v>
      </c>
      <c r="F275" s="206">
        <v>1722254955</v>
      </c>
      <c r="G275" s="206" t="s">
        <v>280</v>
      </c>
      <c r="H275" s="206" t="s">
        <v>84</v>
      </c>
      <c r="I275" s="206" t="s">
        <v>109</v>
      </c>
      <c r="J275" s="206" t="s">
        <v>282</v>
      </c>
      <c r="K275" s="206" t="s">
        <v>54</v>
      </c>
      <c r="L275" s="206" t="str">
        <f>VLOOKUP(Primary_Order[[#This Row],[Product ID]],SKU[],3,0)</f>
        <v>3000 4T PLUS 10W40</v>
      </c>
      <c r="M275" s="231">
        <v>80</v>
      </c>
      <c r="N275" s="231">
        <v>550</v>
      </c>
      <c r="O275" s="231">
        <v>80</v>
      </c>
      <c r="P275" s="232">
        <v>0</v>
      </c>
      <c r="Q275" s="231">
        <v>0</v>
      </c>
      <c r="R275" s="231">
        <v>550</v>
      </c>
      <c r="S275" s="231">
        <v>80</v>
      </c>
      <c r="T275" s="231">
        <v>80</v>
      </c>
      <c r="U275" s="231">
        <v>44000</v>
      </c>
      <c r="V275" s="231">
        <v>0</v>
      </c>
      <c r="W275" s="231">
        <v>44000</v>
      </c>
      <c r="X275" s="231">
        <v>5739.130434782609</v>
      </c>
      <c r="Y275" s="231">
        <v>38260.869565217392</v>
      </c>
      <c r="Z275" s="206" t="s">
        <v>882</v>
      </c>
      <c r="AA275" s="206">
        <v>640</v>
      </c>
      <c r="AB275" s="206" t="s">
        <v>749</v>
      </c>
      <c r="AC275" s="230">
        <v>45707</v>
      </c>
      <c r="AD275" s="206" t="s">
        <v>50</v>
      </c>
      <c r="AE275" s="206" t="str">
        <f>IFERROR(VLOOKUP(Primary_Order[[#This Row],[AM]],SP!$E$19:$F$23,2,0),Primary_Order[[#This Row],[AM]])</f>
        <v>Northern</v>
      </c>
      <c r="AF275" s="206" t="str">
        <f>VLOOKUP(Primary_Order[[#This Row],[Product ID]],SKU[],10,0)</f>
        <v>Mineral</v>
      </c>
      <c r="AG275" s="206" t="str">
        <f>VLOOKUP(Primary_Order[[#This Row],[Product ID]],SKU[],9,0)</f>
        <v>MCO</v>
      </c>
      <c r="AH275" s="206" t="str">
        <f>VLOOKUP(Primary_Order[[#This Row],[Product ID]],SKU[],12,0)</f>
        <v>10W40</v>
      </c>
      <c r="AI275" s="206" t="str">
        <f>VLOOKUP(Primary_Order[[#This Row],[Product ID]],SKU[],13,0)</f>
        <v>3000</v>
      </c>
      <c r="AJ275" s="233">
        <f>VLOOKUP(Primary_Order[[#This Row],[Product ID]],SKU[[SKU ID]:[Bottle Size(Ltr)]],6,0)*Primary_Order[[#This Row],[Free Quantity]]</f>
        <v>0</v>
      </c>
      <c r="AK275" s="206" t="str">
        <f>VLOOKUP(Primary_Order[[#This Row],[Product ID]],SKU[[SKU ID]:[Bottle Size(Ltr)]],4,0)</f>
        <v>20x1L</v>
      </c>
      <c r="AL275" s="231">
        <f>VLOOKUP(Primary_Order[[#This Row],[Product ID]],SKU[],14,0)*Primary_Order[[#This Row],[Total Qty]]</f>
        <v>30788</v>
      </c>
      <c r="AM275" s="231">
        <f>IF(Primary_Order[[#This Row],[Cost]]=0,0,Primary_Order[[#This Row],[Net Total(-15%)]]-Primary_Order[[#This Row],[Cost]])</f>
        <v>7472.8695652173919</v>
      </c>
      <c r="AN275" s="206" t="str">
        <f>"O-"&amp;Primary_Order[[#This Row],[Date]]&amp;"-"&amp;Primary_Order[[#This Row],[MMD ID]]</f>
        <v>O-45706-D-0023</v>
      </c>
      <c r="AO275" s="206" t="str" cm="1">
        <f t="array" ref="AO27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6" spans="1:41" x14ac:dyDescent="0.5">
      <c r="A276" s="206" t="s">
        <v>1224</v>
      </c>
      <c r="B276" s="230">
        <v>45706</v>
      </c>
      <c r="C276" s="206" t="s">
        <v>108</v>
      </c>
      <c r="D276" s="206" t="s">
        <v>1206</v>
      </c>
      <c r="E276" s="206" t="s">
        <v>1207</v>
      </c>
      <c r="F276" s="206">
        <v>1722254955</v>
      </c>
      <c r="G276" s="206" t="s">
        <v>280</v>
      </c>
      <c r="H276" s="206" t="s">
        <v>84</v>
      </c>
      <c r="I276" s="206" t="s">
        <v>109</v>
      </c>
      <c r="J276" s="206" t="s">
        <v>282</v>
      </c>
      <c r="K276" s="206" t="s">
        <v>56</v>
      </c>
      <c r="L276" s="206" t="str">
        <f>VLOOKUP(Primary_Order[[#This Row],[Product ID]],SKU[],3,0)</f>
        <v>7100 4T 10W30 ESTER CORE®</v>
      </c>
      <c r="M276" s="231">
        <v>12</v>
      </c>
      <c r="N276" s="231">
        <v>1080</v>
      </c>
      <c r="O276" s="231">
        <v>12</v>
      </c>
      <c r="P276" s="232">
        <v>0</v>
      </c>
      <c r="Q276" s="231">
        <v>0</v>
      </c>
      <c r="R276" s="231">
        <v>1080</v>
      </c>
      <c r="S276" s="231">
        <v>12</v>
      </c>
      <c r="T276" s="231">
        <v>12</v>
      </c>
      <c r="U276" s="231">
        <v>12960</v>
      </c>
      <c r="V276" s="231">
        <v>0</v>
      </c>
      <c r="W276" s="231">
        <v>12960</v>
      </c>
      <c r="X276" s="231">
        <v>1690.4347826086957</v>
      </c>
      <c r="Y276" s="231">
        <v>11269.565217391304</v>
      </c>
      <c r="Z276" s="206" t="s">
        <v>882</v>
      </c>
      <c r="AA276" s="206">
        <v>640</v>
      </c>
      <c r="AB276" s="206" t="s">
        <v>749</v>
      </c>
      <c r="AC276" s="230">
        <v>45707</v>
      </c>
      <c r="AD276" s="206" t="s">
        <v>50</v>
      </c>
      <c r="AE276" s="206" t="str">
        <f>IFERROR(VLOOKUP(Primary_Order[[#This Row],[AM]],SP!$E$19:$F$23,2,0),Primary_Order[[#This Row],[AM]])</f>
        <v>Northern</v>
      </c>
      <c r="AF276" s="206" t="str">
        <f>VLOOKUP(Primary_Order[[#This Row],[Product ID]],SKU[],10,0)</f>
        <v>Synthetic</v>
      </c>
      <c r="AG276" s="206" t="str">
        <f>VLOOKUP(Primary_Order[[#This Row],[Product ID]],SKU[],9,0)</f>
        <v>MCO</v>
      </c>
      <c r="AH276" s="206" t="str">
        <f>VLOOKUP(Primary_Order[[#This Row],[Product ID]],SKU[],12,0)</f>
        <v>10W30</v>
      </c>
      <c r="AI276" s="206" t="str">
        <f>VLOOKUP(Primary_Order[[#This Row],[Product ID]],SKU[],13,0)</f>
        <v>7100</v>
      </c>
      <c r="AJ276" s="233">
        <f>VLOOKUP(Primary_Order[[#This Row],[Product ID]],SKU[[SKU ID]:[Bottle Size(Ltr)]],6,0)*Primary_Order[[#This Row],[Free Quantity]]</f>
        <v>0</v>
      </c>
      <c r="AK276" s="206" t="str">
        <f>VLOOKUP(Primary_Order[[#This Row],[Product ID]],SKU[[SKU ID]:[Bottle Size(Ltr)]],4,0)</f>
        <v>12x1L</v>
      </c>
      <c r="AL276" s="231">
        <f>VLOOKUP(Primary_Order[[#This Row],[Product ID]],SKU[],14,0)*Primary_Order[[#This Row],[Total Qty]]</f>
        <v>8278.32</v>
      </c>
      <c r="AM276" s="231">
        <f>IF(Primary_Order[[#This Row],[Cost]]=0,0,Primary_Order[[#This Row],[Net Total(-15%)]]-Primary_Order[[#This Row],[Cost]])</f>
        <v>2991.2452173913043</v>
      </c>
      <c r="AN276" s="206" t="str">
        <f>"O-"&amp;Primary_Order[[#This Row],[Date]]&amp;"-"&amp;Primary_Order[[#This Row],[MMD ID]]</f>
        <v>O-45706-D-0023</v>
      </c>
      <c r="AO276" s="206" t="str" cm="1">
        <f t="array" ref="AO27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7" spans="1:41" x14ac:dyDescent="0.5">
      <c r="A277" s="206" t="s">
        <v>1225</v>
      </c>
      <c r="B277" s="230">
        <v>45706</v>
      </c>
      <c r="C277" s="206" t="s">
        <v>100</v>
      </c>
      <c r="D277" s="206" t="s">
        <v>1177</v>
      </c>
      <c r="E277" s="206" t="s">
        <v>1209</v>
      </c>
      <c r="F277" s="206" t="s">
        <v>1179</v>
      </c>
      <c r="G277" s="206" t="s">
        <v>45</v>
      </c>
      <c r="H277" s="206" t="s">
        <v>28</v>
      </c>
      <c r="I277" s="206" t="s">
        <v>101</v>
      </c>
      <c r="J277" s="206" t="s">
        <v>536</v>
      </c>
      <c r="K277" s="206" t="s">
        <v>54</v>
      </c>
      <c r="L277" s="206" t="str">
        <f>VLOOKUP(Primary_Order[[#This Row],[Product ID]],SKU[],3,0)</f>
        <v>3000 4T PLUS 10W40</v>
      </c>
      <c r="M277" s="231">
        <v>100</v>
      </c>
      <c r="N277" s="231">
        <v>550</v>
      </c>
      <c r="O277" s="231">
        <v>100</v>
      </c>
      <c r="P277" s="232">
        <v>0</v>
      </c>
      <c r="Q277" s="231">
        <v>0</v>
      </c>
      <c r="R277" s="231">
        <v>550</v>
      </c>
      <c r="S277" s="231">
        <v>100</v>
      </c>
      <c r="T277" s="231">
        <v>100</v>
      </c>
      <c r="U277" s="231">
        <v>55000</v>
      </c>
      <c r="V277" s="231">
        <v>0</v>
      </c>
      <c r="W277" s="231">
        <v>55000</v>
      </c>
      <c r="X277" s="231">
        <v>7173.913043478261</v>
      </c>
      <c r="Y277" s="231">
        <v>47826.086956521736</v>
      </c>
      <c r="Z277" s="206" t="s">
        <v>882</v>
      </c>
      <c r="AA277" s="206">
        <v>641</v>
      </c>
      <c r="AB277" s="206" t="s">
        <v>749</v>
      </c>
      <c r="AC277" s="230">
        <v>45707</v>
      </c>
      <c r="AD277" s="206" t="s">
        <v>50</v>
      </c>
      <c r="AE277" s="206" t="str">
        <f>IFERROR(VLOOKUP(Primary_Order[[#This Row],[AM]],SP!$E$19:$F$23,2,0),Primary_Order[[#This Row],[AM]])</f>
        <v>Eastern</v>
      </c>
      <c r="AF277" s="206" t="str">
        <f>VLOOKUP(Primary_Order[[#This Row],[Product ID]],SKU[],10,0)</f>
        <v>Mineral</v>
      </c>
      <c r="AG277" s="206" t="str">
        <f>VLOOKUP(Primary_Order[[#This Row],[Product ID]],SKU[],9,0)</f>
        <v>MCO</v>
      </c>
      <c r="AH277" s="206" t="str">
        <f>VLOOKUP(Primary_Order[[#This Row],[Product ID]],SKU[],12,0)</f>
        <v>10W40</v>
      </c>
      <c r="AI277" s="206" t="str">
        <f>VLOOKUP(Primary_Order[[#This Row],[Product ID]],SKU[],13,0)</f>
        <v>3000</v>
      </c>
      <c r="AJ277" s="233">
        <f>VLOOKUP(Primary_Order[[#This Row],[Product ID]],SKU[[SKU ID]:[Bottle Size(Ltr)]],6,0)*Primary_Order[[#This Row],[Free Quantity]]</f>
        <v>0</v>
      </c>
      <c r="AK277" s="206" t="str">
        <f>VLOOKUP(Primary_Order[[#This Row],[Product ID]],SKU[[SKU ID]:[Bottle Size(Ltr)]],4,0)</f>
        <v>20x1L</v>
      </c>
      <c r="AL277" s="231">
        <f>VLOOKUP(Primary_Order[[#This Row],[Product ID]],SKU[],14,0)*Primary_Order[[#This Row],[Total Qty]]</f>
        <v>38485</v>
      </c>
      <c r="AM277" s="231">
        <f>IF(Primary_Order[[#This Row],[Cost]]=0,0,Primary_Order[[#This Row],[Net Total(-15%)]]-Primary_Order[[#This Row],[Cost]])</f>
        <v>9341.0869565217363</v>
      </c>
      <c r="AN277" s="206" t="str">
        <f>"O-"&amp;Primary_Order[[#This Row],[Date]]&amp;"-"&amp;Primary_Order[[#This Row],[MMD ID]]</f>
        <v>O-45706-D-0014</v>
      </c>
      <c r="AO277" s="206" t="str" cm="1">
        <f t="array" ref="AO27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8" spans="1:41" x14ac:dyDescent="0.5">
      <c r="A278" s="206" t="s">
        <v>1226</v>
      </c>
      <c r="B278" s="230">
        <v>45704</v>
      </c>
      <c r="C278" s="206" t="s">
        <v>108</v>
      </c>
      <c r="D278" s="206" t="s">
        <v>1191</v>
      </c>
      <c r="E278" s="206" t="s">
        <v>1192</v>
      </c>
      <c r="F278" s="206">
        <v>1682261616</v>
      </c>
      <c r="G278" s="206" t="s">
        <v>280</v>
      </c>
      <c r="H278" s="206" t="s">
        <v>84</v>
      </c>
      <c r="I278" s="206" t="s">
        <v>109</v>
      </c>
      <c r="J278" s="206" t="s">
        <v>282</v>
      </c>
      <c r="K278" s="206" t="s">
        <v>31</v>
      </c>
      <c r="L278" s="206" t="str">
        <f>VLOOKUP(Primary_Order[[#This Row],[Product ID]],SKU[],3,0)</f>
        <v>3000 4T PLUS 10W30</v>
      </c>
      <c r="M278" s="231">
        <v>20</v>
      </c>
      <c r="N278" s="231">
        <v>540</v>
      </c>
      <c r="O278" s="231">
        <v>20</v>
      </c>
      <c r="P278" s="232">
        <v>9.2592592592593004E-3</v>
      </c>
      <c r="Q278" s="231">
        <v>0</v>
      </c>
      <c r="R278" s="231">
        <v>535</v>
      </c>
      <c r="S278" s="231">
        <v>20</v>
      </c>
      <c r="T278" s="231">
        <v>20</v>
      </c>
      <c r="U278" s="231">
        <v>10800</v>
      </c>
      <c r="V278" s="231">
        <v>0</v>
      </c>
      <c r="W278" s="231">
        <v>10700</v>
      </c>
      <c r="X278" s="231">
        <v>1395.6521739130435</v>
      </c>
      <c r="Y278" s="231">
        <v>9304.347826086956</v>
      </c>
      <c r="Z278" s="206" t="s">
        <v>882</v>
      </c>
      <c r="AA278" s="206">
        <v>636</v>
      </c>
      <c r="AB278" s="206" t="s">
        <v>749</v>
      </c>
      <c r="AC278" s="230">
        <v>45707</v>
      </c>
      <c r="AD278" s="206" t="s">
        <v>50</v>
      </c>
      <c r="AE278" s="206" t="str">
        <f>IFERROR(VLOOKUP(Primary_Order[[#This Row],[AM]],SP!$E$19:$F$23,2,0),Primary_Order[[#This Row],[AM]])</f>
        <v>Northern</v>
      </c>
      <c r="AF278" s="206" t="str">
        <f>VLOOKUP(Primary_Order[[#This Row],[Product ID]],SKU[],10,0)</f>
        <v>Mineral</v>
      </c>
      <c r="AG278" s="206" t="str">
        <f>VLOOKUP(Primary_Order[[#This Row],[Product ID]],SKU[],9,0)</f>
        <v>MCO</v>
      </c>
      <c r="AH278" s="206" t="str">
        <f>VLOOKUP(Primary_Order[[#This Row],[Product ID]],SKU[],12,0)</f>
        <v>10W30</v>
      </c>
      <c r="AI278" s="206" t="str">
        <f>VLOOKUP(Primary_Order[[#This Row],[Product ID]],SKU[],13,0)</f>
        <v>3000</v>
      </c>
      <c r="AJ278" s="233">
        <f>VLOOKUP(Primary_Order[[#This Row],[Product ID]],SKU[[SKU ID]:[Bottle Size(Ltr)]],6,0)*Primary_Order[[#This Row],[Free Quantity]]</f>
        <v>0</v>
      </c>
      <c r="AK278" s="206" t="str">
        <f>VLOOKUP(Primary_Order[[#This Row],[Product ID]],SKU[[SKU ID]:[Bottle Size(Ltr)]],4,0)</f>
        <v>20x1L</v>
      </c>
      <c r="AL278" s="231">
        <f>VLOOKUP(Primary_Order[[#This Row],[Product ID]],SKU[],14,0)*Primary_Order[[#This Row],[Total Qty]]</f>
        <v>7586.5999999999995</v>
      </c>
      <c r="AM278" s="231">
        <f>IF(Primary_Order[[#This Row],[Cost]]=0,0,Primary_Order[[#This Row],[Net Total(-15%)]]-Primary_Order[[#This Row],[Cost]])</f>
        <v>1717.7478260869566</v>
      </c>
      <c r="AN278" s="206" t="str">
        <f>"O-"&amp;Primary_Order[[#This Row],[Date]]&amp;"-"&amp;Primary_Order[[#This Row],[MMD ID]]</f>
        <v>O-45704-D-0023</v>
      </c>
      <c r="AO278" s="206" t="str" cm="1">
        <f t="array" ref="AO27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79" spans="1:41" x14ac:dyDescent="0.5">
      <c r="A279" s="206" t="s">
        <v>1226</v>
      </c>
      <c r="B279" s="230">
        <v>45704</v>
      </c>
      <c r="C279" s="206" t="s">
        <v>108</v>
      </c>
      <c r="D279" s="206" t="s">
        <v>1191</v>
      </c>
      <c r="E279" s="206" t="s">
        <v>1192</v>
      </c>
      <c r="F279" s="206">
        <v>1682261616</v>
      </c>
      <c r="G279" s="206" t="s">
        <v>280</v>
      </c>
      <c r="H279" s="206" t="s">
        <v>84</v>
      </c>
      <c r="I279" s="206" t="s">
        <v>109</v>
      </c>
      <c r="J279" s="206" t="s">
        <v>282</v>
      </c>
      <c r="K279" s="206" t="s">
        <v>53</v>
      </c>
      <c r="L279" s="206" t="str">
        <f>VLOOKUP(Primary_Order[[#This Row],[Product ID]],SKU[],3,0)</f>
        <v>3000 4T PLUS 20W40</v>
      </c>
      <c r="M279" s="231">
        <v>20</v>
      </c>
      <c r="N279" s="231">
        <v>535</v>
      </c>
      <c r="O279" s="231">
        <v>20</v>
      </c>
      <c r="P279" s="232">
        <v>9.3457943925233655E-3</v>
      </c>
      <c r="Q279" s="231">
        <v>0</v>
      </c>
      <c r="R279" s="231">
        <v>530</v>
      </c>
      <c r="S279" s="231">
        <v>20</v>
      </c>
      <c r="T279" s="231">
        <v>20</v>
      </c>
      <c r="U279" s="231">
        <v>10700</v>
      </c>
      <c r="V279" s="231">
        <v>0</v>
      </c>
      <c r="W279" s="231">
        <v>10600</v>
      </c>
      <c r="X279" s="231">
        <v>1382.608695652174</v>
      </c>
      <c r="Y279" s="231">
        <v>9217.391304347826</v>
      </c>
      <c r="Z279" s="206" t="s">
        <v>882</v>
      </c>
      <c r="AA279" s="206">
        <v>636</v>
      </c>
      <c r="AB279" s="206" t="s">
        <v>749</v>
      </c>
      <c r="AC279" s="230">
        <v>45707</v>
      </c>
      <c r="AD279" s="206" t="s">
        <v>50</v>
      </c>
      <c r="AE279" s="206" t="str">
        <f>IFERROR(VLOOKUP(Primary_Order[[#This Row],[AM]],SP!$E$19:$F$23,2,0),Primary_Order[[#This Row],[AM]])</f>
        <v>Northern</v>
      </c>
      <c r="AF279" s="206" t="str">
        <f>VLOOKUP(Primary_Order[[#This Row],[Product ID]],SKU[],10,0)</f>
        <v>Mineral</v>
      </c>
      <c r="AG279" s="206" t="str">
        <f>VLOOKUP(Primary_Order[[#This Row],[Product ID]],SKU[],9,0)</f>
        <v>MCO</v>
      </c>
      <c r="AH279" s="206" t="str">
        <f>VLOOKUP(Primary_Order[[#This Row],[Product ID]],SKU[],12,0)</f>
        <v>20W40</v>
      </c>
      <c r="AI279" s="206" t="str">
        <f>VLOOKUP(Primary_Order[[#This Row],[Product ID]],SKU[],13,0)</f>
        <v>3000</v>
      </c>
      <c r="AJ279" s="233">
        <f>VLOOKUP(Primary_Order[[#This Row],[Product ID]],SKU[[SKU ID]:[Bottle Size(Ltr)]],6,0)*Primary_Order[[#This Row],[Free Quantity]]</f>
        <v>0</v>
      </c>
      <c r="AK279" s="206" t="str">
        <f>VLOOKUP(Primary_Order[[#This Row],[Product ID]],SKU[[SKU ID]:[Bottle Size(Ltr)]],4,0)</f>
        <v>20x1L</v>
      </c>
      <c r="AL279" s="231">
        <f>VLOOKUP(Primary_Order[[#This Row],[Product ID]],SKU[],14,0)*Primary_Order[[#This Row],[Total Qty]]</f>
        <v>8255.2000000000007</v>
      </c>
      <c r="AM279" s="231">
        <f>IF(Primary_Order[[#This Row],[Cost]]=0,0,Primary_Order[[#This Row],[Net Total(-15%)]]-Primary_Order[[#This Row],[Cost]])</f>
        <v>962.19130434782528</v>
      </c>
      <c r="AN279" s="206" t="str">
        <f>"O-"&amp;Primary_Order[[#This Row],[Date]]&amp;"-"&amp;Primary_Order[[#This Row],[MMD ID]]</f>
        <v>O-45704-D-0023</v>
      </c>
      <c r="AO279" s="206" t="str" cm="1">
        <f t="array" ref="AO27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0" spans="1:41" x14ac:dyDescent="0.5">
      <c r="A280" s="206" t="s">
        <v>1226</v>
      </c>
      <c r="B280" s="230">
        <v>45704</v>
      </c>
      <c r="C280" s="206" t="s">
        <v>108</v>
      </c>
      <c r="D280" s="206" t="s">
        <v>1191</v>
      </c>
      <c r="E280" s="206" t="s">
        <v>1192</v>
      </c>
      <c r="F280" s="206">
        <v>1682261616</v>
      </c>
      <c r="G280" s="206" t="s">
        <v>280</v>
      </c>
      <c r="H280" s="206" t="s">
        <v>84</v>
      </c>
      <c r="I280" s="206" t="s">
        <v>109</v>
      </c>
      <c r="J280" s="206" t="s">
        <v>282</v>
      </c>
      <c r="K280" s="206" t="s">
        <v>54</v>
      </c>
      <c r="L280" s="206" t="str">
        <f>VLOOKUP(Primary_Order[[#This Row],[Product ID]],SKU[],3,0)</f>
        <v>3000 4T PLUS 10W40</v>
      </c>
      <c r="M280" s="231">
        <v>20</v>
      </c>
      <c r="N280" s="231">
        <v>550</v>
      </c>
      <c r="O280" s="231">
        <v>20</v>
      </c>
      <c r="P280" s="232">
        <v>9.0909090909090384E-3</v>
      </c>
      <c r="Q280" s="231">
        <v>0</v>
      </c>
      <c r="R280" s="231">
        <v>545</v>
      </c>
      <c r="S280" s="231">
        <v>20</v>
      </c>
      <c r="T280" s="231">
        <v>20</v>
      </c>
      <c r="U280" s="231">
        <v>11000</v>
      </c>
      <c r="V280" s="231">
        <v>0</v>
      </c>
      <c r="W280" s="231">
        <v>10900</v>
      </c>
      <c r="X280" s="231">
        <v>1421.7391304347825</v>
      </c>
      <c r="Y280" s="231">
        <v>9478.2608695652179</v>
      </c>
      <c r="Z280" s="206" t="s">
        <v>882</v>
      </c>
      <c r="AA280" s="206">
        <v>636</v>
      </c>
      <c r="AB280" s="206" t="s">
        <v>749</v>
      </c>
      <c r="AC280" s="230">
        <v>45707</v>
      </c>
      <c r="AD280" s="206" t="s">
        <v>50</v>
      </c>
      <c r="AE280" s="206" t="str">
        <f>IFERROR(VLOOKUP(Primary_Order[[#This Row],[AM]],SP!$E$19:$F$23,2,0),Primary_Order[[#This Row],[AM]])</f>
        <v>Northern</v>
      </c>
      <c r="AF280" s="206" t="str">
        <f>VLOOKUP(Primary_Order[[#This Row],[Product ID]],SKU[],10,0)</f>
        <v>Mineral</v>
      </c>
      <c r="AG280" s="206" t="str">
        <f>VLOOKUP(Primary_Order[[#This Row],[Product ID]],SKU[],9,0)</f>
        <v>MCO</v>
      </c>
      <c r="AH280" s="206" t="str">
        <f>VLOOKUP(Primary_Order[[#This Row],[Product ID]],SKU[],12,0)</f>
        <v>10W40</v>
      </c>
      <c r="AI280" s="206" t="str">
        <f>VLOOKUP(Primary_Order[[#This Row],[Product ID]],SKU[],13,0)</f>
        <v>3000</v>
      </c>
      <c r="AJ280" s="233">
        <f>VLOOKUP(Primary_Order[[#This Row],[Product ID]],SKU[[SKU ID]:[Bottle Size(Ltr)]],6,0)*Primary_Order[[#This Row],[Free Quantity]]</f>
        <v>0</v>
      </c>
      <c r="AK280" s="206" t="str">
        <f>VLOOKUP(Primary_Order[[#This Row],[Product ID]],SKU[[SKU ID]:[Bottle Size(Ltr)]],4,0)</f>
        <v>20x1L</v>
      </c>
      <c r="AL280" s="231">
        <f>VLOOKUP(Primary_Order[[#This Row],[Product ID]],SKU[],14,0)*Primary_Order[[#This Row],[Total Qty]]</f>
        <v>7697</v>
      </c>
      <c r="AM280" s="231">
        <f>IF(Primary_Order[[#This Row],[Cost]]=0,0,Primary_Order[[#This Row],[Net Total(-15%)]]-Primary_Order[[#This Row],[Cost]])</f>
        <v>1781.2608695652179</v>
      </c>
      <c r="AN280" s="206" t="str">
        <f>"O-"&amp;Primary_Order[[#This Row],[Date]]&amp;"-"&amp;Primary_Order[[#This Row],[MMD ID]]</f>
        <v>O-45704-D-0023</v>
      </c>
      <c r="AO280" s="206" t="str" cm="1">
        <f t="array" ref="AO28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1" spans="1:41" x14ac:dyDescent="0.5">
      <c r="A281" s="206" t="s">
        <v>1226</v>
      </c>
      <c r="B281" s="230">
        <v>45704</v>
      </c>
      <c r="C281" s="206" t="s">
        <v>108</v>
      </c>
      <c r="D281" s="206" t="s">
        <v>1191</v>
      </c>
      <c r="E281" s="206" t="s">
        <v>1192</v>
      </c>
      <c r="F281" s="206">
        <v>1682261616</v>
      </c>
      <c r="G281" s="206" t="s">
        <v>280</v>
      </c>
      <c r="H281" s="206" t="s">
        <v>84</v>
      </c>
      <c r="I281" s="206" t="s">
        <v>109</v>
      </c>
      <c r="J281" s="206" t="s">
        <v>282</v>
      </c>
      <c r="K281" s="206" t="s">
        <v>75</v>
      </c>
      <c r="L281" s="206" t="str">
        <f>VLOOKUP(Primary_Order[[#This Row],[Product ID]],SKU[],3,0)</f>
        <v>31004T GOLD 20W50</v>
      </c>
      <c r="M281" s="231">
        <v>40</v>
      </c>
      <c r="N281" s="231">
        <v>600</v>
      </c>
      <c r="O281" s="231">
        <v>40</v>
      </c>
      <c r="P281" s="232">
        <v>8.3333333333333037E-3</v>
      </c>
      <c r="Q281" s="231">
        <v>0</v>
      </c>
      <c r="R281" s="231">
        <v>595</v>
      </c>
      <c r="S281" s="231">
        <v>40</v>
      </c>
      <c r="T281" s="231">
        <v>40</v>
      </c>
      <c r="U281" s="231">
        <v>24000</v>
      </c>
      <c r="V281" s="231">
        <v>0</v>
      </c>
      <c r="W281" s="231">
        <v>23800</v>
      </c>
      <c r="X281" s="231">
        <v>3104.3478260869565</v>
      </c>
      <c r="Y281" s="231">
        <v>20695.652173913044</v>
      </c>
      <c r="Z281" s="206" t="s">
        <v>882</v>
      </c>
      <c r="AA281" s="206">
        <v>636</v>
      </c>
      <c r="AB281" s="206" t="s">
        <v>749</v>
      </c>
      <c r="AC281" s="230">
        <v>45707</v>
      </c>
      <c r="AD281" s="206" t="s">
        <v>50</v>
      </c>
      <c r="AE281" s="206" t="str">
        <f>IFERROR(VLOOKUP(Primary_Order[[#This Row],[AM]],SP!$E$19:$F$23,2,0),Primary_Order[[#This Row],[AM]])</f>
        <v>Northern</v>
      </c>
      <c r="AF281" s="206" t="str">
        <f>VLOOKUP(Primary_Order[[#This Row],[Product ID]],SKU[],10,0)</f>
        <v>Technosynthese</v>
      </c>
      <c r="AG281" s="206" t="str">
        <f>VLOOKUP(Primary_Order[[#This Row],[Product ID]],SKU[],9,0)</f>
        <v>MCO</v>
      </c>
      <c r="AH281" s="206" t="str">
        <f>VLOOKUP(Primary_Order[[#This Row],[Product ID]],SKU[],12,0)</f>
        <v>20W50</v>
      </c>
      <c r="AI281" s="206" t="str">
        <f>VLOOKUP(Primary_Order[[#This Row],[Product ID]],SKU[],13,0)</f>
        <v>3100</v>
      </c>
      <c r="AJ281" s="233">
        <f>VLOOKUP(Primary_Order[[#This Row],[Product ID]],SKU[[SKU ID]:[Bottle Size(Ltr)]],6,0)*Primary_Order[[#This Row],[Free Quantity]]</f>
        <v>0</v>
      </c>
      <c r="AK281" s="206" t="str">
        <f>VLOOKUP(Primary_Order[[#This Row],[Product ID]],SKU[[SKU ID]:[Bottle Size(Ltr)]],4,0)</f>
        <v>20x1L</v>
      </c>
      <c r="AL281" s="231">
        <f>VLOOKUP(Primary_Order[[#This Row],[Product ID]],SKU[],14,0)*Primary_Order[[#This Row],[Total Qty]]</f>
        <v>18775.599999999999</v>
      </c>
      <c r="AM281" s="231">
        <f>IF(Primary_Order[[#This Row],[Cost]]=0,0,Primary_Order[[#This Row],[Net Total(-15%)]]-Primary_Order[[#This Row],[Cost]])</f>
        <v>1920.0521739130454</v>
      </c>
      <c r="AN281" s="206" t="str">
        <f>"O-"&amp;Primary_Order[[#This Row],[Date]]&amp;"-"&amp;Primary_Order[[#This Row],[MMD ID]]</f>
        <v>O-45704-D-0023</v>
      </c>
      <c r="AO281" s="206" t="str" cm="1">
        <f t="array" ref="AO28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2" spans="1:41" x14ac:dyDescent="0.5">
      <c r="A282" s="206" t="s">
        <v>1226</v>
      </c>
      <c r="B282" s="230">
        <v>45704</v>
      </c>
      <c r="C282" s="206" t="s">
        <v>108</v>
      </c>
      <c r="D282" s="206" t="s">
        <v>1191</v>
      </c>
      <c r="E282" s="206" t="s">
        <v>1192</v>
      </c>
      <c r="F282" s="206">
        <v>1682261616</v>
      </c>
      <c r="G282" s="206" t="s">
        <v>280</v>
      </c>
      <c r="H282" s="206" t="s">
        <v>84</v>
      </c>
      <c r="I282" s="206" t="s">
        <v>109</v>
      </c>
      <c r="J282" s="206" t="s">
        <v>282</v>
      </c>
      <c r="K282" s="206" t="s">
        <v>77</v>
      </c>
      <c r="L282" s="206" t="str">
        <f>VLOOKUP(Primary_Order[[#This Row],[Product ID]],SKU[],3,0)</f>
        <v>31004T GOLD 10W30</v>
      </c>
      <c r="M282" s="231">
        <v>20</v>
      </c>
      <c r="N282" s="231">
        <v>600</v>
      </c>
      <c r="O282" s="231">
        <v>20</v>
      </c>
      <c r="P282" s="232">
        <v>8.3333333333333037E-3</v>
      </c>
      <c r="Q282" s="231">
        <v>0</v>
      </c>
      <c r="R282" s="231">
        <v>595</v>
      </c>
      <c r="S282" s="231">
        <v>20</v>
      </c>
      <c r="T282" s="231">
        <v>20</v>
      </c>
      <c r="U282" s="231">
        <v>12000</v>
      </c>
      <c r="V282" s="231">
        <v>0</v>
      </c>
      <c r="W282" s="231">
        <v>11900</v>
      </c>
      <c r="X282" s="231">
        <v>1552.1739130434783</v>
      </c>
      <c r="Y282" s="231">
        <v>10347.826086956522</v>
      </c>
      <c r="Z282" s="206" t="s">
        <v>882</v>
      </c>
      <c r="AA282" s="206">
        <v>636</v>
      </c>
      <c r="AB282" s="206" t="s">
        <v>749</v>
      </c>
      <c r="AC282" s="230">
        <v>45707</v>
      </c>
      <c r="AD282" s="206" t="s">
        <v>50</v>
      </c>
      <c r="AE282" s="206" t="str">
        <f>IFERROR(VLOOKUP(Primary_Order[[#This Row],[AM]],SP!$E$19:$F$23,2,0),Primary_Order[[#This Row],[AM]])</f>
        <v>Northern</v>
      </c>
      <c r="AF282" s="206" t="str">
        <f>VLOOKUP(Primary_Order[[#This Row],[Product ID]],SKU[],10,0)</f>
        <v>Technosynthese</v>
      </c>
      <c r="AG282" s="206" t="str">
        <f>VLOOKUP(Primary_Order[[#This Row],[Product ID]],SKU[],9,0)</f>
        <v>MCO</v>
      </c>
      <c r="AH282" s="206" t="str">
        <f>VLOOKUP(Primary_Order[[#This Row],[Product ID]],SKU[],12,0)</f>
        <v>10W30</v>
      </c>
      <c r="AI282" s="206" t="str">
        <f>VLOOKUP(Primary_Order[[#This Row],[Product ID]],SKU[],13,0)</f>
        <v>3100</v>
      </c>
      <c r="AJ282" s="233">
        <f>VLOOKUP(Primary_Order[[#This Row],[Product ID]],SKU[[SKU ID]:[Bottle Size(Ltr)]],6,0)*Primary_Order[[#This Row],[Free Quantity]]</f>
        <v>0</v>
      </c>
      <c r="AK282" s="206" t="str">
        <f>VLOOKUP(Primary_Order[[#This Row],[Product ID]],SKU[[SKU ID]:[Bottle Size(Ltr)]],4,0)</f>
        <v>20x1L</v>
      </c>
      <c r="AL282" s="231">
        <f>VLOOKUP(Primary_Order[[#This Row],[Product ID]],SKU[],14,0)*Primary_Order[[#This Row],[Total Qty]]</f>
        <v>8502</v>
      </c>
      <c r="AM282" s="231">
        <f>IF(Primary_Order[[#This Row],[Cost]]=0,0,Primary_Order[[#This Row],[Net Total(-15%)]]-Primary_Order[[#This Row],[Cost]])</f>
        <v>1845.826086956522</v>
      </c>
      <c r="AN282" s="206" t="str">
        <f>"O-"&amp;Primary_Order[[#This Row],[Date]]&amp;"-"&amp;Primary_Order[[#This Row],[MMD ID]]</f>
        <v>O-45704-D-0023</v>
      </c>
      <c r="AO282" s="206" t="str" cm="1">
        <f t="array" ref="AO28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3" spans="1:41" x14ac:dyDescent="0.5">
      <c r="A283" s="206" t="s">
        <v>1226</v>
      </c>
      <c r="B283" s="230">
        <v>45704</v>
      </c>
      <c r="C283" s="206" t="s">
        <v>108</v>
      </c>
      <c r="D283" s="206" t="s">
        <v>1191</v>
      </c>
      <c r="E283" s="206" t="s">
        <v>1192</v>
      </c>
      <c r="F283" s="206">
        <v>1682261616</v>
      </c>
      <c r="G283" s="206" t="s">
        <v>280</v>
      </c>
      <c r="H283" s="206" t="s">
        <v>84</v>
      </c>
      <c r="I283" s="206" t="s">
        <v>109</v>
      </c>
      <c r="J283" s="206" t="s">
        <v>282</v>
      </c>
      <c r="K283" s="206" t="s">
        <v>35</v>
      </c>
      <c r="L283" s="206" t="str">
        <f>VLOOKUP(Primary_Order[[#This Row],[Product ID]],SKU[],3,0)</f>
        <v>51004T 10W30 ESTER</v>
      </c>
      <c r="M283" s="231">
        <v>12</v>
      </c>
      <c r="N283" s="231">
        <v>860</v>
      </c>
      <c r="O283" s="231">
        <v>12</v>
      </c>
      <c r="P283" s="232">
        <v>5.8139534883721034E-3</v>
      </c>
      <c r="Q283" s="231">
        <v>0</v>
      </c>
      <c r="R283" s="231">
        <v>855</v>
      </c>
      <c r="S283" s="231">
        <v>12</v>
      </c>
      <c r="T283" s="231">
        <v>12</v>
      </c>
      <c r="U283" s="231">
        <v>10320</v>
      </c>
      <c r="V283" s="231">
        <v>0</v>
      </c>
      <c r="W283" s="231">
        <v>10260</v>
      </c>
      <c r="X283" s="231">
        <v>1338.2608695652175</v>
      </c>
      <c r="Y283" s="231">
        <v>8921.7391304347821</v>
      </c>
      <c r="Z283" s="206" t="s">
        <v>882</v>
      </c>
      <c r="AA283" s="206">
        <v>636</v>
      </c>
      <c r="AB283" s="206" t="s">
        <v>749</v>
      </c>
      <c r="AC283" s="230">
        <v>45707</v>
      </c>
      <c r="AD283" s="206" t="s">
        <v>50</v>
      </c>
      <c r="AE283" s="206" t="str">
        <f>IFERROR(VLOOKUP(Primary_Order[[#This Row],[AM]],SP!$E$19:$F$23,2,0),Primary_Order[[#This Row],[AM]])</f>
        <v>Northern</v>
      </c>
      <c r="AF283" s="206" t="str">
        <f>VLOOKUP(Primary_Order[[#This Row],[Product ID]],SKU[],10,0)</f>
        <v>Technosynthese</v>
      </c>
      <c r="AG283" s="206" t="str">
        <f>VLOOKUP(Primary_Order[[#This Row],[Product ID]],SKU[],9,0)</f>
        <v>MCO</v>
      </c>
      <c r="AH283" s="206" t="str">
        <f>VLOOKUP(Primary_Order[[#This Row],[Product ID]],SKU[],12,0)</f>
        <v>10W30</v>
      </c>
      <c r="AI283" s="206" t="str">
        <f>VLOOKUP(Primary_Order[[#This Row],[Product ID]],SKU[],13,0)</f>
        <v>5100</v>
      </c>
      <c r="AJ283" s="233">
        <f>VLOOKUP(Primary_Order[[#This Row],[Product ID]],SKU[[SKU ID]:[Bottle Size(Ltr)]],6,0)*Primary_Order[[#This Row],[Free Quantity]]</f>
        <v>0</v>
      </c>
      <c r="AK283" s="206" t="str">
        <f>VLOOKUP(Primary_Order[[#This Row],[Product ID]],SKU[[SKU ID]:[Bottle Size(Ltr)]],4,0)</f>
        <v>12x1L</v>
      </c>
      <c r="AL283" s="231">
        <f>VLOOKUP(Primary_Order[[#This Row],[Product ID]],SKU[],14,0)*Primary_Order[[#This Row],[Total Qty]]</f>
        <v>7231.68</v>
      </c>
      <c r="AM283" s="231">
        <f>IF(Primary_Order[[#This Row],[Cost]]=0,0,Primary_Order[[#This Row],[Net Total(-15%)]]-Primary_Order[[#This Row],[Cost]])</f>
        <v>1690.0591304347818</v>
      </c>
      <c r="AN283" s="206" t="str">
        <f>"O-"&amp;Primary_Order[[#This Row],[Date]]&amp;"-"&amp;Primary_Order[[#This Row],[MMD ID]]</f>
        <v>O-45704-D-0023</v>
      </c>
      <c r="AO283" s="206" t="str" cm="1">
        <f t="array" ref="AO28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4" spans="1:41" x14ac:dyDescent="0.5">
      <c r="A284" s="206" t="s">
        <v>1226</v>
      </c>
      <c r="B284" s="230">
        <v>45704</v>
      </c>
      <c r="C284" s="206" t="s">
        <v>108</v>
      </c>
      <c r="D284" s="206" t="s">
        <v>1191</v>
      </c>
      <c r="E284" s="206" t="s">
        <v>1192</v>
      </c>
      <c r="F284" s="206">
        <v>1682261616</v>
      </c>
      <c r="G284" s="206" t="s">
        <v>280</v>
      </c>
      <c r="H284" s="206" t="s">
        <v>84</v>
      </c>
      <c r="I284" s="206" t="s">
        <v>109</v>
      </c>
      <c r="J284" s="206" t="s">
        <v>282</v>
      </c>
      <c r="K284" s="206" t="s">
        <v>36</v>
      </c>
      <c r="L284" s="206" t="str">
        <f>VLOOKUP(Primary_Order[[#This Row],[Product ID]],SKU[],3,0)</f>
        <v>51004T 10W40 ESTER</v>
      </c>
      <c r="M284" s="231">
        <v>24</v>
      </c>
      <c r="N284" s="231">
        <v>860</v>
      </c>
      <c r="O284" s="231">
        <v>24</v>
      </c>
      <c r="P284" s="232">
        <v>5.8139534883721034E-3</v>
      </c>
      <c r="Q284" s="231">
        <v>0</v>
      </c>
      <c r="R284" s="231">
        <v>855</v>
      </c>
      <c r="S284" s="231">
        <v>24</v>
      </c>
      <c r="T284" s="231">
        <v>24</v>
      </c>
      <c r="U284" s="231">
        <v>20640</v>
      </c>
      <c r="V284" s="231">
        <v>0</v>
      </c>
      <c r="W284" s="231">
        <v>20520</v>
      </c>
      <c r="X284" s="231">
        <v>2676.521739130435</v>
      </c>
      <c r="Y284" s="231">
        <v>17843.478260869564</v>
      </c>
      <c r="Z284" s="206" t="s">
        <v>882</v>
      </c>
      <c r="AA284" s="206">
        <v>636</v>
      </c>
      <c r="AB284" s="206" t="s">
        <v>749</v>
      </c>
      <c r="AC284" s="230">
        <v>45707</v>
      </c>
      <c r="AD284" s="206" t="s">
        <v>50</v>
      </c>
      <c r="AE284" s="206" t="str">
        <f>IFERROR(VLOOKUP(Primary_Order[[#This Row],[AM]],SP!$E$19:$F$23,2,0),Primary_Order[[#This Row],[AM]])</f>
        <v>Northern</v>
      </c>
      <c r="AF284" s="206" t="str">
        <f>VLOOKUP(Primary_Order[[#This Row],[Product ID]],SKU[],10,0)</f>
        <v>Technosynthese</v>
      </c>
      <c r="AG284" s="206" t="str">
        <f>VLOOKUP(Primary_Order[[#This Row],[Product ID]],SKU[],9,0)</f>
        <v>MCO</v>
      </c>
      <c r="AH284" s="206" t="str">
        <f>VLOOKUP(Primary_Order[[#This Row],[Product ID]],SKU[],12,0)</f>
        <v>10W40</v>
      </c>
      <c r="AI284" s="206" t="str">
        <f>VLOOKUP(Primary_Order[[#This Row],[Product ID]],SKU[],13,0)</f>
        <v>5100</v>
      </c>
      <c r="AJ284" s="233">
        <f>VLOOKUP(Primary_Order[[#This Row],[Product ID]],SKU[[SKU ID]:[Bottle Size(Ltr)]],6,0)*Primary_Order[[#This Row],[Free Quantity]]</f>
        <v>0</v>
      </c>
      <c r="AK284" s="206" t="str">
        <f>VLOOKUP(Primary_Order[[#This Row],[Product ID]],SKU[[SKU ID]:[Bottle Size(Ltr)]],4,0)</f>
        <v>12x1L</v>
      </c>
      <c r="AL284" s="231">
        <f>VLOOKUP(Primary_Order[[#This Row],[Product ID]],SKU[],14,0)*Primary_Order[[#This Row],[Total Qty]]</f>
        <v>14599.920000000002</v>
      </c>
      <c r="AM284" s="231">
        <f>IF(Primary_Order[[#This Row],[Cost]]=0,0,Primary_Order[[#This Row],[Net Total(-15%)]]-Primary_Order[[#This Row],[Cost]])</f>
        <v>3243.5582608695622</v>
      </c>
      <c r="AN284" s="206" t="str">
        <f>"O-"&amp;Primary_Order[[#This Row],[Date]]&amp;"-"&amp;Primary_Order[[#This Row],[MMD ID]]</f>
        <v>O-45704-D-0023</v>
      </c>
      <c r="AO284" s="206" t="str" cm="1">
        <f t="array" ref="AO28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5" spans="1:41" x14ac:dyDescent="0.5">
      <c r="A285" s="206" t="s">
        <v>1226</v>
      </c>
      <c r="B285" s="230">
        <v>45704</v>
      </c>
      <c r="C285" s="206" t="s">
        <v>108</v>
      </c>
      <c r="D285" s="206" t="s">
        <v>1191</v>
      </c>
      <c r="E285" s="206" t="s">
        <v>1192</v>
      </c>
      <c r="F285" s="206">
        <v>1682261616</v>
      </c>
      <c r="G285" s="206" t="s">
        <v>280</v>
      </c>
      <c r="H285" s="206" t="s">
        <v>84</v>
      </c>
      <c r="I285" s="206" t="s">
        <v>109</v>
      </c>
      <c r="J285" s="206" t="s">
        <v>282</v>
      </c>
      <c r="K285" s="206" t="s">
        <v>81</v>
      </c>
      <c r="L285" s="206" t="str">
        <f>VLOOKUP(Primary_Order[[#This Row],[Product ID]],SKU[],3,0)</f>
        <v>3000 4T 20W50</v>
      </c>
      <c r="M285" s="231">
        <v>80</v>
      </c>
      <c r="N285" s="231">
        <v>495</v>
      </c>
      <c r="O285" s="231">
        <v>80</v>
      </c>
      <c r="P285" s="232">
        <v>2.4242424242424288E-2</v>
      </c>
      <c r="Q285" s="231">
        <v>0</v>
      </c>
      <c r="R285" s="231">
        <v>483</v>
      </c>
      <c r="S285" s="231">
        <v>80</v>
      </c>
      <c r="T285" s="231">
        <v>80</v>
      </c>
      <c r="U285" s="231">
        <v>39600</v>
      </c>
      <c r="V285" s="231">
        <v>0</v>
      </c>
      <c r="W285" s="231">
        <v>38640</v>
      </c>
      <c r="X285" s="231">
        <v>5040</v>
      </c>
      <c r="Y285" s="231">
        <v>33600</v>
      </c>
      <c r="Z285" s="206" t="s">
        <v>882</v>
      </c>
      <c r="AA285" s="206">
        <v>636</v>
      </c>
      <c r="AB285" s="206" t="s">
        <v>749</v>
      </c>
      <c r="AC285" s="230">
        <v>45707</v>
      </c>
      <c r="AD285" s="206" t="s">
        <v>50</v>
      </c>
      <c r="AE285" s="206" t="str">
        <f>IFERROR(VLOOKUP(Primary_Order[[#This Row],[AM]],SP!$E$19:$F$23,2,0),Primary_Order[[#This Row],[AM]])</f>
        <v>Northern</v>
      </c>
      <c r="AF285" s="206" t="str">
        <f>VLOOKUP(Primary_Order[[#This Row],[Product ID]],SKU[],10,0)</f>
        <v>Mineral</v>
      </c>
      <c r="AG285" s="206" t="str">
        <f>VLOOKUP(Primary_Order[[#This Row],[Product ID]],SKU[],9,0)</f>
        <v>MCO</v>
      </c>
      <c r="AH285" s="206" t="str">
        <f>VLOOKUP(Primary_Order[[#This Row],[Product ID]],SKU[],12,0)</f>
        <v>20W50</v>
      </c>
      <c r="AI285" s="206" t="str">
        <f>VLOOKUP(Primary_Order[[#This Row],[Product ID]],SKU[],13,0)</f>
        <v>3000</v>
      </c>
      <c r="AJ285" s="233">
        <f>VLOOKUP(Primary_Order[[#This Row],[Product ID]],SKU[[SKU ID]:[Bottle Size(Ltr)]],6,0)*Primary_Order[[#This Row],[Free Quantity]]</f>
        <v>0</v>
      </c>
      <c r="AK285" s="206" t="str">
        <f>VLOOKUP(Primary_Order[[#This Row],[Product ID]],SKU[[SKU ID]:[Bottle Size(Ltr)]],4,0)</f>
        <v>20x1L</v>
      </c>
      <c r="AL285" s="231">
        <f>VLOOKUP(Primary_Order[[#This Row],[Product ID]],SKU[],14,0)*Primary_Order[[#This Row],[Total Qty]]</f>
        <v>29193.600000000002</v>
      </c>
      <c r="AM285" s="231">
        <f>IF(Primary_Order[[#This Row],[Cost]]=0,0,Primary_Order[[#This Row],[Net Total(-15%)]]-Primary_Order[[#This Row],[Cost]])</f>
        <v>4406.3999999999978</v>
      </c>
      <c r="AN285" s="206" t="str">
        <f>"O-"&amp;Primary_Order[[#This Row],[Date]]&amp;"-"&amp;Primary_Order[[#This Row],[MMD ID]]</f>
        <v>O-45704-D-0023</v>
      </c>
      <c r="AO285" s="206" t="str" cm="1">
        <f t="array" ref="AO28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6" spans="1:41" x14ac:dyDescent="0.5">
      <c r="A286" s="206" t="s">
        <v>1226</v>
      </c>
      <c r="B286" s="230">
        <v>45704</v>
      </c>
      <c r="C286" s="206" t="s">
        <v>108</v>
      </c>
      <c r="D286" s="206" t="s">
        <v>1191</v>
      </c>
      <c r="E286" s="206" t="s">
        <v>1192</v>
      </c>
      <c r="F286" s="206">
        <v>1682261616</v>
      </c>
      <c r="G286" s="206" t="s">
        <v>280</v>
      </c>
      <c r="H286" s="206" t="s">
        <v>84</v>
      </c>
      <c r="I286" s="206" t="s">
        <v>109</v>
      </c>
      <c r="J286" s="206" t="s">
        <v>282</v>
      </c>
      <c r="K286" s="206" t="s">
        <v>99</v>
      </c>
      <c r="L286" s="206" t="str">
        <f>VLOOKUP(Primary_Order[[#This Row],[Product ID]],SKU[],3,0)</f>
        <v>3000 4T 20W50</v>
      </c>
      <c r="M286" s="231">
        <v>20</v>
      </c>
      <c r="N286" s="231">
        <v>595</v>
      </c>
      <c r="O286" s="231">
        <v>24</v>
      </c>
      <c r="P286" s="232">
        <v>2.2521008403361353E-2</v>
      </c>
      <c r="Q286" s="231">
        <v>0</v>
      </c>
      <c r="R286" s="231">
        <v>581.6</v>
      </c>
      <c r="S286" s="231">
        <v>20</v>
      </c>
      <c r="T286" s="231">
        <v>24</v>
      </c>
      <c r="U286" s="231">
        <v>11900</v>
      </c>
      <c r="V286" s="231">
        <v>0</v>
      </c>
      <c r="W286" s="231">
        <v>11632</v>
      </c>
      <c r="X286" s="231">
        <v>1517.2173913043478</v>
      </c>
      <c r="Y286" s="231">
        <v>10114.782608695652</v>
      </c>
      <c r="Z286" s="206" t="s">
        <v>882</v>
      </c>
      <c r="AA286" s="206">
        <v>636</v>
      </c>
      <c r="AB286" s="206" t="s">
        <v>749</v>
      </c>
      <c r="AC286" s="230">
        <v>45707</v>
      </c>
      <c r="AD286" s="206" t="s">
        <v>50</v>
      </c>
      <c r="AE286" s="206" t="str">
        <f>IFERROR(VLOOKUP(Primary_Order[[#This Row],[AM]],SP!$E$19:$F$23,2,0),Primary_Order[[#This Row],[AM]])</f>
        <v>Northern</v>
      </c>
      <c r="AF286" s="206" t="str">
        <f>VLOOKUP(Primary_Order[[#This Row],[Product ID]],SKU[],10,0)</f>
        <v>Mineral</v>
      </c>
      <c r="AG286" s="206" t="str">
        <f>VLOOKUP(Primary_Order[[#This Row],[Product ID]],SKU[],9,0)</f>
        <v>MCO</v>
      </c>
      <c r="AH286" s="206" t="str">
        <f>VLOOKUP(Primary_Order[[#This Row],[Product ID]],SKU[],12,0)</f>
        <v>20W50</v>
      </c>
      <c r="AI286" s="206" t="str">
        <f>VLOOKUP(Primary_Order[[#This Row],[Product ID]],SKU[],13,0)</f>
        <v>3000</v>
      </c>
      <c r="AJ286" s="233">
        <f>VLOOKUP(Primary_Order[[#This Row],[Product ID]],SKU[[SKU ID]:[Bottle Size(Ltr)]],6,0)*Primary_Order[[#This Row],[Free Quantity]]</f>
        <v>0</v>
      </c>
      <c r="AK286" s="206" t="str">
        <f>VLOOKUP(Primary_Order[[#This Row],[Product ID]],SKU[[SKU ID]:[Bottle Size(Ltr)]],4,0)</f>
        <v>20x1.2L</v>
      </c>
      <c r="AL286" s="231">
        <f>VLOOKUP(Primary_Order[[#This Row],[Product ID]],SKU[],14,0)*Primary_Order[[#This Row],[Total Qty]]</f>
        <v>8692.2000000000007</v>
      </c>
      <c r="AM286" s="231">
        <f>IF(Primary_Order[[#This Row],[Cost]]=0,0,Primary_Order[[#This Row],[Net Total(-15%)]]-Primary_Order[[#This Row],[Cost]])</f>
        <v>1422.5826086956513</v>
      </c>
      <c r="AN286" s="206" t="str">
        <f>"O-"&amp;Primary_Order[[#This Row],[Date]]&amp;"-"&amp;Primary_Order[[#This Row],[MMD ID]]</f>
        <v>O-45704-D-0023</v>
      </c>
      <c r="AO286" s="206" t="str" cm="1">
        <f t="array" ref="AO28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7" spans="1:41" x14ac:dyDescent="0.5">
      <c r="A287" s="206" t="s">
        <v>1232</v>
      </c>
      <c r="B287" s="230">
        <v>45706</v>
      </c>
      <c r="C287" s="206" t="s">
        <v>90</v>
      </c>
      <c r="D287" s="206" t="s">
        <v>91</v>
      </c>
      <c r="E287" s="206" t="s">
        <v>50</v>
      </c>
      <c r="F287" s="206" t="s">
        <v>50</v>
      </c>
      <c r="G287" s="206" t="s">
        <v>39</v>
      </c>
      <c r="H287" s="206" t="s">
        <v>40</v>
      </c>
      <c r="I287" s="206" t="s">
        <v>91</v>
      </c>
      <c r="J287" s="206" t="s">
        <v>93</v>
      </c>
      <c r="K287" s="206" t="s">
        <v>31</v>
      </c>
      <c r="L287" s="206" t="str">
        <f>VLOOKUP(Primary_Order[[#This Row],[Product ID]],SKU[],3,0)</f>
        <v>3000 4T PLUS 10W30</v>
      </c>
      <c r="M287" s="231">
        <v>400</v>
      </c>
      <c r="N287" s="231">
        <v>540</v>
      </c>
      <c r="O287" s="231">
        <v>400</v>
      </c>
      <c r="P287" s="232">
        <v>1.2962962962962954E-2</v>
      </c>
      <c r="Q287" s="231">
        <v>0</v>
      </c>
      <c r="R287" s="231">
        <v>533</v>
      </c>
      <c r="S287" s="231">
        <v>400</v>
      </c>
      <c r="T287" s="231">
        <v>400</v>
      </c>
      <c r="U287" s="231">
        <v>216000</v>
      </c>
      <c r="V287" s="231">
        <v>2800</v>
      </c>
      <c r="W287" s="231">
        <v>213200</v>
      </c>
      <c r="X287" s="231">
        <v>27808.695652173912</v>
      </c>
      <c r="Y287" s="231">
        <v>185391.30434782608</v>
      </c>
      <c r="Z287" s="206" t="s">
        <v>882</v>
      </c>
      <c r="AA287" s="206">
        <v>644</v>
      </c>
      <c r="AB287" s="206" t="s">
        <v>749</v>
      </c>
      <c r="AC287" s="230">
        <v>45711</v>
      </c>
      <c r="AD287" s="206" t="s">
        <v>50</v>
      </c>
      <c r="AE287" s="206" t="str">
        <f>IFERROR(VLOOKUP(Primary_Order[[#This Row],[AM]],SP!$E$19:$F$23,2,0),Primary_Order[[#This Row],[AM]])</f>
        <v>Central</v>
      </c>
      <c r="AF287" s="206" t="str">
        <f>VLOOKUP(Primary_Order[[#This Row],[Product ID]],SKU[],10,0)</f>
        <v>Mineral</v>
      </c>
      <c r="AG287" s="206" t="str">
        <f>VLOOKUP(Primary_Order[[#This Row],[Product ID]],SKU[],9,0)</f>
        <v>MCO</v>
      </c>
      <c r="AH287" s="206" t="str">
        <f>VLOOKUP(Primary_Order[[#This Row],[Product ID]],SKU[],12,0)</f>
        <v>10W30</v>
      </c>
      <c r="AI287" s="206" t="str">
        <f>VLOOKUP(Primary_Order[[#This Row],[Product ID]],SKU[],13,0)</f>
        <v>3000</v>
      </c>
      <c r="AJ287" s="233">
        <f>VLOOKUP(Primary_Order[[#This Row],[Product ID]],SKU[[SKU ID]:[Bottle Size(Ltr)]],6,0)*Primary_Order[[#This Row],[Free Quantity]]</f>
        <v>0</v>
      </c>
      <c r="AK287" s="206" t="str">
        <f>VLOOKUP(Primary_Order[[#This Row],[Product ID]],SKU[[SKU ID]:[Bottle Size(Ltr)]],4,0)</f>
        <v>20x1L</v>
      </c>
      <c r="AL287" s="231">
        <f>VLOOKUP(Primary_Order[[#This Row],[Product ID]],SKU[],14,0)*Primary_Order[[#This Row],[Total Qty]]</f>
        <v>151732</v>
      </c>
      <c r="AM287" s="231">
        <f>IF(Primary_Order[[#This Row],[Cost]]=0,0,Primary_Order[[#This Row],[Net Total(-15%)]]-Primary_Order[[#This Row],[Cost]])</f>
        <v>33659.304347826081</v>
      </c>
      <c r="AN287" s="206" t="str">
        <f>"O-"&amp;Primary_Order[[#This Row],[Date]]&amp;"-"&amp;Primary_Order[[#This Row],[MMD ID]]</f>
        <v>O-45706-D-0006</v>
      </c>
      <c r="AO287" s="206" t="str" cm="1">
        <f t="array" ref="AO28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8" spans="1:41" x14ac:dyDescent="0.5">
      <c r="A288" s="206" t="s">
        <v>1232</v>
      </c>
      <c r="B288" s="230">
        <v>45706</v>
      </c>
      <c r="C288" s="206" t="s">
        <v>90</v>
      </c>
      <c r="D288" s="206" t="s">
        <v>91</v>
      </c>
      <c r="E288" s="206" t="s">
        <v>50</v>
      </c>
      <c r="F288" s="206" t="s">
        <v>50</v>
      </c>
      <c r="G288" s="206" t="s">
        <v>39</v>
      </c>
      <c r="H288" s="206" t="s">
        <v>40</v>
      </c>
      <c r="I288" s="206" t="s">
        <v>91</v>
      </c>
      <c r="J288" s="206" t="s">
        <v>93</v>
      </c>
      <c r="K288" s="206" t="s">
        <v>32</v>
      </c>
      <c r="L288" s="206" t="str">
        <f>VLOOKUP(Primary_Order[[#This Row],[Product ID]],SKU[],3,0)</f>
        <v>3000 4T PLUS 10W30</v>
      </c>
      <c r="M288" s="231">
        <v>400</v>
      </c>
      <c r="N288" s="231">
        <v>650</v>
      </c>
      <c r="O288" s="231">
        <v>480</v>
      </c>
      <c r="P288" s="232">
        <v>1.2923076923076926E-2</v>
      </c>
      <c r="Q288" s="231">
        <v>0</v>
      </c>
      <c r="R288" s="231">
        <v>641.6</v>
      </c>
      <c r="S288" s="231">
        <v>400</v>
      </c>
      <c r="T288" s="231">
        <v>480</v>
      </c>
      <c r="U288" s="231">
        <v>260000</v>
      </c>
      <c r="V288" s="231">
        <v>3360</v>
      </c>
      <c r="W288" s="231">
        <v>256640</v>
      </c>
      <c r="X288" s="231">
        <v>33474.782608695656</v>
      </c>
      <c r="Y288" s="231">
        <v>223165.21739130435</v>
      </c>
      <c r="Z288" s="206" t="s">
        <v>882</v>
      </c>
      <c r="AA288" s="206">
        <v>644</v>
      </c>
      <c r="AB288" s="206" t="s">
        <v>749</v>
      </c>
      <c r="AC288" s="230">
        <v>45711</v>
      </c>
      <c r="AD288" s="206" t="s">
        <v>50</v>
      </c>
      <c r="AE288" s="206" t="str">
        <f>IFERROR(VLOOKUP(Primary_Order[[#This Row],[AM]],SP!$E$19:$F$23,2,0),Primary_Order[[#This Row],[AM]])</f>
        <v>Central</v>
      </c>
      <c r="AF288" s="206" t="str">
        <f>VLOOKUP(Primary_Order[[#This Row],[Product ID]],SKU[],10,0)</f>
        <v>Mineral</v>
      </c>
      <c r="AG288" s="206" t="str">
        <f>VLOOKUP(Primary_Order[[#This Row],[Product ID]],SKU[],9,0)</f>
        <v>MCO</v>
      </c>
      <c r="AH288" s="206" t="str">
        <f>VLOOKUP(Primary_Order[[#This Row],[Product ID]],SKU[],12,0)</f>
        <v>10W30</v>
      </c>
      <c r="AI288" s="206" t="str">
        <f>VLOOKUP(Primary_Order[[#This Row],[Product ID]],SKU[],13,0)</f>
        <v>3000</v>
      </c>
      <c r="AJ288" s="233">
        <f>VLOOKUP(Primary_Order[[#This Row],[Product ID]],SKU[[SKU ID]:[Bottle Size(Ltr)]],6,0)*Primary_Order[[#This Row],[Free Quantity]]</f>
        <v>0</v>
      </c>
      <c r="AK288" s="206" t="str">
        <f>VLOOKUP(Primary_Order[[#This Row],[Product ID]],SKU[[SKU ID]:[Bottle Size(Ltr)]],4,0)</f>
        <v>20x1.2L</v>
      </c>
      <c r="AL288" s="231">
        <f>VLOOKUP(Primary_Order[[#This Row],[Product ID]],SKU[],14,0)*Primary_Order[[#This Row],[Total Qty]]</f>
        <v>175560</v>
      </c>
      <c r="AM288" s="231">
        <f>IF(Primary_Order[[#This Row],[Cost]]=0,0,Primary_Order[[#This Row],[Net Total(-15%)]]-Primary_Order[[#This Row],[Cost]])</f>
        <v>47605.217391304352</v>
      </c>
      <c r="AN288" s="206" t="str">
        <f>"O-"&amp;Primary_Order[[#This Row],[Date]]&amp;"-"&amp;Primary_Order[[#This Row],[MMD ID]]</f>
        <v>O-45706-D-0006</v>
      </c>
      <c r="AO288" s="206" t="str" cm="1">
        <f t="array" ref="AO28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89" spans="1:41" x14ac:dyDescent="0.5">
      <c r="A289" s="206" t="s">
        <v>1232</v>
      </c>
      <c r="B289" s="230">
        <v>45706</v>
      </c>
      <c r="C289" s="206" t="s">
        <v>90</v>
      </c>
      <c r="D289" s="206" t="s">
        <v>91</v>
      </c>
      <c r="E289" s="206" t="s">
        <v>50</v>
      </c>
      <c r="F289" s="206" t="s">
        <v>50</v>
      </c>
      <c r="G289" s="206" t="s">
        <v>39</v>
      </c>
      <c r="H289" s="206" t="s">
        <v>40</v>
      </c>
      <c r="I289" s="206" t="s">
        <v>91</v>
      </c>
      <c r="J289" s="206" t="s">
        <v>93</v>
      </c>
      <c r="K289" s="206" t="s">
        <v>33</v>
      </c>
      <c r="L289" s="206" t="str">
        <f>VLOOKUP(Primary_Order[[#This Row],[Product ID]],SKU[],3,0)</f>
        <v>3000 4T PLUS 20W40</v>
      </c>
      <c r="M289" s="231">
        <v>600</v>
      </c>
      <c r="N289" s="231">
        <v>645</v>
      </c>
      <c r="O289" s="231">
        <v>720</v>
      </c>
      <c r="P289" s="232">
        <v>1.3023255813953472E-2</v>
      </c>
      <c r="Q289" s="231">
        <v>0</v>
      </c>
      <c r="R289" s="231">
        <v>636.6</v>
      </c>
      <c r="S289" s="231">
        <v>600</v>
      </c>
      <c r="T289" s="231">
        <v>720</v>
      </c>
      <c r="U289" s="231">
        <v>387000</v>
      </c>
      <c r="V289" s="231">
        <v>5040</v>
      </c>
      <c r="W289" s="231">
        <v>381960</v>
      </c>
      <c r="X289" s="231">
        <v>49820.869565217392</v>
      </c>
      <c r="Y289" s="231">
        <v>332139.13043478259</v>
      </c>
      <c r="Z289" s="206" t="s">
        <v>882</v>
      </c>
      <c r="AA289" s="206">
        <v>644</v>
      </c>
      <c r="AB289" s="206" t="s">
        <v>749</v>
      </c>
      <c r="AC289" s="230">
        <v>45711</v>
      </c>
      <c r="AD289" s="206" t="s">
        <v>50</v>
      </c>
      <c r="AE289" s="206" t="str">
        <f>IFERROR(VLOOKUP(Primary_Order[[#This Row],[AM]],SP!$E$19:$F$23,2,0),Primary_Order[[#This Row],[AM]])</f>
        <v>Central</v>
      </c>
      <c r="AF289" s="206" t="str">
        <f>VLOOKUP(Primary_Order[[#This Row],[Product ID]],SKU[],10,0)</f>
        <v>Mineral</v>
      </c>
      <c r="AG289" s="206" t="str">
        <f>VLOOKUP(Primary_Order[[#This Row],[Product ID]],SKU[],9,0)</f>
        <v>MCO</v>
      </c>
      <c r="AH289" s="206" t="str">
        <f>VLOOKUP(Primary_Order[[#This Row],[Product ID]],SKU[],12,0)</f>
        <v>20W40</v>
      </c>
      <c r="AI289" s="206" t="str">
        <f>VLOOKUP(Primary_Order[[#This Row],[Product ID]],SKU[],13,0)</f>
        <v>3000</v>
      </c>
      <c r="AJ289" s="233">
        <f>VLOOKUP(Primary_Order[[#This Row],[Product ID]],SKU[[SKU ID]:[Bottle Size(Ltr)]],6,0)*Primary_Order[[#This Row],[Free Quantity]]</f>
        <v>0</v>
      </c>
      <c r="AK289" s="206" t="str">
        <f>VLOOKUP(Primary_Order[[#This Row],[Product ID]],SKU[[SKU ID]:[Bottle Size(Ltr)]],4,0)</f>
        <v>20x1.2L</v>
      </c>
      <c r="AL289" s="231">
        <f>VLOOKUP(Primary_Order[[#This Row],[Product ID]],SKU[],14,0)*Primary_Order[[#This Row],[Total Qty]]</f>
        <v>281938.67721036583</v>
      </c>
      <c r="AM289" s="231">
        <f>IF(Primary_Order[[#This Row],[Cost]]=0,0,Primary_Order[[#This Row],[Net Total(-15%)]]-Primary_Order[[#This Row],[Cost]])</f>
        <v>50200.453224416764</v>
      </c>
      <c r="AN289" s="206" t="str">
        <f>"O-"&amp;Primary_Order[[#This Row],[Date]]&amp;"-"&amp;Primary_Order[[#This Row],[MMD ID]]</f>
        <v>O-45706-D-0006</v>
      </c>
      <c r="AO289" s="206" t="str" cm="1">
        <f t="array" ref="AO28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0" spans="1:41" x14ac:dyDescent="0.5">
      <c r="A290" s="206" t="s">
        <v>1233</v>
      </c>
      <c r="B290" s="230">
        <v>45706</v>
      </c>
      <c r="C290" s="206" t="s">
        <v>108</v>
      </c>
      <c r="D290" s="206" t="s">
        <v>1208</v>
      </c>
      <c r="E290" s="206" t="s">
        <v>1275</v>
      </c>
      <c r="F290" s="206">
        <v>1521308494</v>
      </c>
      <c r="G290" s="206" t="s">
        <v>280</v>
      </c>
      <c r="H290" s="206" t="s">
        <v>84</v>
      </c>
      <c r="I290" s="206" t="s">
        <v>109</v>
      </c>
      <c r="J290" s="206" t="s">
        <v>282</v>
      </c>
      <c r="K290" s="206" t="s">
        <v>31</v>
      </c>
      <c r="L290" s="206" t="str">
        <f>VLOOKUP(Primary_Order[[#This Row],[Product ID]],SKU[],3,0)</f>
        <v>3000 4T PLUS 10W30</v>
      </c>
      <c r="M290" s="231">
        <v>20</v>
      </c>
      <c r="N290" s="231">
        <v>540</v>
      </c>
      <c r="O290" s="231">
        <v>20</v>
      </c>
      <c r="P290" s="232">
        <v>9.2592592592593004E-3</v>
      </c>
      <c r="Q290" s="231">
        <v>0</v>
      </c>
      <c r="R290" s="231">
        <v>535</v>
      </c>
      <c r="S290" s="231">
        <v>20</v>
      </c>
      <c r="T290" s="231">
        <v>20</v>
      </c>
      <c r="U290" s="231">
        <v>10800</v>
      </c>
      <c r="V290" s="231">
        <v>0</v>
      </c>
      <c r="W290" s="231">
        <v>10700</v>
      </c>
      <c r="X290" s="231">
        <v>1395.6521739130435</v>
      </c>
      <c r="Y290" s="231">
        <v>9304.347826086956</v>
      </c>
      <c r="Z290" s="206" t="s">
        <v>882</v>
      </c>
      <c r="AA290" s="206">
        <v>645</v>
      </c>
      <c r="AB290" s="206" t="s">
        <v>749</v>
      </c>
      <c r="AC290" s="230">
        <v>45711</v>
      </c>
      <c r="AD290" s="206" t="s">
        <v>50</v>
      </c>
      <c r="AE290" s="206" t="str">
        <f>IFERROR(VLOOKUP(Primary_Order[[#This Row],[AM]],SP!$E$19:$F$23,2,0),Primary_Order[[#This Row],[AM]])</f>
        <v>Northern</v>
      </c>
      <c r="AF290" s="206" t="str">
        <f>VLOOKUP(Primary_Order[[#This Row],[Product ID]],SKU[],10,0)</f>
        <v>Mineral</v>
      </c>
      <c r="AG290" s="206" t="str">
        <f>VLOOKUP(Primary_Order[[#This Row],[Product ID]],SKU[],9,0)</f>
        <v>MCO</v>
      </c>
      <c r="AH290" s="206" t="str">
        <f>VLOOKUP(Primary_Order[[#This Row],[Product ID]],SKU[],12,0)</f>
        <v>10W30</v>
      </c>
      <c r="AI290" s="206" t="str">
        <f>VLOOKUP(Primary_Order[[#This Row],[Product ID]],SKU[],13,0)</f>
        <v>3000</v>
      </c>
      <c r="AJ290" s="233">
        <f>VLOOKUP(Primary_Order[[#This Row],[Product ID]],SKU[[SKU ID]:[Bottle Size(Ltr)]],6,0)*Primary_Order[[#This Row],[Free Quantity]]</f>
        <v>0</v>
      </c>
      <c r="AK290" s="206" t="str">
        <f>VLOOKUP(Primary_Order[[#This Row],[Product ID]],SKU[[SKU ID]:[Bottle Size(Ltr)]],4,0)</f>
        <v>20x1L</v>
      </c>
      <c r="AL290" s="231">
        <f>VLOOKUP(Primary_Order[[#This Row],[Product ID]],SKU[],14,0)*Primary_Order[[#This Row],[Total Qty]]</f>
        <v>7586.5999999999995</v>
      </c>
      <c r="AM290" s="231">
        <f>IF(Primary_Order[[#This Row],[Cost]]=0,0,Primary_Order[[#This Row],[Net Total(-15%)]]-Primary_Order[[#This Row],[Cost]])</f>
        <v>1717.7478260869566</v>
      </c>
      <c r="AN290" s="206" t="str">
        <f>"O-"&amp;Primary_Order[[#This Row],[Date]]&amp;"-"&amp;Primary_Order[[#This Row],[MMD ID]]</f>
        <v>O-45706-D-0023</v>
      </c>
      <c r="AO290" s="206" t="str" cm="1">
        <f t="array" ref="AO29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1" spans="1:41" x14ac:dyDescent="0.5">
      <c r="A291" s="206" t="s">
        <v>1233</v>
      </c>
      <c r="B291" s="230">
        <v>45706</v>
      </c>
      <c r="C291" s="206" t="s">
        <v>108</v>
      </c>
      <c r="D291" s="206" t="s">
        <v>1208</v>
      </c>
      <c r="E291" s="206" t="s">
        <v>1275</v>
      </c>
      <c r="F291" s="206">
        <v>1521308494</v>
      </c>
      <c r="G291" s="206" t="s">
        <v>280</v>
      </c>
      <c r="H291" s="206" t="s">
        <v>84</v>
      </c>
      <c r="I291" s="206" t="s">
        <v>109</v>
      </c>
      <c r="J291" s="206" t="s">
        <v>282</v>
      </c>
      <c r="K291" s="206" t="s">
        <v>75</v>
      </c>
      <c r="L291" s="206" t="str">
        <f>VLOOKUP(Primary_Order[[#This Row],[Product ID]],SKU[],3,0)</f>
        <v>31004T GOLD 20W50</v>
      </c>
      <c r="M291" s="231">
        <v>20</v>
      </c>
      <c r="N291" s="231">
        <v>600</v>
      </c>
      <c r="O291" s="231">
        <v>20</v>
      </c>
      <c r="P291" s="232">
        <v>8.3333333333333037E-3</v>
      </c>
      <c r="Q291" s="231">
        <v>0</v>
      </c>
      <c r="R291" s="231">
        <v>595</v>
      </c>
      <c r="S291" s="231">
        <v>20</v>
      </c>
      <c r="T291" s="231">
        <v>20</v>
      </c>
      <c r="U291" s="231">
        <v>12000</v>
      </c>
      <c r="V291" s="231">
        <v>0</v>
      </c>
      <c r="W291" s="231">
        <v>11900</v>
      </c>
      <c r="X291" s="231">
        <v>1552.1739130434783</v>
      </c>
      <c r="Y291" s="231">
        <v>10347.826086956522</v>
      </c>
      <c r="Z291" s="206" t="s">
        <v>882</v>
      </c>
      <c r="AA291" s="206">
        <v>645</v>
      </c>
      <c r="AB291" s="206" t="s">
        <v>749</v>
      </c>
      <c r="AC291" s="230">
        <v>45711</v>
      </c>
      <c r="AD291" s="206" t="s">
        <v>50</v>
      </c>
      <c r="AE291" s="206" t="str">
        <f>IFERROR(VLOOKUP(Primary_Order[[#This Row],[AM]],SP!$E$19:$F$23,2,0),Primary_Order[[#This Row],[AM]])</f>
        <v>Northern</v>
      </c>
      <c r="AF291" s="206" t="str">
        <f>VLOOKUP(Primary_Order[[#This Row],[Product ID]],SKU[],10,0)</f>
        <v>Technosynthese</v>
      </c>
      <c r="AG291" s="206" t="str">
        <f>VLOOKUP(Primary_Order[[#This Row],[Product ID]],SKU[],9,0)</f>
        <v>MCO</v>
      </c>
      <c r="AH291" s="206" t="str">
        <f>VLOOKUP(Primary_Order[[#This Row],[Product ID]],SKU[],12,0)</f>
        <v>20W50</v>
      </c>
      <c r="AI291" s="206" t="str">
        <f>VLOOKUP(Primary_Order[[#This Row],[Product ID]],SKU[],13,0)</f>
        <v>3100</v>
      </c>
      <c r="AJ291" s="233">
        <f>VLOOKUP(Primary_Order[[#This Row],[Product ID]],SKU[[SKU ID]:[Bottle Size(Ltr)]],6,0)*Primary_Order[[#This Row],[Free Quantity]]</f>
        <v>0</v>
      </c>
      <c r="AK291" s="206" t="str">
        <f>VLOOKUP(Primary_Order[[#This Row],[Product ID]],SKU[[SKU ID]:[Bottle Size(Ltr)]],4,0)</f>
        <v>20x1L</v>
      </c>
      <c r="AL291" s="231">
        <f>VLOOKUP(Primary_Order[[#This Row],[Product ID]],SKU[],14,0)*Primary_Order[[#This Row],[Total Qty]]</f>
        <v>9387.7999999999993</v>
      </c>
      <c r="AM291" s="231">
        <f>IF(Primary_Order[[#This Row],[Cost]]=0,0,Primary_Order[[#This Row],[Net Total(-15%)]]-Primary_Order[[#This Row],[Cost]])</f>
        <v>960.0260869565227</v>
      </c>
      <c r="AN291" s="206" t="str">
        <f>"O-"&amp;Primary_Order[[#This Row],[Date]]&amp;"-"&amp;Primary_Order[[#This Row],[MMD ID]]</f>
        <v>O-45706-D-0023</v>
      </c>
      <c r="AO291" s="206" t="str" cm="1">
        <f t="array" ref="AO29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2" spans="1:41" x14ac:dyDescent="0.5">
      <c r="A292" s="206" t="s">
        <v>1233</v>
      </c>
      <c r="B292" s="230">
        <v>45706</v>
      </c>
      <c r="C292" s="206" t="s">
        <v>108</v>
      </c>
      <c r="D292" s="206" t="s">
        <v>1208</v>
      </c>
      <c r="E292" s="206" t="s">
        <v>1275</v>
      </c>
      <c r="F292" s="206">
        <v>1521308494</v>
      </c>
      <c r="G292" s="206" t="s">
        <v>280</v>
      </c>
      <c r="H292" s="206" t="s">
        <v>84</v>
      </c>
      <c r="I292" s="206" t="s">
        <v>109</v>
      </c>
      <c r="J292" s="206" t="s">
        <v>282</v>
      </c>
      <c r="K292" s="206" t="s">
        <v>77</v>
      </c>
      <c r="L292" s="206" t="str">
        <f>VLOOKUP(Primary_Order[[#This Row],[Product ID]],SKU[],3,0)</f>
        <v>31004T GOLD 10W30</v>
      </c>
      <c r="M292" s="231">
        <v>20</v>
      </c>
      <c r="N292" s="231">
        <v>600</v>
      </c>
      <c r="O292" s="231">
        <v>20</v>
      </c>
      <c r="P292" s="232">
        <v>8.3333333333333037E-3</v>
      </c>
      <c r="Q292" s="231">
        <v>0</v>
      </c>
      <c r="R292" s="231">
        <v>595</v>
      </c>
      <c r="S292" s="231">
        <v>20</v>
      </c>
      <c r="T292" s="231">
        <v>20</v>
      </c>
      <c r="U292" s="231">
        <v>12000</v>
      </c>
      <c r="V292" s="231">
        <v>0</v>
      </c>
      <c r="W292" s="231">
        <v>11900</v>
      </c>
      <c r="X292" s="231">
        <v>1552.1739130434783</v>
      </c>
      <c r="Y292" s="231">
        <v>10347.826086956522</v>
      </c>
      <c r="Z292" s="206" t="s">
        <v>882</v>
      </c>
      <c r="AA292" s="206">
        <v>645</v>
      </c>
      <c r="AB292" s="206" t="s">
        <v>749</v>
      </c>
      <c r="AC292" s="230">
        <v>45711</v>
      </c>
      <c r="AD292" s="206" t="s">
        <v>50</v>
      </c>
      <c r="AE292" s="206" t="str">
        <f>IFERROR(VLOOKUP(Primary_Order[[#This Row],[AM]],SP!$E$19:$F$23,2,0),Primary_Order[[#This Row],[AM]])</f>
        <v>Northern</v>
      </c>
      <c r="AF292" s="206" t="str">
        <f>VLOOKUP(Primary_Order[[#This Row],[Product ID]],SKU[],10,0)</f>
        <v>Technosynthese</v>
      </c>
      <c r="AG292" s="206" t="str">
        <f>VLOOKUP(Primary_Order[[#This Row],[Product ID]],SKU[],9,0)</f>
        <v>MCO</v>
      </c>
      <c r="AH292" s="206" t="str">
        <f>VLOOKUP(Primary_Order[[#This Row],[Product ID]],SKU[],12,0)</f>
        <v>10W30</v>
      </c>
      <c r="AI292" s="206" t="str">
        <f>VLOOKUP(Primary_Order[[#This Row],[Product ID]],SKU[],13,0)</f>
        <v>3100</v>
      </c>
      <c r="AJ292" s="233">
        <f>VLOOKUP(Primary_Order[[#This Row],[Product ID]],SKU[[SKU ID]:[Bottle Size(Ltr)]],6,0)*Primary_Order[[#This Row],[Free Quantity]]</f>
        <v>0</v>
      </c>
      <c r="AK292" s="206" t="str">
        <f>VLOOKUP(Primary_Order[[#This Row],[Product ID]],SKU[[SKU ID]:[Bottle Size(Ltr)]],4,0)</f>
        <v>20x1L</v>
      </c>
      <c r="AL292" s="231">
        <f>VLOOKUP(Primary_Order[[#This Row],[Product ID]],SKU[],14,0)*Primary_Order[[#This Row],[Total Qty]]</f>
        <v>8502</v>
      </c>
      <c r="AM292" s="231">
        <f>IF(Primary_Order[[#This Row],[Cost]]=0,0,Primary_Order[[#This Row],[Net Total(-15%)]]-Primary_Order[[#This Row],[Cost]])</f>
        <v>1845.826086956522</v>
      </c>
      <c r="AN292" s="206" t="str">
        <f>"O-"&amp;Primary_Order[[#This Row],[Date]]&amp;"-"&amp;Primary_Order[[#This Row],[MMD ID]]</f>
        <v>O-45706-D-0023</v>
      </c>
      <c r="AO292" s="206" t="str" cm="1">
        <f t="array" ref="AO29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3" spans="1:41" x14ac:dyDescent="0.5">
      <c r="A293" s="206" t="s">
        <v>1233</v>
      </c>
      <c r="B293" s="230">
        <v>45706</v>
      </c>
      <c r="C293" s="206" t="s">
        <v>108</v>
      </c>
      <c r="D293" s="206" t="s">
        <v>1208</v>
      </c>
      <c r="E293" s="206" t="s">
        <v>1275</v>
      </c>
      <c r="F293" s="206">
        <v>1521308494</v>
      </c>
      <c r="G293" s="206" t="s">
        <v>280</v>
      </c>
      <c r="H293" s="206" t="s">
        <v>84</v>
      </c>
      <c r="I293" s="206" t="s">
        <v>109</v>
      </c>
      <c r="J293" s="206" t="s">
        <v>282</v>
      </c>
      <c r="K293" s="206" t="s">
        <v>36</v>
      </c>
      <c r="L293" s="206" t="str">
        <f>VLOOKUP(Primary_Order[[#This Row],[Product ID]],SKU[],3,0)</f>
        <v>51004T 10W40 ESTER</v>
      </c>
      <c r="M293" s="231">
        <v>12</v>
      </c>
      <c r="N293" s="231">
        <v>860</v>
      </c>
      <c r="O293" s="231">
        <v>12</v>
      </c>
      <c r="P293" s="232">
        <v>5.8139534883721034E-3</v>
      </c>
      <c r="Q293" s="231">
        <v>0</v>
      </c>
      <c r="R293" s="231">
        <v>855</v>
      </c>
      <c r="S293" s="231">
        <v>12</v>
      </c>
      <c r="T293" s="231">
        <v>12</v>
      </c>
      <c r="U293" s="231">
        <v>10320</v>
      </c>
      <c r="V293" s="231">
        <v>0</v>
      </c>
      <c r="W293" s="231">
        <v>10260</v>
      </c>
      <c r="X293" s="231">
        <v>1338.2608695652175</v>
      </c>
      <c r="Y293" s="231">
        <v>8921.7391304347821</v>
      </c>
      <c r="Z293" s="206" t="s">
        <v>882</v>
      </c>
      <c r="AA293" s="206">
        <v>645</v>
      </c>
      <c r="AB293" s="206" t="s">
        <v>749</v>
      </c>
      <c r="AC293" s="230">
        <v>45711</v>
      </c>
      <c r="AD293" s="206" t="s">
        <v>50</v>
      </c>
      <c r="AE293" s="206" t="str">
        <f>IFERROR(VLOOKUP(Primary_Order[[#This Row],[AM]],SP!$E$19:$F$23,2,0),Primary_Order[[#This Row],[AM]])</f>
        <v>Northern</v>
      </c>
      <c r="AF293" s="206" t="str">
        <f>VLOOKUP(Primary_Order[[#This Row],[Product ID]],SKU[],10,0)</f>
        <v>Technosynthese</v>
      </c>
      <c r="AG293" s="206" t="str">
        <f>VLOOKUP(Primary_Order[[#This Row],[Product ID]],SKU[],9,0)</f>
        <v>MCO</v>
      </c>
      <c r="AH293" s="206" t="str">
        <f>VLOOKUP(Primary_Order[[#This Row],[Product ID]],SKU[],12,0)</f>
        <v>10W40</v>
      </c>
      <c r="AI293" s="206" t="str">
        <f>VLOOKUP(Primary_Order[[#This Row],[Product ID]],SKU[],13,0)</f>
        <v>5100</v>
      </c>
      <c r="AJ293" s="233">
        <f>VLOOKUP(Primary_Order[[#This Row],[Product ID]],SKU[[SKU ID]:[Bottle Size(Ltr)]],6,0)*Primary_Order[[#This Row],[Free Quantity]]</f>
        <v>0</v>
      </c>
      <c r="AK293" s="206" t="str">
        <f>VLOOKUP(Primary_Order[[#This Row],[Product ID]],SKU[[SKU ID]:[Bottle Size(Ltr)]],4,0)</f>
        <v>12x1L</v>
      </c>
      <c r="AL293" s="231">
        <f>VLOOKUP(Primary_Order[[#This Row],[Product ID]],SKU[],14,0)*Primary_Order[[#This Row],[Total Qty]]</f>
        <v>7299.9600000000009</v>
      </c>
      <c r="AM293" s="231">
        <f>IF(Primary_Order[[#This Row],[Cost]]=0,0,Primary_Order[[#This Row],[Net Total(-15%)]]-Primary_Order[[#This Row],[Cost]])</f>
        <v>1621.7791304347811</v>
      </c>
      <c r="AN293" s="206" t="str">
        <f>"O-"&amp;Primary_Order[[#This Row],[Date]]&amp;"-"&amp;Primary_Order[[#This Row],[MMD ID]]</f>
        <v>O-45706-D-0023</v>
      </c>
      <c r="AO293" s="206" t="str" cm="1">
        <f t="array" ref="AO29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4" spans="1:41" x14ac:dyDescent="0.5">
      <c r="A294" s="206" t="s">
        <v>1233</v>
      </c>
      <c r="B294" s="230">
        <v>45706</v>
      </c>
      <c r="C294" s="206" t="s">
        <v>108</v>
      </c>
      <c r="D294" s="206" t="s">
        <v>1208</v>
      </c>
      <c r="E294" s="206" t="s">
        <v>1275</v>
      </c>
      <c r="F294" s="206">
        <v>1521308494</v>
      </c>
      <c r="G294" s="206" t="s">
        <v>280</v>
      </c>
      <c r="H294" s="206" t="s">
        <v>84</v>
      </c>
      <c r="I294" s="206" t="s">
        <v>109</v>
      </c>
      <c r="J294" s="206" t="s">
        <v>282</v>
      </c>
      <c r="K294" s="206" t="s">
        <v>56</v>
      </c>
      <c r="L294" s="206" t="str">
        <f>VLOOKUP(Primary_Order[[#This Row],[Product ID]],SKU[],3,0)</f>
        <v>7100 4T 10W30 ESTER CORE®</v>
      </c>
      <c r="M294" s="231">
        <v>12</v>
      </c>
      <c r="N294" s="231">
        <v>1080</v>
      </c>
      <c r="O294" s="231">
        <v>12</v>
      </c>
      <c r="P294" s="232">
        <v>4.6296296296296502E-3</v>
      </c>
      <c r="Q294" s="231">
        <v>0</v>
      </c>
      <c r="R294" s="231">
        <v>1075</v>
      </c>
      <c r="S294" s="231">
        <v>12</v>
      </c>
      <c r="T294" s="231">
        <v>12</v>
      </c>
      <c r="U294" s="231">
        <v>12960</v>
      </c>
      <c r="V294" s="231">
        <v>0</v>
      </c>
      <c r="W294" s="231">
        <v>12900</v>
      </c>
      <c r="X294" s="231">
        <v>1682.608695652174</v>
      </c>
      <c r="Y294" s="231">
        <v>11217.391304347826</v>
      </c>
      <c r="Z294" s="206" t="s">
        <v>882</v>
      </c>
      <c r="AA294" s="206">
        <v>645</v>
      </c>
      <c r="AB294" s="206" t="s">
        <v>749</v>
      </c>
      <c r="AC294" s="230">
        <v>45711</v>
      </c>
      <c r="AD294" s="206" t="s">
        <v>50</v>
      </c>
      <c r="AE294" s="206" t="str">
        <f>IFERROR(VLOOKUP(Primary_Order[[#This Row],[AM]],SP!$E$19:$F$23,2,0),Primary_Order[[#This Row],[AM]])</f>
        <v>Northern</v>
      </c>
      <c r="AF294" s="206" t="str">
        <f>VLOOKUP(Primary_Order[[#This Row],[Product ID]],SKU[],10,0)</f>
        <v>Synthetic</v>
      </c>
      <c r="AG294" s="206" t="str">
        <f>VLOOKUP(Primary_Order[[#This Row],[Product ID]],SKU[],9,0)</f>
        <v>MCO</v>
      </c>
      <c r="AH294" s="206" t="str">
        <f>VLOOKUP(Primary_Order[[#This Row],[Product ID]],SKU[],12,0)</f>
        <v>10W30</v>
      </c>
      <c r="AI294" s="206" t="str">
        <f>VLOOKUP(Primary_Order[[#This Row],[Product ID]],SKU[],13,0)</f>
        <v>7100</v>
      </c>
      <c r="AJ294" s="233">
        <f>VLOOKUP(Primary_Order[[#This Row],[Product ID]],SKU[[SKU ID]:[Bottle Size(Ltr)]],6,0)*Primary_Order[[#This Row],[Free Quantity]]</f>
        <v>0</v>
      </c>
      <c r="AK294" s="206" t="str">
        <f>VLOOKUP(Primary_Order[[#This Row],[Product ID]],SKU[[SKU ID]:[Bottle Size(Ltr)]],4,0)</f>
        <v>12x1L</v>
      </c>
      <c r="AL294" s="231">
        <f>VLOOKUP(Primary_Order[[#This Row],[Product ID]],SKU[],14,0)*Primary_Order[[#This Row],[Total Qty]]</f>
        <v>8278.32</v>
      </c>
      <c r="AM294" s="231">
        <f>IF(Primary_Order[[#This Row],[Cost]]=0,0,Primary_Order[[#This Row],[Net Total(-15%)]]-Primary_Order[[#This Row],[Cost]])</f>
        <v>2939.0713043478263</v>
      </c>
      <c r="AN294" s="206" t="str">
        <f>"O-"&amp;Primary_Order[[#This Row],[Date]]&amp;"-"&amp;Primary_Order[[#This Row],[MMD ID]]</f>
        <v>O-45706-D-0023</v>
      </c>
      <c r="AO294" s="206" t="str" cm="1">
        <f t="array" ref="AO29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5" spans="1:41" x14ac:dyDescent="0.5">
      <c r="A295" s="206" t="s">
        <v>1233</v>
      </c>
      <c r="B295" s="230">
        <v>45706</v>
      </c>
      <c r="C295" s="206" t="s">
        <v>108</v>
      </c>
      <c r="D295" s="206" t="s">
        <v>1208</v>
      </c>
      <c r="E295" s="206" t="s">
        <v>1275</v>
      </c>
      <c r="F295" s="206">
        <v>1521308494</v>
      </c>
      <c r="G295" s="206" t="s">
        <v>280</v>
      </c>
      <c r="H295" s="206" t="s">
        <v>84</v>
      </c>
      <c r="I295" s="206" t="s">
        <v>109</v>
      </c>
      <c r="J295" s="206" t="s">
        <v>282</v>
      </c>
      <c r="K295" s="206" t="s">
        <v>58</v>
      </c>
      <c r="L295" s="206" t="str">
        <f>VLOOKUP(Primary_Order[[#This Row],[Product ID]],SKU[],3,0)</f>
        <v>7100 4T 20W50 ESTER CORE®</v>
      </c>
      <c r="M295" s="231">
        <v>12</v>
      </c>
      <c r="N295" s="231">
        <v>1080</v>
      </c>
      <c r="O295" s="231">
        <v>12</v>
      </c>
      <c r="P295" s="232">
        <v>4.6296296296296502E-3</v>
      </c>
      <c r="Q295" s="231">
        <v>0</v>
      </c>
      <c r="R295" s="231">
        <v>1075</v>
      </c>
      <c r="S295" s="231">
        <v>12</v>
      </c>
      <c r="T295" s="231">
        <v>12</v>
      </c>
      <c r="U295" s="231">
        <v>12960</v>
      </c>
      <c r="V295" s="231">
        <v>0</v>
      </c>
      <c r="W295" s="231">
        <v>12900</v>
      </c>
      <c r="X295" s="231">
        <v>1682.608695652174</v>
      </c>
      <c r="Y295" s="231">
        <v>11217.391304347826</v>
      </c>
      <c r="Z295" s="206" t="s">
        <v>882</v>
      </c>
      <c r="AA295" s="206">
        <v>645</v>
      </c>
      <c r="AB295" s="206" t="s">
        <v>749</v>
      </c>
      <c r="AC295" s="230">
        <v>45711</v>
      </c>
      <c r="AD295" s="206" t="s">
        <v>50</v>
      </c>
      <c r="AE295" s="206" t="str">
        <f>IFERROR(VLOOKUP(Primary_Order[[#This Row],[AM]],SP!$E$19:$F$23,2,0),Primary_Order[[#This Row],[AM]])</f>
        <v>Northern</v>
      </c>
      <c r="AF295" s="206" t="str">
        <f>VLOOKUP(Primary_Order[[#This Row],[Product ID]],SKU[],10,0)</f>
        <v>Synthetic</v>
      </c>
      <c r="AG295" s="206" t="str">
        <f>VLOOKUP(Primary_Order[[#This Row],[Product ID]],SKU[],9,0)</f>
        <v>MCO</v>
      </c>
      <c r="AH295" s="206" t="str">
        <f>VLOOKUP(Primary_Order[[#This Row],[Product ID]],SKU[],12,0)</f>
        <v>20W50</v>
      </c>
      <c r="AI295" s="206" t="str">
        <f>VLOOKUP(Primary_Order[[#This Row],[Product ID]],SKU[],13,0)</f>
        <v>7100</v>
      </c>
      <c r="AJ295" s="233">
        <f>VLOOKUP(Primary_Order[[#This Row],[Product ID]],SKU[[SKU ID]:[Bottle Size(Ltr)]],6,0)*Primary_Order[[#This Row],[Free Quantity]]</f>
        <v>0</v>
      </c>
      <c r="AK295" s="206" t="str">
        <f>VLOOKUP(Primary_Order[[#This Row],[Product ID]],SKU[[SKU ID]:[Bottle Size(Ltr)]],4,0)</f>
        <v>12x1L</v>
      </c>
      <c r="AL295" s="231">
        <f>VLOOKUP(Primary_Order[[#This Row],[Product ID]],SKU[],14,0)*Primary_Order[[#This Row],[Total Qty]]</f>
        <v>9164.380799999999</v>
      </c>
      <c r="AM295" s="231">
        <f>IF(Primary_Order[[#This Row],[Cost]]=0,0,Primary_Order[[#This Row],[Net Total(-15%)]]-Primary_Order[[#This Row],[Cost]])</f>
        <v>2053.010504347827</v>
      </c>
      <c r="AN295" s="206" t="str">
        <f>"O-"&amp;Primary_Order[[#This Row],[Date]]&amp;"-"&amp;Primary_Order[[#This Row],[MMD ID]]</f>
        <v>O-45706-D-0023</v>
      </c>
      <c r="AO295" s="206" t="str" cm="1">
        <f t="array" ref="AO29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6" spans="1:41" x14ac:dyDescent="0.5">
      <c r="A296" s="206" t="s">
        <v>1233</v>
      </c>
      <c r="B296" s="230">
        <v>45706</v>
      </c>
      <c r="C296" s="206" t="s">
        <v>108</v>
      </c>
      <c r="D296" s="206" t="s">
        <v>1208</v>
      </c>
      <c r="E296" s="206" t="s">
        <v>1275</v>
      </c>
      <c r="F296" s="206">
        <v>1521308494</v>
      </c>
      <c r="G296" s="206" t="s">
        <v>280</v>
      </c>
      <c r="H296" s="206" t="s">
        <v>84</v>
      </c>
      <c r="I296" s="206" t="s">
        <v>109</v>
      </c>
      <c r="J296" s="206" t="s">
        <v>282</v>
      </c>
      <c r="K296" s="206" t="s">
        <v>81</v>
      </c>
      <c r="L296" s="206" t="str">
        <f>VLOOKUP(Primary_Order[[#This Row],[Product ID]],SKU[],3,0)</f>
        <v>3000 4T 20W50</v>
      </c>
      <c r="M296" s="231">
        <v>100</v>
      </c>
      <c r="N296" s="231">
        <v>495</v>
      </c>
      <c r="O296" s="231">
        <v>100</v>
      </c>
      <c r="P296" s="232">
        <v>2.4242424242424288E-2</v>
      </c>
      <c r="Q296" s="231">
        <v>0</v>
      </c>
      <c r="R296" s="231">
        <v>483</v>
      </c>
      <c r="S296" s="231">
        <v>100</v>
      </c>
      <c r="T296" s="231">
        <v>100</v>
      </c>
      <c r="U296" s="231">
        <v>49500</v>
      </c>
      <c r="V296" s="231">
        <v>0</v>
      </c>
      <c r="W296" s="231">
        <v>48300</v>
      </c>
      <c r="X296" s="231">
        <v>6300</v>
      </c>
      <c r="Y296" s="231">
        <v>42000</v>
      </c>
      <c r="Z296" s="206" t="s">
        <v>882</v>
      </c>
      <c r="AA296" s="206">
        <v>645</v>
      </c>
      <c r="AB296" s="206" t="s">
        <v>749</v>
      </c>
      <c r="AC296" s="230">
        <v>45711</v>
      </c>
      <c r="AD296" s="206" t="s">
        <v>50</v>
      </c>
      <c r="AE296" s="206" t="str">
        <f>IFERROR(VLOOKUP(Primary_Order[[#This Row],[AM]],SP!$E$19:$F$23,2,0),Primary_Order[[#This Row],[AM]])</f>
        <v>Northern</v>
      </c>
      <c r="AF296" s="206" t="str">
        <f>VLOOKUP(Primary_Order[[#This Row],[Product ID]],SKU[],10,0)</f>
        <v>Mineral</v>
      </c>
      <c r="AG296" s="206" t="str">
        <f>VLOOKUP(Primary_Order[[#This Row],[Product ID]],SKU[],9,0)</f>
        <v>MCO</v>
      </c>
      <c r="AH296" s="206" t="str">
        <f>VLOOKUP(Primary_Order[[#This Row],[Product ID]],SKU[],12,0)</f>
        <v>20W50</v>
      </c>
      <c r="AI296" s="206" t="str">
        <f>VLOOKUP(Primary_Order[[#This Row],[Product ID]],SKU[],13,0)</f>
        <v>3000</v>
      </c>
      <c r="AJ296" s="233">
        <f>VLOOKUP(Primary_Order[[#This Row],[Product ID]],SKU[[SKU ID]:[Bottle Size(Ltr)]],6,0)*Primary_Order[[#This Row],[Free Quantity]]</f>
        <v>0</v>
      </c>
      <c r="AK296" s="206" t="str">
        <f>VLOOKUP(Primary_Order[[#This Row],[Product ID]],SKU[[SKU ID]:[Bottle Size(Ltr)]],4,0)</f>
        <v>20x1L</v>
      </c>
      <c r="AL296" s="231">
        <f>VLOOKUP(Primary_Order[[#This Row],[Product ID]],SKU[],14,0)*Primary_Order[[#This Row],[Total Qty]]</f>
        <v>36492</v>
      </c>
      <c r="AM296" s="231">
        <f>IF(Primary_Order[[#This Row],[Cost]]=0,0,Primary_Order[[#This Row],[Net Total(-15%)]]-Primary_Order[[#This Row],[Cost]])</f>
        <v>5508</v>
      </c>
      <c r="AN296" s="206" t="str">
        <f>"O-"&amp;Primary_Order[[#This Row],[Date]]&amp;"-"&amp;Primary_Order[[#This Row],[MMD ID]]</f>
        <v>O-45706-D-0023</v>
      </c>
      <c r="AO296" s="206" t="str" cm="1">
        <f t="array" ref="AO29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7" spans="1:41" x14ac:dyDescent="0.5">
      <c r="A297" s="206" t="s">
        <v>1234</v>
      </c>
      <c r="B297" s="230">
        <v>45708</v>
      </c>
      <c r="C297" s="206" t="s">
        <v>108</v>
      </c>
      <c r="D297" s="206" t="s">
        <v>1230</v>
      </c>
      <c r="E297" s="206" t="s">
        <v>1231</v>
      </c>
      <c r="F297" s="206" t="s">
        <v>1235</v>
      </c>
      <c r="G297" s="206" t="s">
        <v>280</v>
      </c>
      <c r="H297" s="206" t="s">
        <v>84</v>
      </c>
      <c r="I297" s="206" t="s">
        <v>109</v>
      </c>
      <c r="J297" s="206" t="s">
        <v>282</v>
      </c>
      <c r="K297" s="206" t="s">
        <v>54</v>
      </c>
      <c r="L297" s="206" t="str">
        <f>VLOOKUP(Primary_Order[[#This Row],[Product ID]],SKU[],3,0)</f>
        <v>3000 4T PLUS 10W40</v>
      </c>
      <c r="M297" s="231">
        <v>80</v>
      </c>
      <c r="N297" s="231">
        <v>550</v>
      </c>
      <c r="O297" s="231">
        <v>80</v>
      </c>
      <c r="P297" s="232">
        <v>0</v>
      </c>
      <c r="Q297" s="231">
        <v>0</v>
      </c>
      <c r="R297" s="231">
        <v>550</v>
      </c>
      <c r="S297" s="231">
        <v>80</v>
      </c>
      <c r="T297" s="231">
        <v>80</v>
      </c>
      <c r="U297" s="231">
        <v>44000</v>
      </c>
      <c r="V297" s="231">
        <v>0</v>
      </c>
      <c r="W297" s="231">
        <v>44000</v>
      </c>
      <c r="X297" s="231">
        <v>5739.130434782609</v>
      </c>
      <c r="Y297" s="231">
        <v>38260.869565217392</v>
      </c>
      <c r="Z297" s="206" t="s">
        <v>882</v>
      </c>
      <c r="AA297" s="206">
        <v>646</v>
      </c>
      <c r="AB297" s="206" t="s">
        <v>749</v>
      </c>
      <c r="AC297" s="230">
        <v>45711</v>
      </c>
      <c r="AD297" s="206" t="s">
        <v>50</v>
      </c>
      <c r="AE297" s="206" t="str">
        <f>IFERROR(VLOOKUP(Primary_Order[[#This Row],[AM]],SP!$E$19:$F$23,2,0),Primary_Order[[#This Row],[AM]])</f>
        <v>Northern</v>
      </c>
      <c r="AF297" s="206" t="str">
        <f>VLOOKUP(Primary_Order[[#This Row],[Product ID]],SKU[],10,0)</f>
        <v>Mineral</v>
      </c>
      <c r="AG297" s="206" t="str">
        <f>VLOOKUP(Primary_Order[[#This Row],[Product ID]],SKU[],9,0)</f>
        <v>MCO</v>
      </c>
      <c r="AH297" s="206" t="str">
        <f>VLOOKUP(Primary_Order[[#This Row],[Product ID]],SKU[],12,0)</f>
        <v>10W40</v>
      </c>
      <c r="AI297" s="206" t="str">
        <f>VLOOKUP(Primary_Order[[#This Row],[Product ID]],SKU[],13,0)</f>
        <v>3000</v>
      </c>
      <c r="AJ297" s="233">
        <f>VLOOKUP(Primary_Order[[#This Row],[Product ID]],SKU[[SKU ID]:[Bottle Size(Ltr)]],6,0)*Primary_Order[[#This Row],[Free Quantity]]</f>
        <v>0</v>
      </c>
      <c r="AK297" s="206" t="str">
        <f>VLOOKUP(Primary_Order[[#This Row],[Product ID]],SKU[[SKU ID]:[Bottle Size(Ltr)]],4,0)</f>
        <v>20x1L</v>
      </c>
      <c r="AL297" s="231">
        <f>VLOOKUP(Primary_Order[[#This Row],[Product ID]],SKU[],14,0)*Primary_Order[[#This Row],[Total Qty]]</f>
        <v>30788</v>
      </c>
      <c r="AM297" s="231">
        <f>IF(Primary_Order[[#This Row],[Cost]]=0,0,Primary_Order[[#This Row],[Net Total(-15%)]]-Primary_Order[[#This Row],[Cost]])</f>
        <v>7472.8695652173919</v>
      </c>
      <c r="AN297" s="206" t="str">
        <f>"O-"&amp;Primary_Order[[#This Row],[Date]]&amp;"-"&amp;Primary_Order[[#This Row],[MMD ID]]</f>
        <v>O-45708-D-0023</v>
      </c>
      <c r="AO297" s="206" t="str" cm="1">
        <f t="array" ref="AO29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8" spans="1:41" x14ac:dyDescent="0.5">
      <c r="A298" s="206" t="s">
        <v>1234</v>
      </c>
      <c r="B298" s="230">
        <v>45708</v>
      </c>
      <c r="C298" s="206" t="s">
        <v>108</v>
      </c>
      <c r="D298" s="206" t="s">
        <v>1230</v>
      </c>
      <c r="E298" s="206" t="s">
        <v>1231</v>
      </c>
      <c r="F298" s="206" t="s">
        <v>1235</v>
      </c>
      <c r="G298" s="206" t="s">
        <v>280</v>
      </c>
      <c r="H298" s="206" t="s">
        <v>84</v>
      </c>
      <c r="I298" s="206" t="s">
        <v>109</v>
      </c>
      <c r="J298" s="206" t="s">
        <v>282</v>
      </c>
      <c r="K298" s="206" t="s">
        <v>32</v>
      </c>
      <c r="L298" s="206" t="str">
        <f>VLOOKUP(Primary_Order[[#This Row],[Product ID]],SKU[],3,0)</f>
        <v>3000 4T PLUS 10W30</v>
      </c>
      <c r="M298" s="231">
        <v>20</v>
      </c>
      <c r="N298" s="231">
        <v>650</v>
      </c>
      <c r="O298" s="231">
        <v>24</v>
      </c>
      <c r="P298" s="232">
        <v>-2.2204460492503131E-16</v>
      </c>
      <c r="Q298" s="231">
        <v>0</v>
      </c>
      <c r="R298" s="231">
        <v>650.00000000000011</v>
      </c>
      <c r="S298" s="231">
        <v>20</v>
      </c>
      <c r="T298" s="231">
        <v>24</v>
      </c>
      <c r="U298" s="231">
        <v>13000</v>
      </c>
      <c r="V298" s="231">
        <v>0</v>
      </c>
      <c r="W298" s="231">
        <v>13000.000000000002</v>
      </c>
      <c r="X298" s="231">
        <v>1695.6521739130437</v>
      </c>
      <c r="Y298" s="231">
        <v>11304.347826086958</v>
      </c>
      <c r="Z298" s="206" t="s">
        <v>882</v>
      </c>
      <c r="AA298" s="206">
        <v>646</v>
      </c>
      <c r="AB298" s="206" t="s">
        <v>749</v>
      </c>
      <c r="AC298" s="230">
        <v>45711</v>
      </c>
      <c r="AD298" s="206" t="s">
        <v>50</v>
      </c>
      <c r="AE298" s="206" t="str">
        <f>IFERROR(VLOOKUP(Primary_Order[[#This Row],[AM]],SP!$E$19:$F$23,2,0),Primary_Order[[#This Row],[AM]])</f>
        <v>Northern</v>
      </c>
      <c r="AF298" s="206" t="str">
        <f>VLOOKUP(Primary_Order[[#This Row],[Product ID]],SKU[],10,0)</f>
        <v>Mineral</v>
      </c>
      <c r="AG298" s="206" t="str">
        <f>VLOOKUP(Primary_Order[[#This Row],[Product ID]],SKU[],9,0)</f>
        <v>MCO</v>
      </c>
      <c r="AH298" s="206" t="str">
        <f>VLOOKUP(Primary_Order[[#This Row],[Product ID]],SKU[],12,0)</f>
        <v>10W30</v>
      </c>
      <c r="AI298" s="206" t="str">
        <f>VLOOKUP(Primary_Order[[#This Row],[Product ID]],SKU[],13,0)</f>
        <v>3000</v>
      </c>
      <c r="AJ298" s="233">
        <f>VLOOKUP(Primary_Order[[#This Row],[Product ID]],SKU[[SKU ID]:[Bottle Size(Ltr)]],6,0)*Primary_Order[[#This Row],[Free Quantity]]</f>
        <v>0</v>
      </c>
      <c r="AK298" s="206" t="str">
        <f>VLOOKUP(Primary_Order[[#This Row],[Product ID]],SKU[[SKU ID]:[Bottle Size(Ltr)]],4,0)</f>
        <v>20x1.2L</v>
      </c>
      <c r="AL298" s="231">
        <f>VLOOKUP(Primary_Order[[#This Row],[Product ID]],SKU[],14,0)*Primary_Order[[#This Row],[Total Qty]]</f>
        <v>8778</v>
      </c>
      <c r="AM298" s="231">
        <f>IF(Primary_Order[[#This Row],[Cost]]=0,0,Primary_Order[[#This Row],[Net Total(-15%)]]-Primary_Order[[#This Row],[Cost]])</f>
        <v>2526.3478260869579</v>
      </c>
      <c r="AN298" s="206" t="str">
        <f>"O-"&amp;Primary_Order[[#This Row],[Date]]&amp;"-"&amp;Primary_Order[[#This Row],[MMD ID]]</f>
        <v>O-45708-D-0023</v>
      </c>
      <c r="AO298" s="206" t="str" cm="1">
        <f t="array" ref="AO29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299" spans="1:41" x14ac:dyDescent="0.5">
      <c r="A299" s="206" t="s">
        <v>1234</v>
      </c>
      <c r="B299" s="230">
        <v>45708</v>
      </c>
      <c r="C299" s="206" t="s">
        <v>108</v>
      </c>
      <c r="D299" s="206" t="s">
        <v>1230</v>
      </c>
      <c r="E299" s="206" t="s">
        <v>1231</v>
      </c>
      <c r="F299" s="206" t="s">
        <v>1235</v>
      </c>
      <c r="G299" s="206" t="s">
        <v>280</v>
      </c>
      <c r="H299" s="206" t="s">
        <v>84</v>
      </c>
      <c r="I299" s="206" t="s">
        <v>109</v>
      </c>
      <c r="J299" s="206" t="s">
        <v>282</v>
      </c>
      <c r="K299" s="206" t="s">
        <v>152</v>
      </c>
      <c r="L299" s="206" t="str">
        <f>VLOOKUP(Primary_Order[[#This Row],[Product ID]],SKU[],3,0)</f>
        <v>Inugel Expert Coolant</v>
      </c>
      <c r="M299" s="231">
        <v>20</v>
      </c>
      <c r="N299" s="231">
        <v>425</v>
      </c>
      <c r="O299" s="231">
        <v>20</v>
      </c>
      <c r="P299" s="232">
        <v>0</v>
      </c>
      <c r="Q299" s="231">
        <v>0</v>
      </c>
      <c r="R299" s="231">
        <v>425</v>
      </c>
      <c r="S299" s="231">
        <v>20</v>
      </c>
      <c r="T299" s="231">
        <v>20</v>
      </c>
      <c r="U299" s="231">
        <v>8500</v>
      </c>
      <c r="V299" s="231">
        <v>0</v>
      </c>
      <c r="W299" s="231">
        <v>8500</v>
      </c>
      <c r="X299" s="231">
        <v>1108.695652173913</v>
      </c>
      <c r="Y299" s="231">
        <v>7391.304347826087</v>
      </c>
      <c r="Z299" s="206" t="s">
        <v>882</v>
      </c>
      <c r="AA299" s="206">
        <v>646</v>
      </c>
      <c r="AB299" s="206" t="s">
        <v>749</v>
      </c>
      <c r="AC299" s="230">
        <v>45711</v>
      </c>
      <c r="AD299" s="206" t="s">
        <v>50</v>
      </c>
      <c r="AE299" s="206" t="str">
        <f>IFERROR(VLOOKUP(Primary_Order[[#This Row],[AM]],SP!$E$19:$F$23,2,0),Primary_Order[[#This Row],[AM]])</f>
        <v>Northern</v>
      </c>
      <c r="AF299" s="206" t="str">
        <f>VLOOKUP(Primary_Order[[#This Row],[Product ID]],SKU[],10,0)</f>
        <v>Care Products</v>
      </c>
      <c r="AG299" s="206" t="str">
        <f>VLOOKUP(Primary_Order[[#This Row],[Product ID]],SKU[],9,0)</f>
        <v>Care Products</v>
      </c>
      <c r="AH299" s="206" t="str">
        <f>VLOOKUP(Primary_Order[[#This Row],[Product ID]],SKU[],12,0)</f>
        <v>Care Products</v>
      </c>
      <c r="AI299" s="206" t="str">
        <f>VLOOKUP(Primary_Order[[#This Row],[Product ID]],SKU[],13,0)</f>
        <v>Coolant</v>
      </c>
      <c r="AJ299" s="233">
        <f>VLOOKUP(Primary_Order[[#This Row],[Product ID]],SKU[[SKU ID]:[Bottle Size(Ltr)]],6,0)*Primary_Order[[#This Row],[Free Quantity]]</f>
        <v>0</v>
      </c>
      <c r="AK299" s="206" t="str">
        <f>VLOOKUP(Primary_Order[[#This Row],[Product ID]],SKU[[SKU ID]:[Bottle Size(Ltr)]],4,0)</f>
        <v>20x1L</v>
      </c>
      <c r="AL299" s="231">
        <f>VLOOKUP(Primary_Order[[#This Row],[Product ID]],SKU[],14,0)*Primary_Order[[#This Row],[Total Qty]]</f>
        <v>4612.7999999999993</v>
      </c>
      <c r="AM299" s="231">
        <f>IF(Primary_Order[[#This Row],[Cost]]=0,0,Primary_Order[[#This Row],[Net Total(-15%)]]-Primary_Order[[#This Row],[Cost]])</f>
        <v>2778.5043478260877</v>
      </c>
      <c r="AN299" s="206" t="str">
        <f>"O-"&amp;Primary_Order[[#This Row],[Date]]&amp;"-"&amp;Primary_Order[[#This Row],[MMD ID]]</f>
        <v>O-45708-D-0023</v>
      </c>
      <c r="AO299" s="206" t="str" cm="1">
        <f t="array" ref="AO29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0" spans="1:41" x14ac:dyDescent="0.5">
      <c r="A300" s="206" t="s">
        <v>1234</v>
      </c>
      <c r="B300" s="230">
        <v>45708</v>
      </c>
      <c r="C300" s="206" t="s">
        <v>108</v>
      </c>
      <c r="D300" s="206" t="s">
        <v>1230</v>
      </c>
      <c r="E300" s="206" t="s">
        <v>1231</v>
      </c>
      <c r="F300" s="206" t="s">
        <v>1235</v>
      </c>
      <c r="G300" s="206" t="s">
        <v>280</v>
      </c>
      <c r="H300" s="206" t="s">
        <v>84</v>
      </c>
      <c r="I300" s="206" t="s">
        <v>109</v>
      </c>
      <c r="J300" s="206" t="s">
        <v>282</v>
      </c>
      <c r="K300" s="206" t="s">
        <v>99</v>
      </c>
      <c r="L300" s="206" t="str">
        <f>VLOOKUP(Primary_Order[[#This Row],[Product ID]],SKU[],3,0)</f>
        <v>3000 4T 20W50</v>
      </c>
      <c r="M300" s="231">
        <v>20</v>
      </c>
      <c r="N300" s="231">
        <v>595</v>
      </c>
      <c r="O300" s="231">
        <v>24</v>
      </c>
      <c r="P300" s="232">
        <v>0</v>
      </c>
      <c r="Q300" s="231">
        <v>0</v>
      </c>
      <c r="R300" s="231">
        <v>595</v>
      </c>
      <c r="S300" s="231">
        <v>20</v>
      </c>
      <c r="T300" s="231">
        <v>24</v>
      </c>
      <c r="U300" s="231">
        <v>11900</v>
      </c>
      <c r="V300" s="231">
        <v>0</v>
      </c>
      <c r="W300" s="231">
        <v>11900</v>
      </c>
      <c r="X300" s="231">
        <v>1552.1739130434783</v>
      </c>
      <c r="Y300" s="231">
        <v>10347.826086956522</v>
      </c>
      <c r="Z300" s="206" t="s">
        <v>882</v>
      </c>
      <c r="AA300" s="206">
        <v>646</v>
      </c>
      <c r="AB300" s="206" t="s">
        <v>749</v>
      </c>
      <c r="AC300" s="230">
        <v>45711</v>
      </c>
      <c r="AD300" s="206" t="s">
        <v>50</v>
      </c>
      <c r="AE300" s="206" t="str">
        <f>IFERROR(VLOOKUP(Primary_Order[[#This Row],[AM]],SP!$E$19:$F$23,2,0),Primary_Order[[#This Row],[AM]])</f>
        <v>Northern</v>
      </c>
      <c r="AF300" s="206" t="str">
        <f>VLOOKUP(Primary_Order[[#This Row],[Product ID]],SKU[],10,0)</f>
        <v>Mineral</v>
      </c>
      <c r="AG300" s="206" t="str">
        <f>VLOOKUP(Primary_Order[[#This Row],[Product ID]],SKU[],9,0)</f>
        <v>MCO</v>
      </c>
      <c r="AH300" s="206" t="str">
        <f>VLOOKUP(Primary_Order[[#This Row],[Product ID]],SKU[],12,0)</f>
        <v>20W50</v>
      </c>
      <c r="AI300" s="206" t="str">
        <f>VLOOKUP(Primary_Order[[#This Row],[Product ID]],SKU[],13,0)</f>
        <v>3000</v>
      </c>
      <c r="AJ300" s="233">
        <f>VLOOKUP(Primary_Order[[#This Row],[Product ID]],SKU[[SKU ID]:[Bottle Size(Ltr)]],6,0)*Primary_Order[[#This Row],[Free Quantity]]</f>
        <v>0</v>
      </c>
      <c r="AK300" s="206" t="str">
        <f>VLOOKUP(Primary_Order[[#This Row],[Product ID]],SKU[[SKU ID]:[Bottle Size(Ltr)]],4,0)</f>
        <v>20x1.2L</v>
      </c>
      <c r="AL300" s="231">
        <f>VLOOKUP(Primary_Order[[#This Row],[Product ID]],SKU[],14,0)*Primary_Order[[#This Row],[Total Qty]]</f>
        <v>8692.2000000000007</v>
      </c>
      <c r="AM300" s="231">
        <f>IF(Primary_Order[[#This Row],[Cost]]=0,0,Primary_Order[[#This Row],[Net Total(-15%)]]-Primary_Order[[#This Row],[Cost]])</f>
        <v>1655.6260869565212</v>
      </c>
      <c r="AN300" s="206" t="str">
        <f>"O-"&amp;Primary_Order[[#This Row],[Date]]&amp;"-"&amp;Primary_Order[[#This Row],[MMD ID]]</f>
        <v>O-45708-D-0023</v>
      </c>
      <c r="AO300" s="206" t="str" cm="1">
        <f t="array" ref="AO30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1" spans="1:41" x14ac:dyDescent="0.5">
      <c r="A301" s="206" t="s">
        <v>1236</v>
      </c>
      <c r="B301" s="230">
        <v>45708</v>
      </c>
      <c r="C301" s="206" t="s">
        <v>108</v>
      </c>
      <c r="D301" s="206" t="s">
        <v>1227</v>
      </c>
      <c r="E301" s="206" t="s">
        <v>1228</v>
      </c>
      <c r="F301" s="206">
        <v>1737144950</v>
      </c>
      <c r="G301" s="206" t="s">
        <v>280</v>
      </c>
      <c r="H301" s="206" t="s">
        <v>84</v>
      </c>
      <c r="I301" s="206" t="s">
        <v>109</v>
      </c>
      <c r="J301" s="206" t="s">
        <v>282</v>
      </c>
      <c r="K301" s="206" t="s">
        <v>31</v>
      </c>
      <c r="L301" s="206" t="str">
        <f>VLOOKUP(Primary_Order[[#This Row],[Product ID]],SKU[],3,0)</f>
        <v>3000 4T PLUS 10W30</v>
      </c>
      <c r="M301" s="231">
        <v>120</v>
      </c>
      <c r="N301" s="231">
        <v>535</v>
      </c>
      <c r="O301" s="231">
        <v>120</v>
      </c>
      <c r="P301" s="232">
        <v>0</v>
      </c>
      <c r="Q301" s="231">
        <v>0</v>
      </c>
      <c r="R301" s="231">
        <v>535</v>
      </c>
      <c r="S301" s="231">
        <v>120</v>
      </c>
      <c r="T301" s="231">
        <v>120</v>
      </c>
      <c r="U301" s="231">
        <v>64200</v>
      </c>
      <c r="V301" s="231">
        <v>0</v>
      </c>
      <c r="W301" s="231">
        <v>64200</v>
      </c>
      <c r="X301" s="231">
        <v>8373.9130434782601</v>
      </c>
      <c r="Y301" s="231">
        <v>55826.086956521736</v>
      </c>
      <c r="Z301" s="206" t="s">
        <v>882</v>
      </c>
      <c r="AA301" s="206">
        <v>647</v>
      </c>
      <c r="AB301" s="206" t="s">
        <v>641</v>
      </c>
      <c r="AC301" s="230">
        <v>45711</v>
      </c>
      <c r="AD301" s="206" t="s">
        <v>1229</v>
      </c>
      <c r="AE301" s="206" t="str">
        <f>IFERROR(VLOOKUP(Primary_Order[[#This Row],[AM]],SP!$E$19:$F$23,2,0),Primary_Order[[#This Row],[AM]])</f>
        <v>Northern</v>
      </c>
      <c r="AF301" s="206" t="str">
        <f>VLOOKUP(Primary_Order[[#This Row],[Product ID]],SKU[],10,0)</f>
        <v>Mineral</v>
      </c>
      <c r="AG301" s="206" t="str">
        <f>VLOOKUP(Primary_Order[[#This Row],[Product ID]],SKU[],9,0)</f>
        <v>MCO</v>
      </c>
      <c r="AH301" s="206" t="str">
        <f>VLOOKUP(Primary_Order[[#This Row],[Product ID]],SKU[],12,0)</f>
        <v>10W30</v>
      </c>
      <c r="AI301" s="206" t="str">
        <f>VLOOKUP(Primary_Order[[#This Row],[Product ID]],SKU[],13,0)</f>
        <v>3000</v>
      </c>
      <c r="AJ301" s="233">
        <f>VLOOKUP(Primary_Order[[#This Row],[Product ID]],SKU[[SKU ID]:[Bottle Size(Ltr)]],6,0)*Primary_Order[[#This Row],[Free Quantity]]</f>
        <v>0</v>
      </c>
      <c r="AK301" s="206" t="str">
        <f>VLOOKUP(Primary_Order[[#This Row],[Product ID]],SKU[[SKU ID]:[Bottle Size(Ltr)]],4,0)</f>
        <v>20x1L</v>
      </c>
      <c r="AL301" s="231">
        <f>VLOOKUP(Primary_Order[[#This Row],[Product ID]],SKU[],14,0)*Primary_Order[[#This Row],[Total Qty]]</f>
        <v>45519.6</v>
      </c>
      <c r="AM301" s="231">
        <f>IF(Primary_Order[[#This Row],[Cost]]=0,0,Primary_Order[[#This Row],[Net Total(-15%)]]-Primary_Order[[#This Row],[Cost]])</f>
        <v>10306.486956521738</v>
      </c>
      <c r="AN301" s="206" t="str">
        <f>"O-"&amp;Primary_Order[[#This Row],[Date]]&amp;"-"&amp;Primary_Order[[#This Row],[MMD ID]]</f>
        <v>O-45708-D-0023</v>
      </c>
      <c r="AO301" s="206" t="str" cm="1">
        <f t="array" ref="AO30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2" spans="1:41" x14ac:dyDescent="0.5">
      <c r="A302" s="206" t="s">
        <v>1236</v>
      </c>
      <c r="B302" s="230">
        <v>45708</v>
      </c>
      <c r="C302" s="206" t="s">
        <v>108</v>
      </c>
      <c r="D302" s="206" t="s">
        <v>1227</v>
      </c>
      <c r="E302" s="206" t="s">
        <v>1228</v>
      </c>
      <c r="F302" s="206">
        <v>1737144950</v>
      </c>
      <c r="G302" s="206" t="s">
        <v>280</v>
      </c>
      <c r="H302" s="206" t="s">
        <v>84</v>
      </c>
      <c r="I302" s="206" t="s">
        <v>109</v>
      </c>
      <c r="J302" s="206" t="s">
        <v>282</v>
      </c>
      <c r="K302" s="206" t="s">
        <v>54</v>
      </c>
      <c r="L302" s="206" t="str">
        <f>VLOOKUP(Primary_Order[[#This Row],[Product ID]],SKU[],3,0)</f>
        <v>3000 4T PLUS 10W40</v>
      </c>
      <c r="M302" s="231">
        <v>280</v>
      </c>
      <c r="N302" s="231">
        <v>545</v>
      </c>
      <c r="O302" s="231">
        <v>280</v>
      </c>
      <c r="P302" s="232">
        <v>0</v>
      </c>
      <c r="Q302" s="231">
        <v>0</v>
      </c>
      <c r="R302" s="231">
        <v>545</v>
      </c>
      <c r="S302" s="231">
        <v>280</v>
      </c>
      <c r="T302" s="231">
        <v>280</v>
      </c>
      <c r="U302" s="231">
        <v>152600</v>
      </c>
      <c r="V302" s="231">
        <v>0</v>
      </c>
      <c r="W302" s="231">
        <v>152600</v>
      </c>
      <c r="X302" s="231">
        <v>19904.347826086956</v>
      </c>
      <c r="Y302" s="231">
        <v>132695.65217391305</v>
      </c>
      <c r="Z302" s="206" t="s">
        <v>882</v>
      </c>
      <c r="AA302" s="206">
        <v>647</v>
      </c>
      <c r="AB302" s="206" t="s">
        <v>641</v>
      </c>
      <c r="AC302" s="230">
        <v>45711</v>
      </c>
      <c r="AD302" s="206" t="s">
        <v>1229</v>
      </c>
      <c r="AE302" s="206" t="str">
        <f>IFERROR(VLOOKUP(Primary_Order[[#This Row],[AM]],SP!$E$19:$F$23,2,0),Primary_Order[[#This Row],[AM]])</f>
        <v>Northern</v>
      </c>
      <c r="AF302" s="206" t="str">
        <f>VLOOKUP(Primary_Order[[#This Row],[Product ID]],SKU[],10,0)</f>
        <v>Mineral</v>
      </c>
      <c r="AG302" s="206" t="str">
        <f>VLOOKUP(Primary_Order[[#This Row],[Product ID]],SKU[],9,0)</f>
        <v>MCO</v>
      </c>
      <c r="AH302" s="206" t="str">
        <f>VLOOKUP(Primary_Order[[#This Row],[Product ID]],SKU[],12,0)</f>
        <v>10W40</v>
      </c>
      <c r="AI302" s="206" t="str">
        <f>VLOOKUP(Primary_Order[[#This Row],[Product ID]],SKU[],13,0)</f>
        <v>3000</v>
      </c>
      <c r="AJ302" s="233">
        <f>VLOOKUP(Primary_Order[[#This Row],[Product ID]],SKU[[SKU ID]:[Bottle Size(Ltr)]],6,0)*Primary_Order[[#This Row],[Free Quantity]]</f>
        <v>0</v>
      </c>
      <c r="AK302" s="206" t="str">
        <f>VLOOKUP(Primary_Order[[#This Row],[Product ID]],SKU[[SKU ID]:[Bottle Size(Ltr)]],4,0)</f>
        <v>20x1L</v>
      </c>
      <c r="AL302" s="231">
        <f>VLOOKUP(Primary_Order[[#This Row],[Product ID]],SKU[],14,0)*Primary_Order[[#This Row],[Total Qty]]</f>
        <v>107758</v>
      </c>
      <c r="AM302" s="231">
        <f>IF(Primary_Order[[#This Row],[Cost]]=0,0,Primary_Order[[#This Row],[Net Total(-15%)]]-Primary_Order[[#This Row],[Cost]])</f>
        <v>24937.652173913055</v>
      </c>
      <c r="AN302" s="206" t="str">
        <f>"O-"&amp;Primary_Order[[#This Row],[Date]]&amp;"-"&amp;Primary_Order[[#This Row],[MMD ID]]</f>
        <v>O-45708-D-0023</v>
      </c>
      <c r="AO302" s="206" t="str" cm="1">
        <f t="array" ref="AO30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3" spans="1:41" x14ac:dyDescent="0.5">
      <c r="A303" s="206" t="s">
        <v>1236</v>
      </c>
      <c r="B303" s="230">
        <v>45708</v>
      </c>
      <c r="C303" s="206" t="s">
        <v>108</v>
      </c>
      <c r="D303" s="206" t="s">
        <v>1227</v>
      </c>
      <c r="E303" s="206" t="s">
        <v>1228</v>
      </c>
      <c r="F303" s="206">
        <v>1737144950</v>
      </c>
      <c r="G303" s="206" t="s">
        <v>280</v>
      </c>
      <c r="H303" s="206" t="s">
        <v>84</v>
      </c>
      <c r="I303" s="206" t="s">
        <v>109</v>
      </c>
      <c r="J303" s="206" t="s">
        <v>282</v>
      </c>
      <c r="K303" s="206" t="s">
        <v>32</v>
      </c>
      <c r="L303" s="206" t="str">
        <f>VLOOKUP(Primary_Order[[#This Row],[Product ID]],SKU[],3,0)</f>
        <v>3000 4T PLUS 10W30</v>
      </c>
      <c r="M303" s="231">
        <v>80</v>
      </c>
      <c r="N303" s="231">
        <v>650</v>
      </c>
      <c r="O303" s="231">
        <v>96</v>
      </c>
      <c r="P303" s="232">
        <v>0</v>
      </c>
      <c r="Q303" s="231">
        <v>0</v>
      </c>
      <c r="R303" s="231">
        <v>650</v>
      </c>
      <c r="S303" s="231">
        <v>80</v>
      </c>
      <c r="T303" s="231">
        <v>96</v>
      </c>
      <c r="U303" s="231">
        <v>52000</v>
      </c>
      <c r="V303" s="231">
        <v>0</v>
      </c>
      <c r="W303" s="231">
        <v>52000</v>
      </c>
      <c r="X303" s="231">
        <v>6782.608695652174</v>
      </c>
      <c r="Y303" s="231">
        <v>45217.391304347824</v>
      </c>
      <c r="Z303" s="206" t="s">
        <v>882</v>
      </c>
      <c r="AA303" s="206">
        <v>647</v>
      </c>
      <c r="AB303" s="206" t="s">
        <v>641</v>
      </c>
      <c r="AC303" s="230">
        <v>45711</v>
      </c>
      <c r="AD303" s="206" t="s">
        <v>1229</v>
      </c>
      <c r="AE303" s="206" t="str">
        <f>IFERROR(VLOOKUP(Primary_Order[[#This Row],[AM]],SP!$E$19:$F$23,2,0),Primary_Order[[#This Row],[AM]])</f>
        <v>Northern</v>
      </c>
      <c r="AF303" s="206" t="str">
        <f>VLOOKUP(Primary_Order[[#This Row],[Product ID]],SKU[],10,0)</f>
        <v>Mineral</v>
      </c>
      <c r="AG303" s="206" t="str">
        <f>VLOOKUP(Primary_Order[[#This Row],[Product ID]],SKU[],9,0)</f>
        <v>MCO</v>
      </c>
      <c r="AH303" s="206" t="str">
        <f>VLOOKUP(Primary_Order[[#This Row],[Product ID]],SKU[],12,0)</f>
        <v>10W30</v>
      </c>
      <c r="AI303" s="206" t="str">
        <f>VLOOKUP(Primary_Order[[#This Row],[Product ID]],SKU[],13,0)</f>
        <v>3000</v>
      </c>
      <c r="AJ303" s="233">
        <f>VLOOKUP(Primary_Order[[#This Row],[Product ID]],SKU[[SKU ID]:[Bottle Size(Ltr)]],6,0)*Primary_Order[[#This Row],[Free Quantity]]</f>
        <v>0</v>
      </c>
      <c r="AK303" s="206" t="str">
        <f>VLOOKUP(Primary_Order[[#This Row],[Product ID]],SKU[[SKU ID]:[Bottle Size(Ltr)]],4,0)</f>
        <v>20x1.2L</v>
      </c>
      <c r="AL303" s="231">
        <f>VLOOKUP(Primary_Order[[#This Row],[Product ID]],SKU[],14,0)*Primary_Order[[#This Row],[Total Qty]]</f>
        <v>35112</v>
      </c>
      <c r="AM303" s="231">
        <f>IF(Primary_Order[[#This Row],[Cost]]=0,0,Primary_Order[[#This Row],[Net Total(-15%)]]-Primary_Order[[#This Row],[Cost]])</f>
        <v>10105.391304347824</v>
      </c>
      <c r="AN303" s="206" t="str">
        <f>"O-"&amp;Primary_Order[[#This Row],[Date]]&amp;"-"&amp;Primary_Order[[#This Row],[MMD ID]]</f>
        <v>O-45708-D-0023</v>
      </c>
      <c r="AO303" s="206" t="str" cm="1">
        <f t="array" ref="AO30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4" spans="1:41" x14ac:dyDescent="0.5">
      <c r="A304" s="206" t="s">
        <v>1236</v>
      </c>
      <c r="B304" s="230">
        <v>45708</v>
      </c>
      <c r="C304" s="206" t="s">
        <v>108</v>
      </c>
      <c r="D304" s="206" t="s">
        <v>1227</v>
      </c>
      <c r="E304" s="206" t="s">
        <v>1228</v>
      </c>
      <c r="F304" s="206">
        <v>1737144950</v>
      </c>
      <c r="G304" s="206" t="s">
        <v>280</v>
      </c>
      <c r="H304" s="206" t="s">
        <v>84</v>
      </c>
      <c r="I304" s="206" t="s">
        <v>109</v>
      </c>
      <c r="J304" s="206" t="s">
        <v>282</v>
      </c>
      <c r="K304" s="206" t="s">
        <v>56</v>
      </c>
      <c r="L304" s="206" t="str">
        <f>VLOOKUP(Primary_Order[[#This Row],[Product ID]],SKU[],3,0)</f>
        <v>7100 4T 10W30 ESTER CORE®</v>
      </c>
      <c r="M304" s="231">
        <v>12</v>
      </c>
      <c r="N304" s="231">
        <v>1075</v>
      </c>
      <c r="O304" s="231">
        <v>12</v>
      </c>
      <c r="P304" s="232">
        <v>0</v>
      </c>
      <c r="Q304" s="231">
        <v>0</v>
      </c>
      <c r="R304" s="231">
        <v>1075</v>
      </c>
      <c r="S304" s="231">
        <v>12</v>
      </c>
      <c r="T304" s="231">
        <v>12</v>
      </c>
      <c r="U304" s="231">
        <v>12900</v>
      </c>
      <c r="V304" s="231">
        <v>0</v>
      </c>
      <c r="W304" s="231">
        <v>12900</v>
      </c>
      <c r="X304" s="231">
        <v>1682.608695652174</v>
      </c>
      <c r="Y304" s="231">
        <v>11217.391304347826</v>
      </c>
      <c r="Z304" s="206" t="s">
        <v>882</v>
      </c>
      <c r="AA304" s="206">
        <v>647</v>
      </c>
      <c r="AB304" s="206" t="s">
        <v>641</v>
      </c>
      <c r="AC304" s="230">
        <v>45711</v>
      </c>
      <c r="AD304" s="206" t="s">
        <v>1229</v>
      </c>
      <c r="AE304" s="206" t="str">
        <f>IFERROR(VLOOKUP(Primary_Order[[#This Row],[AM]],SP!$E$19:$F$23,2,0),Primary_Order[[#This Row],[AM]])</f>
        <v>Northern</v>
      </c>
      <c r="AF304" s="206" t="str">
        <f>VLOOKUP(Primary_Order[[#This Row],[Product ID]],SKU[],10,0)</f>
        <v>Synthetic</v>
      </c>
      <c r="AG304" s="206" t="str">
        <f>VLOOKUP(Primary_Order[[#This Row],[Product ID]],SKU[],9,0)</f>
        <v>MCO</v>
      </c>
      <c r="AH304" s="206" t="str">
        <f>VLOOKUP(Primary_Order[[#This Row],[Product ID]],SKU[],12,0)</f>
        <v>10W30</v>
      </c>
      <c r="AI304" s="206" t="str">
        <f>VLOOKUP(Primary_Order[[#This Row],[Product ID]],SKU[],13,0)</f>
        <v>7100</v>
      </c>
      <c r="AJ304" s="233">
        <f>VLOOKUP(Primary_Order[[#This Row],[Product ID]],SKU[[SKU ID]:[Bottle Size(Ltr)]],6,0)*Primary_Order[[#This Row],[Free Quantity]]</f>
        <v>0</v>
      </c>
      <c r="AK304" s="206" t="str">
        <f>VLOOKUP(Primary_Order[[#This Row],[Product ID]],SKU[[SKU ID]:[Bottle Size(Ltr)]],4,0)</f>
        <v>12x1L</v>
      </c>
      <c r="AL304" s="231">
        <f>VLOOKUP(Primary_Order[[#This Row],[Product ID]],SKU[],14,0)*Primary_Order[[#This Row],[Total Qty]]</f>
        <v>8278.32</v>
      </c>
      <c r="AM304" s="231">
        <f>IF(Primary_Order[[#This Row],[Cost]]=0,0,Primary_Order[[#This Row],[Net Total(-15%)]]-Primary_Order[[#This Row],[Cost]])</f>
        <v>2939.0713043478263</v>
      </c>
      <c r="AN304" s="206" t="str">
        <f>"O-"&amp;Primary_Order[[#This Row],[Date]]&amp;"-"&amp;Primary_Order[[#This Row],[MMD ID]]</f>
        <v>O-45708-D-0023</v>
      </c>
      <c r="AO304" s="206" t="str" cm="1">
        <f t="array" ref="AO30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5" spans="1:41" x14ac:dyDescent="0.5">
      <c r="A305" s="206" t="s">
        <v>1238</v>
      </c>
      <c r="B305" s="230">
        <v>45712</v>
      </c>
      <c r="C305" s="206" t="s">
        <v>110</v>
      </c>
      <c r="D305" s="206" t="s">
        <v>88</v>
      </c>
      <c r="E305" s="206" t="s">
        <v>52</v>
      </c>
      <c r="F305" s="206" t="s">
        <v>50</v>
      </c>
      <c r="G305" s="206" t="s">
        <v>87</v>
      </c>
      <c r="H305" s="206" t="s">
        <v>87</v>
      </c>
      <c r="I305" s="206" t="s">
        <v>88</v>
      </c>
      <c r="J305" s="206" t="s">
        <v>52</v>
      </c>
      <c r="K305" s="206" t="s">
        <v>54</v>
      </c>
      <c r="L305" s="206" t="str">
        <f>VLOOKUP(Primary_Order[[#This Row],[Product ID]],SKU[],3,0)</f>
        <v>3000 4T PLUS 10W40</v>
      </c>
      <c r="M305" s="231">
        <v>10000</v>
      </c>
      <c r="N305" s="231">
        <v>525</v>
      </c>
      <c r="O305" s="231">
        <v>10000</v>
      </c>
      <c r="P305" s="232">
        <v>0</v>
      </c>
      <c r="Q305" s="231">
        <v>0</v>
      </c>
      <c r="R305" s="231">
        <v>525</v>
      </c>
      <c r="S305" s="231">
        <v>10000</v>
      </c>
      <c r="T305" s="231">
        <v>10000</v>
      </c>
      <c r="U305" s="231">
        <v>5250000</v>
      </c>
      <c r="V305" s="231">
        <v>0</v>
      </c>
      <c r="W305" s="231">
        <v>5250000</v>
      </c>
      <c r="X305" s="231">
        <v>684782.60869565222</v>
      </c>
      <c r="Y305" s="231">
        <v>4565217.3913043477</v>
      </c>
      <c r="Z305" s="206" t="s">
        <v>882</v>
      </c>
      <c r="AA305" s="206">
        <v>648</v>
      </c>
      <c r="AB305" s="206" t="s">
        <v>641</v>
      </c>
      <c r="AC305" s="230">
        <v>45712</v>
      </c>
      <c r="AD305" s="206" t="s">
        <v>50</v>
      </c>
      <c r="AE305" s="206" t="str">
        <f>IFERROR(VLOOKUP(Primary_Order[[#This Row],[AM]],SP!$E$19:$F$23,2,0),Primary_Order[[#This Row],[AM]])</f>
        <v>Captive Sales</v>
      </c>
      <c r="AF305" s="206" t="str">
        <f>VLOOKUP(Primary_Order[[#This Row],[Product ID]],SKU[],10,0)</f>
        <v>Mineral</v>
      </c>
      <c r="AG305" s="206" t="str">
        <f>VLOOKUP(Primary_Order[[#This Row],[Product ID]],SKU[],9,0)</f>
        <v>MCO</v>
      </c>
      <c r="AH305" s="206" t="str">
        <f>VLOOKUP(Primary_Order[[#This Row],[Product ID]],SKU[],12,0)</f>
        <v>10W40</v>
      </c>
      <c r="AI305" s="206" t="str">
        <f>VLOOKUP(Primary_Order[[#This Row],[Product ID]],SKU[],13,0)</f>
        <v>3000</v>
      </c>
      <c r="AJ305" s="233">
        <f>VLOOKUP(Primary_Order[[#This Row],[Product ID]],SKU[[SKU ID]:[Bottle Size(Ltr)]],6,0)*Primary_Order[[#This Row],[Free Quantity]]</f>
        <v>0</v>
      </c>
      <c r="AK305" s="206" t="str">
        <f>VLOOKUP(Primary_Order[[#This Row],[Product ID]],SKU[[SKU ID]:[Bottle Size(Ltr)]],4,0)</f>
        <v>20x1L</v>
      </c>
      <c r="AL305" s="231">
        <f>VLOOKUP(Primary_Order[[#This Row],[Product ID]],SKU[],14,0)*Primary_Order[[#This Row],[Total Qty]]</f>
        <v>3848500</v>
      </c>
      <c r="AM305" s="231">
        <f>IF(Primary_Order[[#This Row],[Cost]]=0,0,Primary_Order[[#This Row],[Net Total(-15%)]]-Primary_Order[[#This Row],[Cost]])</f>
        <v>716717.39130434766</v>
      </c>
      <c r="AN305" s="206" t="str">
        <f>"O-"&amp;Primary_Order[[#This Row],[Date]]&amp;"-"&amp;Primary_Order[[#This Row],[MMD ID]]</f>
        <v>O-45712-D-0025</v>
      </c>
      <c r="AO305" s="206" t="str" cm="1">
        <f t="array" ref="AO30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6" spans="1:41" x14ac:dyDescent="0.5">
      <c r="A306" s="206" t="s">
        <v>1238</v>
      </c>
      <c r="B306" s="230">
        <v>45712</v>
      </c>
      <c r="C306" s="206" t="s">
        <v>110</v>
      </c>
      <c r="D306" s="206" t="s">
        <v>88</v>
      </c>
      <c r="E306" s="206" t="s">
        <v>52</v>
      </c>
      <c r="F306" s="206" t="s">
        <v>50</v>
      </c>
      <c r="G306" s="206" t="s">
        <v>87</v>
      </c>
      <c r="H306" s="206" t="s">
        <v>87</v>
      </c>
      <c r="I306" s="206" t="s">
        <v>88</v>
      </c>
      <c r="J306" s="206" t="s">
        <v>52</v>
      </c>
      <c r="K306" s="206" t="s">
        <v>36</v>
      </c>
      <c r="L306" s="206" t="str">
        <f>VLOOKUP(Primary_Order[[#This Row],[Product ID]],SKU[],3,0)</f>
        <v>51004T 10W40 ESTER</v>
      </c>
      <c r="M306" s="231">
        <v>3996</v>
      </c>
      <c r="N306" s="231">
        <v>830</v>
      </c>
      <c r="O306" s="231">
        <v>3996</v>
      </c>
      <c r="P306" s="232">
        <v>0</v>
      </c>
      <c r="Q306" s="231">
        <v>0</v>
      </c>
      <c r="R306" s="231">
        <v>830</v>
      </c>
      <c r="S306" s="231">
        <v>3996</v>
      </c>
      <c r="T306" s="231">
        <v>3996</v>
      </c>
      <c r="U306" s="231">
        <v>3316680</v>
      </c>
      <c r="V306" s="231">
        <v>0</v>
      </c>
      <c r="W306" s="231">
        <v>3316680</v>
      </c>
      <c r="X306" s="231">
        <v>432610.4347826087</v>
      </c>
      <c r="Y306" s="231">
        <v>2884069.5652173911</v>
      </c>
      <c r="Z306" s="206" t="s">
        <v>882</v>
      </c>
      <c r="AA306" s="206">
        <v>648</v>
      </c>
      <c r="AB306" s="206" t="s">
        <v>641</v>
      </c>
      <c r="AC306" s="230">
        <v>45712</v>
      </c>
      <c r="AD306" s="206" t="s">
        <v>50</v>
      </c>
      <c r="AE306" s="206" t="str">
        <f>IFERROR(VLOOKUP(Primary_Order[[#This Row],[AM]],SP!$E$19:$F$23,2,0),Primary_Order[[#This Row],[AM]])</f>
        <v>Captive Sales</v>
      </c>
      <c r="AF306" s="206" t="str">
        <f>VLOOKUP(Primary_Order[[#This Row],[Product ID]],SKU[],10,0)</f>
        <v>Technosynthese</v>
      </c>
      <c r="AG306" s="206" t="str">
        <f>VLOOKUP(Primary_Order[[#This Row],[Product ID]],SKU[],9,0)</f>
        <v>MCO</v>
      </c>
      <c r="AH306" s="206" t="str">
        <f>VLOOKUP(Primary_Order[[#This Row],[Product ID]],SKU[],12,0)</f>
        <v>10W40</v>
      </c>
      <c r="AI306" s="206" t="str">
        <f>VLOOKUP(Primary_Order[[#This Row],[Product ID]],SKU[],13,0)</f>
        <v>5100</v>
      </c>
      <c r="AJ306" s="233">
        <f>VLOOKUP(Primary_Order[[#This Row],[Product ID]],SKU[[SKU ID]:[Bottle Size(Ltr)]],6,0)*Primary_Order[[#This Row],[Free Quantity]]</f>
        <v>0</v>
      </c>
      <c r="AK306" s="206" t="str">
        <f>VLOOKUP(Primary_Order[[#This Row],[Product ID]],SKU[[SKU ID]:[Bottle Size(Ltr)]],4,0)</f>
        <v>12x1L</v>
      </c>
      <c r="AL306" s="231">
        <f>VLOOKUP(Primary_Order[[#This Row],[Product ID]],SKU[],14,0)*Primary_Order[[#This Row],[Total Qty]]</f>
        <v>2430886.6800000002</v>
      </c>
      <c r="AM306" s="231">
        <f>IF(Primary_Order[[#This Row],[Cost]]=0,0,Primary_Order[[#This Row],[Net Total(-15%)]]-Primary_Order[[#This Row],[Cost]])</f>
        <v>453182.88521739095</v>
      </c>
      <c r="AN306" s="206" t="str">
        <f>"O-"&amp;Primary_Order[[#This Row],[Date]]&amp;"-"&amp;Primary_Order[[#This Row],[MMD ID]]</f>
        <v>O-45712-D-0025</v>
      </c>
      <c r="AO306" s="206" t="str" cm="1">
        <f t="array" ref="AO30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7" spans="1:41" x14ac:dyDescent="0.5">
      <c r="A307" s="206" t="s">
        <v>1239</v>
      </c>
      <c r="B307" s="230">
        <v>45712</v>
      </c>
      <c r="C307" s="206" t="s">
        <v>123</v>
      </c>
      <c r="D307" s="206" t="s">
        <v>124</v>
      </c>
      <c r="E307" s="206" t="s">
        <v>940</v>
      </c>
      <c r="F307" s="206" t="s">
        <v>438</v>
      </c>
      <c r="G307" s="206" t="s">
        <v>79</v>
      </c>
      <c r="H307" s="206" t="s">
        <v>40</v>
      </c>
      <c r="I307" s="206" t="s">
        <v>124</v>
      </c>
      <c r="J307" s="206" t="s">
        <v>80</v>
      </c>
      <c r="K307" s="206" t="s">
        <v>31</v>
      </c>
      <c r="L307" s="206" t="str">
        <f>VLOOKUP(Primary_Order[[#This Row],[Product ID]],SKU[],3,0)</f>
        <v>3000 4T PLUS 10W30</v>
      </c>
      <c r="M307" s="231">
        <v>600</v>
      </c>
      <c r="N307" s="231">
        <v>530</v>
      </c>
      <c r="O307" s="231">
        <v>600</v>
      </c>
      <c r="P307" s="232"/>
      <c r="Q307" s="231">
        <v>0</v>
      </c>
      <c r="R307" s="231">
        <v>530</v>
      </c>
      <c r="S307" s="231">
        <v>600</v>
      </c>
      <c r="T307" s="231">
        <v>600</v>
      </c>
      <c r="U307" s="231">
        <v>318000</v>
      </c>
      <c r="V307" s="231">
        <v>0</v>
      </c>
      <c r="W307" s="231">
        <v>318000</v>
      </c>
      <c r="X307" s="231">
        <v>41478.260869565216</v>
      </c>
      <c r="Y307" s="231">
        <v>276521.73913043475</v>
      </c>
      <c r="Z307" s="206" t="s">
        <v>882</v>
      </c>
      <c r="AA307" s="206">
        <v>649</v>
      </c>
      <c r="AB307" s="206" t="s">
        <v>641</v>
      </c>
      <c r="AC307" s="230">
        <v>45712</v>
      </c>
      <c r="AD307" s="206" t="s">
        <v>1237</v>
      </c>
      <c r="AE307" s="206" t="str">
        <f>IFERROR(VLOOKUP(Primary_Order[[#This Row],[AM]],SP!$E$19:$F$23,2,0),Primary_Order[[#This Row],[AM]])</f>
        <v>Central</v>
      </c>
      <c r="AF307" s="206" t="str">
        <f>VLOOKUP(Primary_Order[[#This Row],[Product ID]],SKU[],10,0)</f>
        <v>Mineral</v>
      </c>
      <c r="AG307" s="206" t="str">
        <f>VLOOKUP(Primary_Order[[#This Row],[Product ID]],SKU[],9,0)</f>
        <v>MCO</v>
      </c>
      <c r="AH307" s="206" t="str">
        <f>VLOOKUP(Primary_Order[[#This Row],[Product ID]],SKU[],12,0)</f>
        <v>10W30</v>
      </c>
      <c r="AI307" s="206" t="str">
        <f>VLOOKUP(Primary_Order[[#This Row],[Product ID]],SKU[],13,0)</f>
        <v>3000</v>
      </c>
      <c r="AJ307" s="233">
        <f>VLOOKUP(Primary_Order[[#This Row],[Product ID]],SKU[[SKU ID]:[Bottle Size(Ltr)]],6,0)*Primary_Order[[#This Row],[Free Quantity]]</f>
        <v>0</v>
      </c>
      <c r="AK307" s="206" t="str">
        <f>VLOOKUP(Primary_Order[[#This Row],[Product ID]],SKU[[SKU ID]:[Bottle Size(Ltr)]],4,0)</f>
        <v>20x1L</v>
      </c>
      <c r="AL307" s="231">
        <f>VLOOKUP(Primary_Order[[#This Row],[Product ID]],SKU[],14,0)*Primary_Order[[#This Row],[Total Qty]]</f>
        <v>227598</v>
      </c>
      <c r="AM307" s="231">
        <f>IF(Primary_Order[[#This Row],[Cost]]=0,0,Primary_Order[[#This Row],[Net Total(-15%)]]-Primary_Order[[#This Row],[Cost]])</f>
        <v>48923.739130434755</v>
      </c>
      <c r="AN307" s="206" t="str">
        <f>"O-"&amp;Primary_Order[[#This Row],[Date]]&amp;"-"&amp;Primary_Order[[#This Row],[MMD ID]]</f>
        <v>O-45712-D-0015</v>
      </c>
      <c r="AO307" s="206" t="str" cm="1">
        <f t="array" ref="AO30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8" spans="1:41" x14ac:dyDescent="0.5">
      <c r="A308" s="206" t="s">
        <v>1239</v>
      </c>
      <c r="B308" s="230">
        <v>45712</v>
      </c>
      <c r="C308" s="206" t="s">
        <v>123</v>
      </c>
      <c r="D308" s="206" t="s">
        <v>124</v>
      </c>
      <c r="E308" s="206" t="s">
        <v>940</v>
      </c>
      <c r="F308" s="206" t="s">
        <v>438</v>
      </c>
      <c r="G308" s="206" t="s">
        <v>79</v>
      </c>
      <c r="H308" s="206" t="s">
        <v>40</v>
      </c>
      <c r="I308" s="206" t="s">
        <v>124</v>
      </c>
      <c r="J308" s="206" t="s">
        <v>80</v>
      </c>
      <c r="K308" s="206" t="s">
        <v>53</v>
      </c>
      <c r="L308" s="206" t="str">
        <f>VLOOKUP(Primary_Order[[#This Row],[Product ID]],SKU[],3,0)</f>
        <v>3000 4T PLUS 20W40</v>
      </c>
      <c r="M308" s="231">
        <v>800</v>
      </c>
      <c r="N308" s="231">
        <v>530</v>
      </c>
      <c r="O308" s="231">
        <v>800</v>
      </c>
      <c r="P308" s="232"/>
      <c r="Q308" s="231">
        <v>0</v>
      </c>
      <c r="R308" s="231">
        <v>530</v>
      </c>
      <c r="S308" s="231">
        <v>800</v>
      </c>
      <c r="T308" s="231">
        <v>800</v>
      </c>
      <c r="U308" s="231">
        <v>424000</v>
      </c>
      <c r="V308" s="231">
        <v>0</v>
      </c>
      <c r="W308" s="231">
        <v>424000</v>
      </c>
      <c r="X308" s="231">
        <v>55304.34782608696</v>
      </c>
      <c r="Y308" s="231">
        <v>368695.65217391303</v>
      </c>
      <c r="Z308" s="206" t="s">
        <v>882</v>
      </c>
      <c r="AA308" s="206">
        <v>649</v>
      </c>
      <c r="AB308" s="206" t="s">
        <v>641</v>
      </c>
      <c r="AC308" s="230">
        <v>45712</v>
      </c>
      <c r="AD308" s="206" t="s">
        <v>1237</v>
      </c>
      <c r="AE308" s="206" t="str">
        <f>IFERROR(VLOOKUP(Primary_Order[[#This Row],[AM]],SP!$E$19:$F$23,2,0),Primary_Order[[#This Row],[AM]])</f>
        <v>Central</v>
      </c>
      <c r="AF308" s="206" t="str">
        <f>VLOOKUP(Primary_Order[[#This Row],[Product ID]],SKU[],10,0)</f>
        <v>Mineral</v>
      </c>
      <c r="AG308" s="206" t="str">
        <f>VLOOKUP(Primary_Order[[#This Row],[Product ID]],SKU[],9,0)</f>
        <v>MCO</v>
      </c>
      <c r="AH308" s="206" t="str">
        <f>VLOOKUP(Primary_Order[[#This Row],[Product ID]],SKU[],12,0)</f>
        <v>20W40</v>
      </c>
      <c r="AI308" s="206" t="str">
        <f>VLOOKUP(Primary_Order[[#This Row],[Product ID]],SKU[],13,0)</f>
        <v>3000</v>
      </c>
      <c r="AJ308" s="233">
        <f>VLOOKUP(Primary_Order[[#This Row],[Product ID]],SKU[[SKU ID]:[Bottle Size(Ltr)]],6,0)*Primary_Order[[#This Row],[Free Quantity]]</f>
        <v>0</v>
      </c>
      <c r="AK308" s="206" t="str">
        <f>VLOOKUP(Primary_Order[[#This Row],[Product ID]],SKU[[SKU ID]:[Bottle Size(Ltr)]],4,0)</f>
        <v>20x1L</v>
      </c>
      <c r="AL308" s="231">
        <f>VLOOKUP(Primary_Order[[#This Row],[Product ID]],SKU[],14,0)*Primary_Order[[#This Row],[Total Qty]]</f>
        <v>330208</v>
      </c>
      <c r="AM308" s="231">
        <f>IF(Primary_Order[[#This Row],[Cost]]=0,0,Primary_Order[[#This Row],[Net Total(-15%)]]-Primary_Order[[#This Row],[Cost]])</f>
        <v>38487.652173913026</v>
      </c>
      <c r="AN308" s="206" t="str">
        <f>"O-"&amp;Primary_Order[[#This Row],[Date]]&amp;"-"&amp;Primary_Order[[#This Row],[MMD ID]]</f>
        <v>O-45712-D-0015</v>
      </c>
      <c r="AO308" s="206" t="str" cm="1">
        <f t="array" ref="AO30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09" spans="1:41" x14ac:dyDescent="0.5">
      <c r="A309" s="206" t="s">
        <v>1239</v>
      </c>
      <c r="B309" s="230">
        <v>45712</v>
      </c>
      <c r="C309" s="206" t="s">
        <v>123</v>
      </c>
      <c r="D309" s="206" t="s">
        <v>124</v>
      </c>
      <c r="E309" s="206" t="s">
        <v>940</v>
      </c>
      <c r="F309" s="206" t="s">
        <v>438</v>
      </c>
      <c r="G309" s="206" t="s">
        <v>79</v>
      </c>
      <c r="H309" s="206" t="s">
        <v>40</v>
      </c>
      <c r="I309" s="206" t="s">
        <v>124</v>
      </c>
      <c r="J309" s="206" t="s">
        <v>80</v>
      </c>
      <c r="K309" s="206" t="s">
        <v>54</v>
      </c>
      <c r="L309" s="206" t="str">
        <f>VLOOKUP(Primary_Order[[#This Row],[Product ID]],SKU[],3,0)</f>
        <v>3000 4T PLUS 10W40</v>
      </c>
      <c r="M309" s="231">
        <v>2000</v>
      </c>
      <c r="N309" s="231">
        <v>530</v>
      </c>
      <c r="O309" s="231">
        <v>2000</v>
      </c>
      <c r="P309" s="232"/>
      <c r="Q309" s="231">
        <v>0</v>
      </c>
      <c r="R309" s="231">
        <v>530</v>
      </c>
      <c r="S309" s="231">
        <v>2000</v>
      </c>
      <c r="T309" s="231">
        <v>2000</v>
      </c>
      <c r="U309" s="231">
        <v>1060000</v>
      </c>
      <c r="V309" s="231">
        <v>0</v>
      </c>
      <c r="W309" s="231">
        <v>1060000</v>
      </c>
      <c r="X309" s="231">
        <v>138260.86956521738</v>
      </c>
      <c r="Y309" s="231">
        <v>921739.13043478259</v>
      </c>
      <c r="Z309" s="206" t="s">
        <v>882</v>
      </c>
      <c r="AA309" s="206">
        <v>649</v>
      </c>
      <c r="AB309" s="206" t="s">
        <v>641</v>
      </c>
      <c r="AC309" s="230">
        <v>45712</v>
      </c>
      <c r="AD309" s="206" t="s">
        <v>1237</v>
      </c>
      <c r="AE309" s="206" t="str">
        <f>IFERROR(VLOOKUP(Primary_Order[[#This Row],[AM]],SP!$E$19:$F$23,2,0),Primary_Order[[#This Row],[AM]])</f>
        <v>Central</v>
      </c>
      <c r="AF309" s="206" t="str">
        <f>VLOOKUP(Primary_Order[[#This Row],[Product ID]],SKU[],10,0)</f>
        <v>Mineral</v>
      </c>
      <c r="AG309" s="206" t="str">
        <f>VLOOKUP(Primary_Order[[#This Row],[Product ID]],SKU[],9,0)</f>
        <v>MCO</v>
      </c>
      <c r="AH309" s="206" t="str">
        <f>VLOOKUP(Primary_Order[[#This Row],[Product ID]],SKU[],12,0)</f>
        <v>10W40</v>
      </c>
      <c r="AI309" s="206" t="str">
        <f>VLOOKUP(Primary_Order[[#This Row],[Product ID]],SKU[],13,0)</f>
        <v>3000</v>
      </c>
      <c r="AJ309" s="233">
        <f>VLOOKUP(Primary_Order[[#This Row],[Product ID]],SKU[[SKU ID]:[Bottle Size(Ltr)]],6,0)*Primary_Order[[#This Row],[Free Quantity]]</f>
        <v>0</v>
      </c>
      <c r="AK309" s="206" t="str">
        <f>VLOOKUP(Primary_Order[[#This Row],[Product ID]],SKU[[SKU ID]:[Bottle Size(Ltr)]],4,0)</f>
        <v>20x1L</v>
      </c>
      <c r="AL309" s="231">
        <f>VLOOKUP(Primary_Order[[#This Row],[Product ID]],SKU[],14,0)*Primary_Order[[#This Row],[Total Qty]]</f>
        <v>769700</v>
      </c>
      <c r="AM309" s="231">
        <f>IF(Primary_Order[[#This Row],[Cost]]=0,0,Primary_Order[[#This Row],[Net Total(-15%)]]-Primary_Order[[#This Row],[Cost]])</f>
        <v>152039.13043478259</v>
      </c>
      <c r="AN309" s="206" t="str">
        <f>"O-"&amp;Primary_Order[[#This Row],[Date]]&amp;"-"&amp;Primary_Order[[#This Row],[MMD ID]]</f>
        <v>O-45712-D-0015</v>
      </c>
      <c r="AO309" s="206" t="str" cm="1">
        <f t="array" ref="AO30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0" spans="1:41" x14ac:dyDescent="0.5">
      <c r="A310" s="206" t="s">
        <v>1240</v>
      </c>
      <c r="B310" s="230">
        <v>45712</v>
      </c>
      <c r="C310" s="206" t="s">
        <v>116</v>
      </c>
      <c r="D310" s="206" t="s">
        <v>1031</v>
      </c>
      <c r="E310" s="206" t="s">
        <v>1032</v>
      </c>
      <c r="F310" s="206" t="s">
        <v>283</v>
      </c>
      <c r="G310" s="206" t="s">
        <v>79</v>
      </c>
      <c r="H310" s="206" t="s">
        <v>40</v>
      </c>
      <c r="I310" s="206" t="s">
        <v>284</v>
      </c>
      <c r="J310" s="206" t="s">
        <v>285</v>
      </c>
      <c r="K310" s="206" t="s">
        <v>36</v>
      </c>
      <c r="L310" s="206" t="str">
        <f>VLOOKUP(Primary_Order[[#This Row],[Product ID]],SKU[],3,0)</f>
        <v>51004T 10W40 ESTER</v>
      </c>
      <c r="M310" s="231">
        <v>840</v>
      </c>
      <c r="N310" s="231">
        <v>850</v>
      </c>
      <c r="O310" s="231">
        <v>840</v>
      </c>
      <c r="P310" s="232"/>
      <c r="Q310" s="231">
        <v>0</v>
      </c>
      <c r="R310" s="231">
        <v>850</v>
      </c>
      <c r="S310" s="231">
        <v>840</v>
      </c>
      <c r="T310" s="231">
        <v>840</v>
      </c>
      <c r="U310" s="231">
        <v>714000</v>
      </c>
      <c r="V310" s="231">
        <v>0</v>
      </c>
      <c r="W310" s="231">
        <v>714000</v>
      </c>
      <c r="X310" s="231">
        <v>93130.434782608689</v>
      </c>
      <c r="Y310" s="231">
        <v>620869.56521739135</v>
      </c>
      <c r="Z310" s="206" t="s">
        <v>882</v>
      </c>
      <c r="AA310" s="206">
        <v>650</v>
      </c>
      <c r="AB310" s="206" t="s">
        <v>641</v>
      </c>
      <c r="AC310" s="230">
        <v>45712</v>
      </c>
      <c r="AD310" s="206" t="s">
        <v>1126</v>
      </c>
      <c r="AE310" s="206" t="str">
        <f>IFERROR(VLOOKUP(Primary_Order[[#This Row],[AM]],SP!$E$19:$F$23,2,0),Primary_Order[[#This Row],[AM]])</f>
        <v>Central</v>
      </c>
      <c r="AF310" s="206" t="str">
        <f>VLOOKUP(Primary_Order[[#This Row],[Product ID]],SKU[],10,0)</f>
        <v>Technosynthese</v>
      </c>
      <c r="AG310" s="206" t="str">
        <f>VLOOKUP(Primary_Order[[#This Row],[Product ID]],SKU[],9,0)</f>
        <v>MCO</v>
      </c>
      <c r="AH310" s="206" t="str">
        <f>VLOOKUP(Primary_Order[[#This Row],[Product ID]],SKU[],12,0)</f>
        <v>10W40</v>
      </c>
      <c r="AI310" s="206" t="str">
        <f>VLOOKUP(Primary_Order[[#This Row],[Product ID]],SKU[],13,0)</f>
        <v>5100</v>
      </c>
      <c r="AJ310" s="233">
        <f>VLOOKUP(Primary_Order[[#This Row],[Product ID]],SKU[[SKU ID]:[Bottle Size(Ltr)]],6,0)*Primary_Order[[#This Row],[Free Quantity]]</f>
        <v>0</v>
      </c>
      <c r="AK310" s="206" t="str">
        <f>VLOOKUP(Primary_Order[[#This Row],[Product ID]],SKU[[SKU ID]:[Bottle Size(Ltr)]],4,0)</f>
        <v>12x1L</v>
      </c>
      <c r="AL310" s="231">
        <f>VLOOKUP(Primary_Order[[#This Row],[Product ID]],SKU[],14,0)*Primary_Order[[#This Row],[Total Qty]]</f>
        <v>510997.2</v>
      </c>
      <c r="AM310" s="231">
        <f>IF(Primary_Order[[#This Row],[Cost]]=0,0,Primary_Order[[#This Row],[Net Total(-15%)]]-Primary_Order[[#This Row],[Cost]])</f>
        <v>109872.36521739134</v>
      </c>
      <c r="AN310" s="206" t="str">
        <f>"O-"&amp;Primary_Order[[#This Row],[Date]]&amp;"-"&amp;Primary_Order[[#This Row],[MMD ID]]</f>
        <v>O-45712-D-0009</v>
      </c>
      <c r="AO310" s="206" t="str" cm="1">
        <f t="array" ref="AO31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1" spans="1:41" x14ac:dyDescent="0.5">
      <c r="A311" s="206" t="s">
        <v>1251</v>
      </c>
      <c r="B311" s="230">
        <v>45713</v>
      </c>
      <c r="C311" s="206" t="s">
        <v>108</v>
      </c>
      <c r="D311" s="206" t="s">
        <v>1241</v>
      </c>
      <c r="E311" s="206" t="s">
        <v>1242</v>
      </c>
      <c r="F311" s="206">
        <v>1780903329</v>
      </c>
      <c r="G311" s="206" t="s">
        <v>280</v>
      </c>
      <c r="H311" s="206" t="s">
        <v>84</v>
      </c>
      <c r="I311" s="206" t="s">
        <v>109</v>
      </c>
      <c r="J311" s="206" t="s">
        <v>282</v>
      </c>
      <c r="K311" s="206" t="s">
        <v>31</v>
      </c>
      <c r="L311" s="206" t="str">
        <f>VLOOKUP(Primary_Order[[#This Row],[Product ID]],SKU[],3,0)</f>
        <v>3000 4T PLUS 10W30</v>
      </c>
      <c r="M311" s="231">
        <v>100</v>
      </c>
      <c r="N311" s="231">
        <v>540</v>
      </c>
      <c r="O311" s="231">
        <v>100</v>
      </c>
      <c r="P311" s="232">
        <v>9.2592592592593004E-3</v>
      </c>
      <c r="Q311" s="231">
        <v>0</v>
      </c>
      <c r="R311" s="231">
        <v>535</v>
      </c>
      <c r="S311" s="231">
        <v>100</v>
      </c>
      <c r="T311" s="231">
        <v>100</v>
      </c>
      <c r="U311" s="231">
        <v>54000</v>
      </c>
      <c r="V311" s="231">
        <v>0</v>
      </c>
      <c r="W311" s="231">
        <v>53500</v>
      </c>
      <c r="X311" s="231">
        <v>6978.260869565217</v>
      </c>
      <c r="Y311" s="231">
        <v>46521.739130434784</v>
      </c>
      <c r="Z311" s="206" t="s">
        <v>882</v>
      </c>
      <c r="AA311" s="206">
        <v>651</v>
      </c>
      <c r="AB311" s="206" t="s">
        <v>749</v>
      </c>
      <c r="AC311" s="230">
        <v>45714</v>
      </c>
      <c r="AD311" s="206" t="s">
        <v>50</v>
      </c>
      <c r="AE311" s="206" t="str">
        <f>IFERROR(VLOOKUP(Primary_Order[[#This Row],[AM]],SP!$E$19:$F$23,2,0),Primary_Order[[#This Row],[AM]])</f>
        <v>Northern</v>
      </c>
      <c r="AF311" s="206" t="str">
        <f>VLOOKUP(Primary_Order[[#This Row],[Product ID]],SKU[],10,0)</f>
        <v>Mineral</v>
      </c>
      <c r="AG311" s="206" t="str">
        <f>VLOOKUP(Primary_Order[[#This Row],[Product ID]],SKU[],9,0)</f>
        <v>MCO</v>
      </c>
      <c r="AH311" s="206" t="str">
        <f>VLOOKUP(Primary_Order[[#This Row],[Product ID]],SKU[],12,0)</f>
        <v>10W30</v>
      </c>
      <c r="AI311" s="206" t="str">
        <f>VLOOKUP(Primary_Order[[#This Row],[Product ID]],SKU[],13,0)</f>
        <v>3000</v>
      </c>
      <c r="AJ311" s="233">
        <f>VLOOKUP(Primary_Order[[#This Row],[Product ID]],SKU[[SKU ID]:[Bottle Size(Ltr)]],6,0)*Primary_Order[[#This Row],[Free Quantity]]</f>
        <v>0</v>
      </c>
      <c r="AK311" s="206" t="str">
        <f>VLOOKUP(Primary_Order[[#This Row],[Product ID]],SKU[[SKU ID]:[Bottle Size(Ltr)]],4,0)</f>
        <v>20x1L</v>
      </c>
      <c r="AL311" s="231">
        <f>VLOOKUP(Primary_Order[[#This Row],[Product ID]],SKU[],14,0)*Primary_Order[[#This Row],[Total Qty]]</f>
        <v>37933</v>
      </c>
      <c r="AM311" s="231">
        <f>IF(Primary_Order[[#This Row],[Cost]]=0,0,Primary_Order[[#This Row],[Net Total(-15%)]]-Primary_Order[[#This Row],[Cost]])</f>
        <v>8588.7391304347839</v>
      </c>
      <c r="AN311" s="206" t="str">
        <f>"O-"&amp;Primary_Order[[#This Row],[Date]]&amp;"-"&amp;Primary_Order[[#This Row],[MMD ID]]</f>
        <v>O-45713-D-0023</v>
      </c>
      <c r="AO311" s="206" t="str" cm="1">
        <f t="array" ref="AO31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2" spans="1:41" x14ac:dyDescent="0.5">
      <c r="A312" s="206" t="s">
        <v>1251</v>
      </c>
      <c r="B312" s="230">
        <v>45713</v>
      </c>
      <c r="C312" s="206" t="s">
        <v>108</v>
      </c>
      <c r="D312" s="206" t="s">
        <v>1241</v>
      </c>
      <c r="E312" s="206" t="s">
        <v>1242</v>
      </c>
      <c r="F312" s="206">
        <v>1780903329</v>
      </c>
      <c r="G312" s="206" t="s">
        <v>280</v>
      </c>
      <c r="H312" s="206" t="s">
        <v>84</v>
      </c>
      <c r="I312" s="206" t="s">
        <v>109</v>
      </c>
      <c r="J312" s="206" t="s">
        <v>282</v>
      </c>
      <c r="K312" s="206" t="s">
        <v>54</v>
      </c>
      <c r="L312" s="206" t="str">
        <f>VLOOKUP(Primary_Order[[#This Row],[Product ID]],SKU[],3,0)</f>
        <v>3000 4T PLUS 10W40</v>
      </c>
      <c r="M312" s="231">
        <v>120</v>
      </c>
      <c r="N312" s="231">
        <v>550</v>
      </c>
      <c r="O312" s="231">
        <v>120</v>
      </c>
      <c r="P312" s="232">
        <v>9.0909090909090384E-3</v>
      </c>
      <c r="Q312" s="231">
        <v>0</v>
      </c>
      <c r="R312" s="231">
        <v>545</v>
      </c>
      <c r="S312" s="231">
        <v>120</v>
      </c>
      <c r="T312" s="231">
        <v>120</v>
      </c>
      <c r="U312" s="231">
        <v>66000</v>
      </c>
      <c r="V312" s="231">
        <v>0</v>
      </c>
      <c r="W312" s="231">
        <v>65400</v>
      </c>
      <c r="X312" s="231">
        <v>8530.434782608696</v>
      </c>
      <c r="Y312" s="231">
        <v>56869.565217391304</v>
      </c>
      <c r="Z312" s="206" t="s">
        <v>882</v>
      </c>
      <c r="AA312" s="206">
        <v>651</v>
      </c>
      <c r="AB312" s="206" t="s">
        <v>749</v>
      </c>
      <c r="AC312" s="230">
        <v>45714</v>
      </c>
      <c r="AD312" s="206" t="s">
        <v>50</v>
      </c>
      <c r="AE312" s="206" t="str">
        <f>IFERROR(VLOOKUP(Primary_Order[[#This Row],[AM]],SP!$E$19:$F$23,2,0),Primary_Order[[#This Row],[AM]])</f>
        <v>Northern</v>
      </c>
      <c r="AF312" s="206" t="str">
        <f>VLOOKUP(Primary_Order[[#This Row],[Product ID]],SKU[],10,0)</f>
        <v>Mineral</v>
      </c>
      <c r="AG312" s="206" t="str">
        <f>VLOOKUP(Primary_Order[[#This Row],[Product ID]],SKU[],9,0)</f>
        <v>MCO</v>
      </c>
      <c r="AH312" s="206" t="str">
        <f>VLOOKUP(Primary_Order[[#This Row],[Product ID]],SKU[],12,0)</f>
        <v>10W40</v>
      </c>
      <c r="AI312" s="206" t="str">
        <f>VLOOKUP(Primary_Order[[#This Row],[Product ID]],SKU[],13,0)</f>
        <v>3000</v>
      </c>
      <c r="AJ312" s="233">
        <f>VLOOKUP(Primary_Order[[#This Row],[Product ID]],SKU[[SKU ID]:[Bottle Size(Ltr)]],6,0)*Primary_Order[[#This Row],[Free Quantity]]</f>
        <v>0</v>
      </c>
      <c r="AK312" s="206" t="str">
        <f>VLOOKUP(Primary_Order[[#This Row],[Product ID]],SKU[[SKU ID]:[Bottle Size(Ltr)]],4,0)</f>
        <v>20x1L</v>
      </c>
      <c r="AL312" s="231">
        <f>VLOOKUP(Primary_Order[[#This Row],[Product ID]],SKU[],14,0)*Primary_Order[[#This Row],[Total Qty]]</f>
        <v>46182</v>
      </c>
      <c r="AM312" s="231">
        <f>IF(Primary_Order[[#This Row],[Cost]]=0,0,Primary_Order[[#This Row],[Net Total(-15%)]]-Primary_Order[[#This Row],[Cost]])</f>
        <v>10687.565217391304</v>
      </c>
      <c r="AN312" s="206" t="str">
        <f>"O-"&amp;Primary_Order[[#This Row],[Date]]&amp;"-"&amp;Primary_Order[[#This Row],[MMD ID]]</f>
        <v>O-45713-D-0023</v>
      </c>
      <c r="AO312" s="206" t="str" cm="1">
        <f t="array" ref="AO31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3" spans="1:41" x14ac:dyDescent="0.5">
      <c r="A313" s="206" t="s">
        <v>1251</v>
      </c>
      <c r="B313" s="230">
        <v>45713</v>
      </c>
      <c r="C313" s="206" t="s">
        <v>108</v>
      </c>
      <c r="D313" s="206" t="s">
        <v>1241</v>
      </c>
      <c r="E313" s="206" t="s">
        <v>1242</v>
      </c>
      <c r="F313" s="206">
        <v>1780903329</v>
      </c>
      <c r="G313" s="206" t="s">
        <v>280</v>
      </c>
      <c r="H313" s="206" t="s">
        <v>84</v>
      </c>
      <c r="I313" s="206" t="s">
        <v>109</v>
      </c>
      <c r="J313" s="206" t="s">
        <v>282</v>
      </c>
      <c r="K313" s="206" t="s">
        <v>81</v>
      </c>
      <c r="L313" s="206" t="str">
        <f>VLOOKUP(Primary_Order[[#This Row],[Product ID]],SKU[],3,0)</f>
        <v>3000 4T 20W50</v>
      </c>
      <c r="M313" s="231">
        <v>120</v>
      </c>
      <c r="N313" s="231">
        <v>495</v>
      </c>
      <c r="O313" s="231">
        <v>120</v>
      </c>
      <c r="P313" s="232">
        <v>2.4242424242424288E-2</v>
      </c>
      <c r="Q313" s="231">
        <v>0</v>
      </c>
      <c r="R313" s="231">
        <v>483</v>
      </c>
      <c r="S313" s="231">
        <v>120</v>
      </c>
      <c r="T313" s="231">
        <v>120</v>
      </c>
      <c r="U313" s="231">
        <v>59400</v>
      </c>
      <c r="V313" s="231">
        <v>0</v>
      </c>
      <c r="W313" s="231">
        <v>57960</v>
      </c>
      <c r="X313" s="231">
        <v>7560</v>
      </c>
      <c r="Y313" s="231">
        <v>50400</v>
      </c>
      <c r="Z313" s="206" t="s">
        <v>882</v>
      </c>
      <c r="AA313" s="206">
        <v>651</v>
      </c>
      <c r="AB313" s="206" t="s">
        <v>749</v>
      </c>
      <c r="AC313" s="230">
        <v>45714</v>
      </c>
      <c r="AD313" s="206" t="s">
        <v>50</v>
      </c>
      <c r="AE313" s="206" t="str">
        <f>IFERROR(VLOOKUP(Primary_Order[[#This Row],[AM]],SP!$E$19:$F$23,2,0),Primary_Order[[#This Row],[AM]])</f>
        <v>Northern</v>
      </c>
      <c r="AF313" s="206" t="str">
        <f>VLOOKUP(Primary_Order[[#This Row],[Product ID]],SKU[],10,0)</f>
        <v>Mineral</v>
      </c>
      <c r="AG313" s="206" t="str">
        <f>VLOOKUP(Primary_Order[[#This Row],[Product ID]],SKU[],9,0)</f>
        <v>MCO</v>
      </c>
      <c r="AH313" s="206" t="str">
        <f>VLOOKUP(Primary_Order[[#This Row],[Product ID]],SKU[],12,0)</f>
        <v>20W50</v>
      </c>
      <c r="AI313" s="206" t="str">
        <f>VLOOKUP(Primary_Order[[#This Row],[Product ID]],SKU[],13,0)</f>
        <v>3000</v>
      </c>
      <c r="AJ313" s="233">
        <f>VLOOKUP(Primary_Order[[#This Row],[Product ID]],SKU[[SKU ID]:[Bottle Size(Ltr)]],6,0)*Primary_Order[[#This Row],[Free Quantity]]</f>
        <v>0</v>
      </c>
      <c r="AK313" s="206" t="str">
        <f>VLOOKUP(Primary_Order[[#This Row],[Product ID]],SKU[[SKU ID]:[Bottle Size(Ltr)]],4,0)</f>
        <v>20x1L</v>
      </c>
      <c r="AL313" s="231">
        <f>VLOOKUP(Primary_Order[[#This Row],[Product ID]],SKU[],14,0)*Primary_Order[[#This Row],[Total Qty]]</f>
        <v>43790.400000000001</v>
      </c>
      <c r="AM313" s="231">
        <f>IF(Primary_Order[[#This Row],[Cost]]=0,0,Primary_Order[[#This Row],[Net Total(-15%)]]-Primary_Order[[#This Row],[Cost]])</f>
        <v>6609.5999999999985</v>
      </c>
      <c r="AN313" s="206" t="str">
        <f>"O-"&amp;Primary_Order[[#This Row],[Date]]&amp;"-"&amp;Primary_Order[[#This Row],[MMD ID]]</f>
        <v>O-45713-D-0023</v>
      </c>
      <c r="AO313" s="206" t="str" cm="1">
        <f t="array" ref="AO31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4" spans="1:41" x14ac:dyDescent="0.5">
      <c r="A314" s="206" t="s">
        <v>1269</v>
      </c>
      <c r="B314" s="230">
        <v>45712</v>
      </c>
      <c r="C314" s="206" t="s">
        <v>90</v>
      </c>
      <c r="D314" s="206" t="s">
        <v>91</v>
      </c>
      <c r="E314" s="206" t="s">
        <v>1027</v>
      </c>
      <c r="F314" s="206" t="s">
        <v>1028</v>
      </c>
      <c r="G314" s="206" t="s">
        <v>39</v>
      </c>
      <c r="H314" s="206" t="s">
        <v>40</v>
      </c>
      <c r="I314" s="206" t="s">
        <v>91</v>
      </c>
      <c r="J314" s="206" t="s">
        <v>93</v>
      </c>
      <c r="K314" s="206" t="s">
        <v>54</v>
      </c>
      <c r="L314" s="206" t="str">
        <f>VLOOKUP(Primary_Order[[#This Row],[Product ID]],SKU[],3,0)</f>
        <v>3000 4T PLUS 10W40</v>
      </c>
      <c r="M314" s="231">
        <v>2000</v>
      </c>
      <c r="N314" s="231">
        <v>550</v>
      </c>
      <c r="O314" s="231">
        <v>2000</v>
      </c>
      <c r="P314" s="232">
        <v>2.7272727272727226E-2</v>
      </c>
      <c r="Q314" s="231">
        <v>0</v>
      </c>
      <c r="R314" s="231">
        <v>535</v>
      </c>
      <c r="S314" s="231">
        <v>2000</v>
      </c>
      <c r="T314" s="231">
        <v>2000</v>
      </c>
      <c r="U314" s="231">
        <v>1100000</v>
      </c>
      <c r="V314" s="231">
        <v>30000</v>
      </c>
      <c r="W314" s="231">
        <v>1070000</v>
      </c>
      <c r="X314" s="231">
        <v>139565.21739130435</v>
      </c>
      <c r="Y314" s="231">
        <v>930434.78260869568</v>
      </c>
      <c r="Z314" s="206" t="s">
        <v>882</v>
      </c>
      <c r="AA314" s="206">
        <v>652</v>
      </c>
      <c r="AB314" s="206" t="s">
        <v>641</v>
      </c>
      <c r="AC314" s="230">
        <v>45721</v>
      </c>
      <c r="AD314" s="206" t="s">
        <v>1125</v>
      </c>
      <c r="AE314" s="206" t="str">
        <f>IFERROR(VLOOKUP(Primary_Order[[#This Row],[AM]],SP!$E$19:$F$23,2,0),Primary_Order[[#This Row],[AM]])</f>
        <v>Central</v>
      </c>
      <c r="AF314" s="206" t="str">
        <f>VLOOKUP(Primary_Order[[#This Row],[Product ID]],SKU[],10,0)</f>
        <v>Mineral</v>
      </c>
      <c r="AG314" s="206" t="str">
        <f>VLOOKUP(Primary_Order[[#This Row],[Product ID]],SKU[],9,0)</f>
        <v>MCO</v>
      </c>
      <c r="AH314" s="206" t="str">
        <f>VLOOKUP(Primary_Order[[#This Row],[Product ID]],SKU[],12,0)</f>
        <v>10W40</v>
      </c>
      <c r="AI314" s="206" t="str">
        <f>VLOOKUP(Primary_Order[[#This Row],[Product ID]],SKU[],13,0)</f>
        <v>3000</v>
      </c>
      <c r="AJ314" s="233">
        <f>VLOOKUP(Primary_Order[[#This Row],[Product ID]],SKU[[SKU ID]:[Bottle Size(Ltr)]],6,0)*Primary_Order[[#This Row],[Free Quantity]]</f>
        <v>0</v>
      </c>
      <c r="AK314" s="206" t="str">
        <f>VLOOKUP(Primary_Order[[#This Row],[Product ID]],SKU[[SKU ID]:[Bottle Size(Ltr)]],4,0)</f>
        <v>20x1L</v>
      </c>
      <c r="AL314" s="231">
        <f>VLOOKUP(Primary_Order[[#This Row],[Product ID]],SKU[],14,0)*Primary_Order[[#This Row],[Total Qty]]</f>
        <v>769700</v>
      </c>
      <c r="AM314" s="231">
        <f>IF(Primary_Order[[#This Row],[Cost]]=0,0,Primary_Order[[#This Row],[Net Total(-15%)]]-Primary_Order[[#This Row],[Cost]])</f>
        <v>160734.78260869568</v>
      </c>
      <c r="AN314" s="206" t="str">
        <f>"O-"&amp;Primary_Order[[#This Row],[Date]]&amp;"-"&amp;Primary_Order[[#This Row],[MMD ID]]</f>
        <v>O-45712-D-0006</v>
      </c>
      <c r="AO314" s="206" t="str" cm="1">
        <f t="array" ref="AO31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5" spans="1:41" x14ac:dyDescent="0.5">
      <c r="A315" s="206" t="s">
        <v>1372</v>
      </c>
      <c r="B315" s="230">
        <v>45714</v>
      </c>
      <c r="C315" s="206" t="s">
        <v>26</v>
      </c>
      <c r="D315" s="206" t="s">
        <v>1243</v>
      </c>
      <c r="E315" s="206" t="s">
        <v>1244</v>
      </c>
      <c r="F315" s="206" t="s">
        <v>1245</v>
      </c>
      <c r="G315" s="206" t="s">
        <v>27</v>
      </c>
      <c r="H315" s="206" t="s">
        <v>28</v>
      </c>
      <c r="I315" s="206" t="s">
        <v>29</v>
      </c>
      <c r="J315" s="206" t="s">
        <v>30</v>
      </c>
      <c r="K315" s="206" t="s">
        <v>54</v>
      </c>
      <c r="L315" s="206" t="str">
        <f>VLOOKUP(Primary_Order[[#This Row],[Product ID]],SKU[],3,0)</f>
        <v>3000 4T PLUS 10W40</v>
      </c>
      <c r="M315" s="231">
        <v>1005</v>
      </c>
      <c r="N315" s="231">
        <v>535</v>
      </c>
      <c r="O315" s="231">
        <v>1005</v>
      </c>
      <c r="P315" s="232">
        <v>0</v>
      </c>
      <c r="Q315" s="231">
        <v>0</v>
      </c>
      <c r="R315" s="231">
        <v>535</v>
      </c>
      <c r="S315" s="231">
        <v>1005</v>
      </c>
      <c r="T315" s="231">
        <v>1005</v>
      </c>
      <c r="U315" s="231">
        <v>537675</v>
      </c>
      <c r="V315" s="231">
        <v>0</v>
      </c>
      <c r="W315" s="231">
        <v>537675</v>
      </c>
      <c r="X315" s="231">
        <v>70131.521739130432</v>
      </c>
      <c r="Y315" s="231">
        <v>467543.47826086957</v>
      </c>
      <c r="Z315" s="206" t="s">
        <v>882</v>
      </c>
      <c r="AA315" s="206">
        <v>653</v>
      </c>
      <c r="AB315" s="206" t="s">
        <v>641</v>
      </c>
      <c r="AC315" s="230">
        <v>45732</v>
      </c>
      <c r="AD315" s="206" t="s">
        <v>1250</v>
      </c>
      <c r="AE315" s="206" t="str">
        <f>IFERROR(VLOOKUP(Primary_Order[[#This Row],[AM]],SP!$E$19:$F$23,2,0),Primary_Order[[#This Row],[AM]])</f>
        <v>Eastern</v>
      </c>
      <c r="AF315" s="206" t="str">
        <f>VLOOKUP(Primary_Order[[#This Row],[Product ID]],SKU[],10,0)</f>
        <v>Mineral</v>
      </c>
      <c r="AG315" s="206" t="str">
        <f>VLOOKUP(Primary_Order[[#This Row],[Product ID]],SKU[],9,0)</f>
        <v>MCO</v>
      </c>
      <c r="AH315" s="206" t="str">
        <f>VLOOKUP(Primary_Order[[#This Row],[Product ID]],SKU[],12,0)</f>
        <v>10W40</v>
      </c>
      <c r="AI315" s="206" t="str">
        <f>VLOOKUP(Primary_Order[[#This Row],[Product ID]],SKU[],13,0)</f>
        <v>3000</v>
      </c>
      <c r="AJ315" s="233">
        <f>VLOOKUP(Primary_Order[[#This Row],[Product ID]],SKU[[SKU ID]:[Bottle Size(Ltr)]],6,0)*Primary_Order[[#This Row],[Free Quantity]]</f>
        <v>0</v>
      </c>
      <c r="AK315" s="206" t="str">
        <f>VLOOKUP(Primary_Order[[#This Row],[Product ID]],SKU[[SKU ID]:[Bottle Size(Ltr)]],4,0)</f>
        <v>20x1L</v>
      </c>
      <c r="AL315" s="231">
        <f>VLOOKUP(Primary_Order[[#This Row],[Product ID]],SKU[],14,0)*Primary_Order[[#This Row],[Total Qty]]</f>
        <v>386774.25</v>
      </c>
      <c r="AM315" s="231">
        <f>IF(Primary_Order[[#This Row],[Cost]]=0,0,Primary_Order[[#This Row],[Net Total(-15%)]]-Primary_Order[[#This Row],[Cost]])</f>
        <v>80769.228260869568</v>
      </c>
      <c r="AN315" s="206" t="str">
        <f>"O-"&amp;Primary_Order[[#This Row],[Date]]&amp;"-"&amp;Primary_Order[[#This Row],[MMD ID]]</f>
        <v>O-45714-D-0018</v>
      </c>
      <c r="AO315" s="206" t="str" cm="1">
        <f t="array" ref="AO31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6" spans="1:41" x14ac:dyDescent="0.5">
      <c r="A316" s="206" t="s">
        <v>1372</v>
      </c>
      <c r="B316" s="230">
        <v>45714</v>
      </c>
      <c r="C316" s="206" t="s">
        <v>26</v>
      </c>
      <c r="D316" s="206" t="s">
        <v>1243</v>
      </c>
      <c r="E316" s="206" t="s">
        <v>1244</v>
      </c>
      <c r="F316" s="206" t="s">
        <v>1245</v>
      </c>
      <c r="G316" s="206" t="s">
        <v>27</v>
      </c>
      <c r="H316" s="206" t="s">
        <v>28</v>
      </c>
      <c r="I316" s="206" t="s">
        <v>29</v>
      </c>
      <c r="J316" s="206" t="s">
        <v>30</v>
      </c>
      <c r="K316" s="206" t="s">
        <v>43</v>
      </c>
      <c r="L316" s="206" t="str">
        <f>VLOOKUP(Primary_Order[[#This Row],[Product ID]],SKU[],3,0)</f>
        <v>7100 4T 10W30 ESTER CORE®</v>
      </c>
      <c r="M316" s="231">
        <v>120</v>
      </c>
      <c r="N316" s="231">
        <v>1260</v>
      </c>
      <c r="O316" s="231">
        <v>144</v>
      </c>
      <c r="P316" s="232">
        <v>0</v>
      </c>
      <c r="Q316" s="231">
        <v>0</v>
      </c>
      <c r="R316" s="231">
        <v>1260</v>
      </c>
      <c r="S316" s="231">
        <v>120</v>
      </c>
      <c r="T316" s="231">
        <v>144</v>
      </c>
      <c r="U316" s="231">
        <v>151200</v>
      </c>
      <c r="V316" s="231">
        <v>0</v>
      </c>
      <c r="W316" s="231">
        <v>151200</v>
      </c>
      <c r="X316" s="231">
        <v>19721.739130434784</v>
      </c>
      <c r="Y316" s="231">
        <v>131478.26086956522</v>
      </c>
      <c r="Z316" s="206" t="s">
        <v>882</v>
      </c>
      <c r="AA316" s="206">
        <v>653</v>
      </c>
      <c r="AB316" s="206" t="s">
        <v>641</v>
      </c>
      <c r="AC316" s="230"/>
      <c r="AD316" s="206" t="s">
        <v>1250</v>
      </c>
      <c r="AE316" s="206" t="str">
        <f>IFERROR(VLOOKUP(Primary_Order[[#This Row],[AM]],SP!$E$19:$F$23,2,0),Primary_Order[[#This Row],[AM]])</f>
        <v>Eastern</v>
      </c>
      <c r="AF316" s="206" t="str">
        <f>VLOOKUP(Primary_Order[[#This Row],[Product ID]],SKU[],10,0)</f>
        <v>Synthetic</v>
      </c>
      <c r="AG316" s="206" t="str">
        <f>VLOOKUP(Primary_Order[[#This Row],[Product ID]],SKU[],9,0)</f>
        <v>MCO</v>
      </c>
      <c r="AH316" s="206" t="str">
        <f>VLOOKUP(Primary_Order[[#This Row],[Product ID]],SKU[],12,0)</f>
        <v>10W30</v>
      </c>
      <c r="AI316" s="206" t="str">
        <f>VLOOKUP(Primary_Order[[#This Row],[Product ID]],SKU[],13,0)</f>
        <v>7100</v>
      </c>
      <c r="AJ316" s="233">
        <f>VLOOKUP(Primary_Order[[#This Row],[Product ID]],SKU[[SKU ID]:[Bottle Size(Ltr)]],6,0)*Primary_Order[[#This Row],[Free Quantity]]</f>
        <v>0</v>
      </c>
      <c r="AK316" s="206" t="str">
        <f>VLOOKUP(Primary_Order[[#This Row],[Product ID]],SKU[[SKU ID]:[Bottle Size(Ltr)]],4,0)</f>
        <v>20x1.2L</v>
      </c>
      <c r="AL316" s="231">
        <f>VLOOKUP(Primary_Order[[#This Row],[Product ID]],SKU[],14,0)*Primary_Order[[#This Row],[Total Qty]]</f>
        <v>93276</v>
      </c>
      <c r="AM316" s="231">
        <f>IF(Primary_Order[[#This Row],[Cost]]=0,0,Primary_Order[[#This Row],[Net Total(-15%)]]-Primary_Order[[#This Row],[Cost]])</f>
        <v>38202.260869565216</v>
      </c>
      <c r="AN316" s="206" t="str">
        <f>"O-"&amp;Primary_Order[[#This Row],[Date]]&amp;"-"&amp;Primary_Order[[#This Row],[MMD ID]]</f>
        <v>O-45714-D-0018</v>
      </c>
      <c r="AO316" s="206" t="str" cm="1">
        <f t="array" ref="AO31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7" spans="1:41" x14ac:dyDescent="0.5">
      <c r="A317" s="206" t="s">
        <v>1372</v>
      </c>
      <c r="B317" s="230">
        <v>45714</v>
      </c>
      <c r="C317" s="206" t="s">
        <v>26</v>
      </c>
      <c r="D317" s="206" t="s">
        <v>1243</v>
      </c>
      <c r="E317" s="206" t="s">
        <v>1244</v>
      </c>
      <c r="F317" s="206" t="s">
        <v>1245</v>
      </c>
      <c r="G317" s="206" t="s">
        <v>27</v>
      </c>
      <c r="H317" s="206" t="s">
        <v>28</v>
      </c>
      <c r="I317" s="206" t="s">
        <v>29</v>
      </c>
      <c r="J317" s="206" t="s">
        <v>30</v>
      </c>
      <c r="K317" s="206" t="s">
        <v>104</v>
      </c>
      <c r="L317" s="206" t="str">
        <f>VLOOKUP(Primary_Order[[#This Row],[Product ID]],SKU[],3,0)</f>
        <v>Engine Flush</v>
      </c>
      <c r="M317" s="231">
        <v>72</v>
      </c>
      <c r="N317" s="231">
        <v>205</v>
      </c>
      <c r="O317" s="231">
        <v>3.6</v>
      </c>
      <c r="P317" s="232">
        <v>0</v>
      </c>
      <c r="Q317" s="231">
        <v>0</v>
      </c>
      <c r="R317" s="231">
        <v>205</v>
      </c>
      <c r="S317" s="231">
        <v>72</v>
      </c>
      <c r="T317" s="231">
        <v>3.6</v>
      </c>
      <c r="U317" s="231">
        <v>14760</v>
      </c>
      <c r="V317" s="231">
        <v>0</v>
      </c>
      <c r="W317" s="231">
        <v>14760</v>
      </c>
      <c r="X317" s="231">
        <v>1925.2173913043478</v>
      </c>
      <c r="Y317" s="231">
        <v>12834.782608695652</v>
      </c>
      <c r="Z317" s="206" t="s">
        <v>882</v>
      </c>
      <c r="AA317" s="206">
        <v>653</v>
      </c>
      <c r="AB317" s="206" t="s">
        <v>641</v>
      </c>
      <c r="AC317" s="230"/>
      <c r="AD317" s="206" t="s">
        <v>1250</v>
      </c>
      <c r="AE317" s="206" t="str">
        <f>IFERROR(VLOOKUP(Primary_Order[[#This Row],[AM]],SP!$E$19:$F$23,2,0),Primary_Order[[#This Row],[AM]])</f>
        <v>Eastern</v>
      </c>
      <c r="AF317" s="206" t="str">
        <f>VLOOKUP(Primary_Order[[#This Row],[Product ID]],SKU[],10,0)</f>
        <v>Care Products</v>
      </c>
      <c r="AG317" s="206" t="str">
        <f>VLOOKUP(Primary_Order[[#This Row],[Product ID]],SKU[],9,0)</f>
        <v>Care Products</v>
      </c>
      <c r="AH317" s="206" t="str">
        <f>VLOOKUP(Primary_Order[[#This Row],[Product ID]],SKU[],12,0)</f>
        <v>Care Products</v>
      </c>
      <c r="AI317" s="206" t="str">
        <f>VLOOKUP(Primary_Order[[#This Row],[Product ID]],SKU[],13,0)</f>
        <v>Clean</v>
      </c>
      <c r="AJ317" s="233">
        <f>VLOOKUP(Primary_Order[[#This Row],[Product ID]],SKU[[SKU ID]:[Bottle Size(Ltr)]],6,0)*Primary_Order[[#This Row],[Free Quantity]]</f>
        <v>0</v>
      </c>
      <c r="AK317" s="206" t="str">
        <f>VLOOKUP(Primary_Order[[#This Row],[Product ID]],SKU[[SKU ID]:[Bottle Size(Ltr)]],4,0)</f>
        <v>24x0.05L</v>
      </c>
      <c r="AL317" s="231">
        <f>VLOOKUP(Primary_Order[[#This Row],[Product ID]],SKU[],14,0)*Primary_Order[[#This Row],[Total Qty]]</f>
        <v>9367.9200000000019</v>
      </c>
      <c r="AM317" s="231">
        <f>IF(Primary_Order[[#This Row],[Cost]]=0,0,Primary_Order[[#This Row],[Net Total(-15%)]]-Primary_Order[[#This Row],[Cost]])</f>
        <v>3466.8626086956501</v>
      </c>
      <c r="AN317" s="206" t="str">
        <f>"O-"&amp;Primary_Order[[#This Row],[Date]]&amp;"-"&amp;Primary_Order[[#This Row],[MMD ID]]</f>
        <v>O-45714-D-0018</v>
      </c>
      <c r="AO317" s="206" t="str" cm="1">
        <f t="array" ref="AO31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8" spans="1:41" x14ac:dyDescent="0.5">
      <c r="A318" s="206" t="s">
        <v>1270</v>
      </c>
      <c r="B318" s="230">
        <v>45715</v>
      </c>
      <c r="C318" s="206" t="s">
        <v>100</v>
      </c>
      <c r="D318" s="206" t="s">
        <v>1253</v>
      </c>
      <c r="E318" s="206" t="s">
        <v>1254</v>
      </c>
      <c r="F318" s="206" t="s">
        <v>1255</v>
      </c>
      <c r="G318" s="206" t="s">
        <v>45</v>
      </c>
      <c r="H318" s="206" t="s">
        <v>28</v>
      </c>
      <c r="I318" s="206" t="s">
        <v>101</v>
      </c>
      <c r="J318" s="206" t="s">
        <v>536</v>
      </c>
      <c r="K318" s="206" t="s">
        <v>31</v>
      </c>
      <c r="L318" s="206" t="str">
        <f>VLOOKUP(Primary_Order[[#This Row],[Product ID]],SKU[],3,0)</f>
        <v>3000 4T PLUS 10W30</v>
      </c>
      <c r="M318" s="231">
        <v>80</v>
      </c>
      <c r="N318" s="231">
        <v>540</v>
      </c>
      <c r="O318" s="231">
        <v>80</v>
      </c>
      <c r="P318" s="232">
        <v>0</v>
      </c>
      <c r="Q318" s="231">
        <v>0</v>
      </c>
      <c r="R318" s="231">
        <v>540</v>
      </c>
      <c r="S318" s="231">
        <v>80</v>
      </c>
      <c r="T318" s="231">
        <v>80</v>
      </c>
      <c r="U318" s="231">
        <v>43200</v>
      </c>
      <c r="V318" s="231">
        <v>0</v>
      </c>
      <c r="W318" s="231">
        <v>43200</v>
      </c>
      <c r="X318" s="231">
        <v>5634.782608695652</v>
      </c>
      <c r="Y318" s="231">
        <v>37565.217391304344</v>
      </c>
      <c r="Z318" s="206" t="s">
        <v>882</v>
      </c>
      <c r="AA318" s="206">
        <v>654</v>
      </c>
      <c r="AB318" s="206" t="s">
        <v>749</v>
      </c>
      <c r="AC318" s="230">
        <v>45721</v>
      </c>
      <c r="AD318" s="206" t="s">
        <v>50</v>
      </c>
      <c r="AE318" s="206" t="str">
        <f>IFERROR(VLOOKUP(Primary_Order[[#This Row],[AM]],SP!$E$19:$F$23,2,0),Primary_Order[[#This Row],[AM]])</f>
        <v>Eastern</v>
      </c>
      <c r="AF318" s="206" t="str">
        <f>VLOOKUP(Primary_Order[[#This Row],[Product ID]],SKU[],10,0)</f>
        <v>Mineral</v>
      </c>
      <c r="AG318" s="206" t="str">
        <f>VLOOKUP(Primary_Order[[#This Row],[Product ID]],SKU[],9,0)</f>
        <v>MCO</v>
      </c>
      <c r="AH318" s="206" t="str">
        <f>VLOOKUP(Primary_Order[[#This Row],[Product ID]],SKU[],12,0)</f>
        <v>10W30</v>
      </c>
      <c r="AI318" s="206" t="str">
        <f>VLOOKUP(Primary_Order[[#This Row],[Product ID]],SKU[],13,0)</f>
        <v>3000</v>
      </c>
      <c r="AJ318" s="233">
        <f>VLOOKUP(Primary_Order[[#This Row],[Product ID]],SKU[[SKU ID]:[Bottle Size(Ltr)]],6,0)*Primary_Order[[#This Row],[Free Quantity]]</f>
        <v>0</v>
      </c>
      <c r="AK318" s="206" t="str">
        <f>VLOOKUP(Primary_Order[[#This Row],[Product ID]],SKU[[SKU ID]:[Bottle Size(Ltr)]],4,0)</f>
        <v>20x1L</v>
      </c>
      <c r="AL318" s="231">
        <f>VLOOKUP(Primary_Order[[#This Row],[Product ID]],SKU[],14,0)*Primary_Order[[#This Row],[Total Qty]]</f>
        <v>30346.399999999998</v>
      </c>
      <c r="AM318" s="231">
        <f>IF(Primary_Order[[#This Row],[Cost]]=0,0,Primary_Order[[#This Row],[Net Total(-15%)]]-Primary_Order[[#This Row],[Cost]])</f>
        <v>7218.8173913043465</v>
      </c>
      <c r="AN318" s="206" t="str">
        <f>"O-"&amp;Primary_Order[[#This Row],[Date]]&amp;"-"&amp;Primary_Order[[#This Row],[MMD ID]]</f>
        <v>O-45715-D-0014</v>
      </c>
      <c r="AO318" s="206" t="str" cm="1">
        <f t="array" ref="AO31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19" spans="1:41" x14ac:dyDescent="0.5">
      <c r="A319" s="206" t="s">
        <v>1270</v>
      </c>
      <c r="B319" s="230">
        <v>45715</v>
      </c>
      <c r="C319" s="206" t="s">
        <v>100</v>
      </c>
      <c r="D319" s="206" t="s">
        <v>1253</v>
      </c>
      <c r="E319" s="206" t="s">
        <v>1254</v>
      </c>
      <c r="F319" s="206" t="s">
        <v>1255</v>
      </c>
      <c r="G319" s="206" t="s">
        <v>45</v>
      </c>
      <c r="H319" s="206" t="s">
        <v>28</v>
      </c>
      <c r="I319" s="206" t="s">
        <v>101</v>
      </c>
      <c r="J319" s="206" t="s">
        <v>536</v>
      </c>
      <c r="K319" s="206" t="s">
        <v>54</v>
      </c>
      <c r="L319" s="206" t="str">
        <f>VLOOKUP(Primary_Order[[#This Row],[Product ID]],SKU[],3,0)</f>
        <v>3000 4T PLUS 10W40</v>
      </c>
      <c r="M319" s="231">
        <v>80</v>
      </c>
      <c r="N319" s="231">
        <v>540</v>
      </c>
      <c r="O319" s="231">
        <v>80</v>
      </c>
      <c r="P319" s="232">
        <v>0</v>
      </c>
      <c r="Q319" s="231">
        <v>0</v>
      </c>
      <c r="R319" s="231">
        <v>540</v>
      </c>
      <c r="S319" s="231">
        <v>80</v>
      </c>
      <c r="T319" s="231">
        <v>80</v>
      </c>
      <c r="U319" s="231">
        <v>43200</v>
      </c>
      <c r="V319" s="231">
        <v>0</v>
      </c>
      <c r="W319" s="231">
        <v>43200</v>
      </c>
      <c r="X319" s="231">
        <v>5634.782608695652</v>
      </c>
      <c r="Y319" s="231">
        <v>37565.217391304344</v>
      </c>
      <c r="Z319" s="206" t="s">
        <v>882</v>
      </c>
      <c r="AA319" s="206">
        <v>654</v>
      </c>
      <c r="AB319" s="206" t="s">
        <v>749</v>
      </c>
      <c r="AC319" s="230">
        <v>45721</v>
      </c>
      <c r="AD319" s="206" t="s">
        <v>50</v>
      </c>
      <c r="AE319" s="206" t="str">
        <f>IFERROR(VLOOKUP(Primary_Order[[#This Row],[AM]],SP!$E$19:$F$23,2,0),Primary_Order[[#This Row],[AM]])</f>
        <v>Eastern</v>
      </c>
      <c r="AF319" s="206" t="str">
        <f>VLOOKUP(Primary_Order[[#This Row],[Product ID]],SKU[],10,0)</f>
        <v>Mineral</v>
      </c>
      <c r="AG319" s="206" t="str">
        <f>VLOOKUP(Primary_Order[[#This Row],[Product ID]],SKU[],9,0)</f>
        <v>MCO</v>
      </c>
      <c r="AH319" s="206" t="str">
        <f>VLOOKUP(Primary_Order[[#This Row],[Product ID]],SKU[],12,0)</f>
        <v>10W40</v>
      </c>
      <c r="AI319" s="206" t="str">
        <f>VLOOKUP(Primary_Order[[#This Row],[Product ID]],SKU[],13,0)</f>
        <v>3000</v>
      </c>
      <c r="AJ319" s="233">
        <f>VLOOKUP(Primary_Order[[#This Row],[Product ID]],SKU[[SKU ID]:[Bottle Size(Ltr)]],6,0)*Primary_Order[[#This Row],[Free Quantity]]</f>
        <v>0</v>
      </c>
      <c r="AK319" s="206" t="str">
        <f>VLOOKUP(Primary_Order[[#This Row],[Product ID]],SKU[[SKU ID]:[Bottle Size(Ltr)]],4,0)</f>
        <v>20x1L</v>
      </c>
      <c r="AL319" s="231">
        <f>VLOOKUP(Primary_Order[[#This Row],[Product ID]],SKU[],14,0)*Primary_Order[[#This Row],[Total Qty]]</f>
        <v>30788</v>
      </c>
      <c r="AM319" s="231">
        <f>IF(Primary_Order[[#This Row],[Cost]]=0,0,Primary_Order[[#This Row],[Net Total(-15%)]]-Primary_Order[[#This Row],[Cost]])</f>
        <v>6777.2173913043443</v>
      </c>
      <c r="AN319" s="206" t="str">
        <f>"O-"&amp;Primary_Order[[#This Row],[Date]]&amp;"-"&amp;Primary_Order[[#This Row],[MMD ID]]</f>
        <v>O-45715-D-0014</v>
      </c>
      <c r="AO319" s="206" t="str" cm="1">
        <f t="array" ref="AO31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0" spans="1:41" x14ac:dyDescent="0.5">
      <c r="A320" s="206" t="s">
        <v>1271</v>
      </c>
      <c r="B320" s="230">
        <v>45715</v>
      </c>
      <c r="C320" s="206" t="s">
        <v>100</v>
      </c>
      <c r="D320" s="206" t="s">
        <v>1177</v>
      </c>
      <c r="E320" s="206" t="s">
        <v>1252</v>
      </c>
      <c r="F320" s="206" t="s">
        <v>1179</v>
      </c>
      <c r="G320" s="206" t="s">
        <v>45</v>
      </c>
      <c r="H320" s="206" t="s">
        <v>28</v>
      </c>
      <c r="I320" s="206" t="s">
        <v>101</v>
      </c>
      <c r="J320" s="206" t="s">
        <v>536</v>
      </c>
      <c r="K320" s="206" t="s">
        <v>53</v>
      </c>
      <c r="L320" s="206" t="str">
        <f>VLOOKUP(Primary_Order[[#This Row],[Product ID]],SKU[],3,0)</f>
        <v>3000 4T PLUS 20W40</v>
      </c>
      <c r="M320" s="231">
        <v>20</v>
      </c>
      <c r="N320" s="231">
        <v>535</v>
      </c>
      <c r="O320" s="231">
        <v>20</v>
      </c>
      <c r="P320" s="232">
        <v>0</v>
      </c>
      <c r="Q320" s="231">
        <v>0</v>
      </c>
      <c r="R320" s="231">
        <v>535</v>
      </c>
      <c r="S320" s="231">
        <v>20</v>
      </c>
      <c r="T320" s="231">
        <v>20</v>
      </c>
      <c r="U320" s="231">
        <v>10700</v>
      </c>
      <c r="V320" s="231">
        <v>0</v>
      </c>
      <c r="W320" s="231">
        <v>10700</v>
      </c>
      <c r="X320" s="231">
        <v>1395.6521739130435</v>
      </c>
      <c r="Y320" s="231">
        <v>9304.347826086956</v>
      </c>
      <c r="Z320" s="206" t="s">
        <v>882</v>
      </c>
      <c r="AA320" s="206">
        <v>655</v>
      </c>
      <c r="AB320" s="206" t="s">
        <v>749</v>
      </c>
      <c r="AC320" s="230">
        <v>45721</v>
      </c>
      <c r="AD320" s="206" t="s">
        <v>50</v>
      </c>
      <c r="AE320" s="206" t="str">
        <f>IFERROR(VLOOKUP(Primary_Order[[#This Row],[AM]],SP!$E$19:$F$23,2,0),Primary_Order[[#This Row],[AM]])</f>
        <v>Eastern</v>
      </c>
      <c r="AF320" s="206" t="str">
        <f>VLOOKUP(Primary_Order[[#This Row],[Product ID]],SKU[],10,0)</f>
        <v>Mineral</v>
      </c>
      <c r="AG320" s="206" t="str">
        <f>VLOOKUP(Primary_Order[[#This Row],[Product ID]],SKU[],9,0)</f>
        <v>MCO</v>
      </c>
      <c r="AH320" s="206" t="str">
        <f>VLOOKUP(Primary_Order[[#This Row],[Product ID]],SKU[],12,0)</f>
        <v>20W40</v>
      </c>
      <c r="AI320" s="206" t="str">
        <f>VLOOKUP(Primary_Order[[#This Row],[Product ID]],SKU[],13,0)</f>
        <v>3000</v>
      </c>
      <c r="AJ320" s="233">
        <f>VLOOKUP(Primary_Order[[#This Row],[Product ID]],SKU[[SKU ID]:[Bottle Size(Ltr)]],6,0)*Primary_Order[[#This Row],[Free Quantity]]</f>
        <v>0</v>
      </c>
      <c r="AK320" s="206" t="str">
        <f>VLOOKUP(Primary_Order[[#This Row],[Product ID]],SKU[[SKU ID]:[Bottle Size(Ltr)]],4,0)</f>
        <v>20x1L</v>
      </c>
      <c r="AL320" s="231">
        <f>VLOOKUP(Primary_Order[[#This Row],[Product ID]],SKU[],14,0)*Primary_Order[[#This Row],[Total Qty]]</f>
        <v>8255.2000000000007</v>
      </c>
      <c r="AM320" s="231">
        <f>IF(Primary_Order[[#This Row],[Cost]]=0,0,Primary_Order[[#This Row],[Net Total(-15%)]]-Primary_Order[[#This Row],[Cost]])</f>
        <v>1049.1478260869553</v>
      </c>
      <c r="AN320" s="206" t="str">
        <f>"O-"&amp;Primary_Order[[#This Row],[Date]]&amp;"-"&amp;Primary_Order[[#This Row],[MMD ID]]</f>
        <v>O-45715-D-0014</v>
      </c>
      <c r="AO320" s="206" t="str" cm="1">
        <f t="array" ref="AO32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1" spans="1:41" x14ac:dyDescent="0.5">
      <c r="A321" s="206" t="s">
        <v>1271</v>
      </c>
      <c r="B321" s="230">
        <v>45715</v>
      </c>
      <c r="C321" s="206" t="s">
        <v>100</v>
      </c>
      <c r="D321" s="206" t="s">
        <v>1177</v>
      </c>
      <c r="E321" s="206" t="s">
        <v>1252</v>
      </c>
      <c r="F321" s="206" t="s">
        <v>1179</v>
      </c>
      <c r="G321" s="206" t="s">
        <v>45</v>
      </c>
      <c r="H321" s="206" t="s">
        <v>28</v>
      </c>
      <c r="I321" s="206" t="s">
        <v>101</v>
      </c>
      <c r="J321" s="206" t="s">
        <v>536</v>
      </c>
      <c r="K321" s="206" t="s">
        <v>54</v>
      </c>
      <c r="L321" s="206" t="str">
        <f>VLOOKUP(Primary_Order[[#This Row],[Product ID]],SKU[],3,0)</f>
        <v>3000 4T PLUS 10W40</v>
      </c>
      <c r="M321" s="231">
        <v>180</v>
      </c>
      <c r="N321" s="231">
        <v>540</v>
      </c>
      <c r="O321" s="231">
        <v>180</v>
      </c>
      <c r="P321" s="232">
        <v>0</v>
      </c>
      <c r="Q321" s="231">
        <v>0</v>
      </c>
      <c r="R321" s="231">
        <v>540</v>
      </c>
      <c r="S321" s="231">
        <v>180</v>
      </c>
      <c r="T321" s="231">
        <v>180</v>
      </c>
      <c r="U321" s="231">
        <v>97200</v>
      </c>
      <c r="V321" s="231">
        <v>0</v>
      </c>
      <c r="W321" s="231">
        <v>97200</v>
      </c>
      <c r="X321" s="231">
        <v>12678.260869565218</v>
      </c>
      <c r="Y321" s="231">
        <v>84521.739130434784</v>
      </c>
      <c r="Z321" s="206" t="s">
        <v>882</v>
      </c>
      <c r="AA321" s="206">
        <v>655</v>
      </c>
      <c r="AB321" s="206" t="s">
        <v>749</v>
      </c>
      <c r="AC321" s="230">
        <v>45721</v>
      </c>
      <c r="AD321" s="206" t="s">
        <v>50</v>
      </c>
      <c r="AE321" s="206" t="str">
        <f>IFERROR(VLOOKUP(Primary_Order[[#This Row],[AM]],SP!$E$19:$F$23,2,0),Primary_Order[[#This Row],[AM]])</f>
        <v>Eastern</v>
      </c>
      <c r="AF321" s="206" t="str">
        <f>VLOOKUP(Primary_Order[[#This Row],[Product ID]],SKU[],10,0)</f>
        <v>Mineral</v>
      </c>
      <c r="AG321" s="206" t="str">
        <f>VLOOKUP(Primary_Order[[#This Row],[Product ID]],SKU[],9,0)</f>
        <v>MCO</v>
      </c>
      <c r="AH321" s="206" t="str">
        <f>VLOOKUP(Primary_Order[[#This Row],[Product ID]],SKU[],12,0)</f>
        <v>10W40</v>
      </c>
      <c r="AI321" s="206" t="str">
        <f>VLOOKUP(Primary_Order[[#This Row],[Product ID]],SKU[],13,0)</f>
        <v>3000</v>
      </c>
      <c r="AJ321" s="233">
        <f>VLOOKUP(Primary_Order[[#This Row],[Product ID]],SKU[[SKU ID]:[Bottle Size(Ltr)]],6,0)*Primary_Order[[#This Row],[Free Quantity]]</f>
        <v>0</v>
      </c>
      <c r="AK321" s="206" t="str">
        <f>VLOOKUP(Primary_Order[[#This Row],[Product ID]],SKU[[SKU ID]:[Bottle Size(Ltr)]],4,0)</f>
        <v>20x1L</v>
      </c>
      <c r="AL321" s="231">
        <f>VLOOKUP(Primary_Order[[#This Row],[Product ID]],SKU[],14,0)*Primary_Order[[#This Row],[Total Qty]]</f>
        <v>69273</v>
      </c>
      <c r="AM321" s="231">
        <f>IF(Primary_Order[[#This Row],[Cost]]=0,0,Primary_Order[[#This Row],[Net Total(-15%)]]-Primary_Order[[#This Row],[Cost]])</f>
        <v>15248.739130434784</v>
      </c>
      <c r="AN321" s="206" t="str">
        <f>"O-"&amp;Primary_Order[[#This Row],[Date]]&amp;"-"&amp;Primary_Order[[#This Row],[MMD ID]]</f>
        <v>O-45715-D-0014</v>
      </c>
      <c r="AO321" s="206" t="str" cm="1">
        <f t="array" ref="AO32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2" spans="1:41" x14ac:dyDescent="0.5">
      <c r="A322" s="206" t="s">
        <v>1272</v>
      </c>
      <c r="B322" s="230">
        <v>45714</v>
      </c>
      <c r="C322" s="206" t="s">
        <v>640</v>
      </c>
      <c r="D322" s="206" t="s">
        <v>1246</v>
      </c>
      <c r="E322" s="206" t="s">
        <v>1247</v>
      </c>
      <c r="F322" s="206" t="s">
        <v>1248</v>
      </c>
      <c r="G322" s="206" t="s">
        <v>79</v>
      </c>
      <c r="H322" s="206" t="s">
        <v>40</v>
      </c>
      <c r="I322" s="206" t="s">
        <v>172</v>
      </c>
      <c r="J322" s="206" t="s">
        <v>93</v>
      </c>
      <c r="K322" s="206" t="s">
        <v>31</v>
      </c>
      <c r="L322" s="206" t="str">
        <f>VLOOKUP(Primary_Order[[#This Row],[Product ID]],SKU[],3,0)</f>
        <v>3000 4T PLUS 10W30</v>
      </c>
      <c r="M322" s="231">
        <v>200</v>
      </c>
      <c r="N322" s="231">
        <v>535</v>
      </c>
      <c r="O322" s="231">
        <v>200</v>
      </c>
      <c r="P322" s="232">
        <v>0</v>
      </c>
      <c r="Q322" s="231">
        <v>0</v>
      </c>
      <c r="R322" s="231">
        <v>535</v>
      </c>
      <c r="S322" s="231">
        <v>200</v>
      </c>
      <c r="T322" s="231">
        <v>200</v>
      </c>
      <c r="U322" s="231">
        <v>107000</v>
      </c>
      <c r="V322" s="231">
        <v>0</v>
      </c>
      <c r="W322" s="231">
        <v>107000</v>
      </c>
      <c r="X322" s="231">
        <v>13956.521739130434</v>
      </c>
      <c r="Y322" s="231">
        <v>93043.478260869568</v>
      </c>
      <c r="Z322" s="206" t="s">
        <v>882</v>
      </c>
      <c r="AA322" s="206">
        <v>656</v>
      </c>
      <c r="AB322" s="206" t="s">
        <v>1170</v>
      </c>
      <c r="AC322" s="230">
        <v>45721</v>
      </c>
      <c r="AD322" s="206" t="s">
        <v>1249</v>
      </c>
      <c r="AE322" s="206" t="str">
        <f>IFERROR(VLOOKUP(Primary_Order[[#This Row],[AM]],SP!$E$19:$F$23,2,0),Primary_Order[[#This Row],[AM]])</f>
        <v>Central</v>
      </c>
      <c r="AF322" s="206" t="str">
        <f>VLOOKUP(Primary_Order[[#This Row],[Product ID]],SKU[],10,0)</f>
        <v>Mineral</v>
      </c>
      <c r="AG322" s="206" t="str">
        <f>VLOOKUP(Primary_Order[[#This Row],[Product ID]],SKU[],9,0)</f>
        <v>MCO</v>
      </c>
      <c r="AH322" s="206" t="str">
        <f>VLOOKUP(Primary_Order[[#This Row],[Product ID]],SKU[],12,0)</f>
        <v>10W30</v>
      </c>
      <c r="AI322" s="206" t="str">
        <f>VLOOKUP(Primary_Order[[#This Row],[Product ID]],SKU[],13,0)</f>
        <v>3000</v>
      </c>
      <c r="AJ322" s="233">
        <f>VLOOKUP(Primary_Order[[#This Row],[Product ID]],SKU[[SKU ID]:[Bottle Size(Ltr)]],6,0)*Primary_Order[[#This Row],[Free Quantity]]</f>
        <v>0</v>
      </c>
      <c r="AK322" s="206" t="str">
        <f>VLOOKUP(Primary_Order[[#This Row],[Product ID]],SKU[[SKU ID]:[Bottle Size(Ltr)]],4,0)</f>
        <v>20x1L</v>
      </c>
      <c r="AL322" s="231">
        <f>VLOOKUP(Primary_Order[[#This Row],[Product ID]],SKU[],14,0)*Primary_Order[[#This Row],[Total Qty]]</f>
        <v>75866</v>
      </c>
      <c r="AM322" s="231">
        <f>IF(Primary_Order[[#This Row],[Cost]]=0,0,Primary_Order[[#This Row],[Net Total(-15%)]]-Primary_Order[[#This Row],[Cost]])</f>
        <v>17177.478260869568</v>
      </c>
      <c r="AN322" s="206" t="str">
        <f>"O-"&amp;Primary_Order[[#This Row],[Date]]&amp;"-"&amp;Primary_Order[[#This Row],[MMD ID]]</f>
        <v>O-45714-D-0035</v>
      </c>
      <c r="AO322" s="206" t="str" cm="1">
        <f t="array" ref="AO32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3" spans="1:41" x14ac:dyDescent="0.5">
      <c r="A323" s="206" t="s">
        <v>1272</v>
      </c>
      <c r="B323" s="230">
        <v>45714</v>
      </c>
      <c r="C323" s="206" t="s">
        <v>640</v>
      </c>
      <c r="D323" s="206" t="s">
        <v>1246</v>
      </c>
      <c r="E323" s="206" t="s">
        <v>1247</v>
      </c>
      <c r="F323" s="206" t="s">
        <v>1248</v>
      </c>
      <c r="G323" s="206" t="s">
        <v>79</v>
      </c>
      <c r="H323" s="206" t="s">
        <v>40</v>
      </c>
      <c r="I323" s="206" t="s">
        <v>172</v>
      </c>
      <c r="J323" s="206" t="s">
        <v>93</v>
      </c>
      <c r="K323" s="206" t="s">
        <v>53</v>
      </c>
      <c r="L323" s="206" t="str">
        <f>VLOOKUP(Primary_Order[[#This Row],[Product ID]],SKU[],3,0)</f>
        <v>3000 4T PLUS 20W40</v>
      </c>
      <c r="M323" s="231">
        <v>400</v>
      </c>
      <c r="N323" s="231">
        <v>535</v>
      </c>
      <c r="O323" s="231">
        <v>400</v>
      </c>
      <c r="P323" s="232">
        <v>0</v>
      </c>
      <c r="Q323" s="231">
        <v>0</v>
      </c>
      <c r="R323" s="231">
        <v>535</v>
      </c>
      <c r="S323" s="231">
        <v>400</v>
      </c>
      <c r="T323" s="231">
        <v>400</v>
      </c>
      <c r="U323" s="231">
        <v>214000</v>
      </c>
      <c r="V323" s="231">
        <v>0</v>
      </c>
      <c r="W323" s="231">
        <v>214000</v>
      </c>
      <c r="X323" s="231">
        <v>27913.043478260868</v>
      </c>
      <c r="Y323" s="231">
        <v>186086.95652173914</v>
      </c>
      <c r="Z323" s="206" t="s">
        <v>882</v>
      </c>
      <c r="AA323" s="206">
        <v>656</v>
      </c>
      <c r="AB323" s="206" t="s">
        <v>1170</v>
      </c>
      <c r="AC323" s="230">
        <v>45721</v>
      </c>
      <c r="AD323" s="206" t="s">
        <v>1249</v>
      </c>
      <c r="AE323" s="206" t="str">
        <f>IFERROR(VLOOKUP(Primary_Order[[#This Row],[AM]],SP!$E$19:$F$23,2,0),Primary_Order[[#This Row],[AM]])</f>
        <v>Central</v>
      </c>
      <c r="AF323" s="206" t="str">
        <f>VLOOKUP(Primary_Order[[#This Row],[Product ID]],SKU[],10,0)</f>
        <v>Mineral</v>
      </c>
      <c r="AG323" s="206" t="str">
        <f>VLOOKUP(Primary_Order[[#This Row],[Product ID]],SKU[],9,0)</f>
        <v>MCO</v>
      </c>
      <c r="AH323" s="206" t="str">
        <f>VLOOKUP(Primary_Order[[#This Row],[Product ID]],SKU[],12,0)</f>
        <v>20W40</v>
      </c>
      <c r="AI323" s="206" t="str">
        <f>VLOOKUP(Primary_Order[[#This Row],[Product ID]],SKU[],13,0)</f>
        <v>3000</v>
      </c>
      <c r="AJ323" s="233">
        <f>VLOOKUP(Primary_Order[[#This Row],[Product ID]],SKU[[SKU ID]:[Bottle Size(Ltr)]],6,0)*Primary_Order[[#This Row],[Free Quantity]]</f>
        <v>0</v>
      </c>
      <c r="AK323" s="206" t="str">
        <f>VLOOKUP(Primary_Order[[#This Row],[Product ID]],SKU[[SKU ID]:[Bottle Size(Ltr)]],4,0)</f>
        <v>20x1L</v>
      </c>
      <c r="AL323" s="231">
        <f>VLOOKUP(Primary_Order[[#This Row],[Product ID]],SKU[],14,0)*Primary_Order[[#This Row],[Total Qty]]</f>
        <v>165104</v>
      </c>
      <c r="AM323" s="231">
        <f>IF(Primary_Order[[#This Row],[Cost]]=0,0,Primary_Order[[#This Row],[Net Total(-15%)]]-Primary_Order[[#This Row],[Cost]])</f>
        <v>20982.956521739135</v>
      </c>
      <c r="AN323" s="206" t="str">
        <f>"O-"&amp;Primary_Order[[#This Row],[Date]]&amp;"-"&amp;Primary_Order[[#This Row],[MMD ID]]</f>
        <v>O-45714-D-0035</v>
      </c>
      <c r="AO323" s="206" t="str" cm="1">
        <f t="array" ref="AO32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4" spans="1:41" x14ac:dyDescent="0.5">
      <c r="A324" s="206" t="s">
        <v>1272</v>
      </c>
      <c r="B324" s="230">
        <v>45714</v>
      </c>
      <c r="C324" s="206" t="s">
        <v>640</v>
      </c>
      <c r="D324" s="206" t="s">
        <v>1246</v>
      </c>
      <c r="E324" s="206" t="s">
        <v>1247</v>
      </c>
      <c r="F324" s="206" t="s">
        <v>1248</v>
      </c>
      <c r="G324" s="206" t="s">
        <v>79</v>
      </c>
      <c r="H324" s="206" t="s">
        <v>40</v>
      </c>
      <c r="I324" s="206" t="s">
        <v>172</v>
      </c>
      <c r="J324" s="206" t="s">
        <v>93</v>
      </c>
      <c r="K324" s="206" t="s">
        <v>54</v>
      </c>
      <c r="L324" s="206" t="str">
        <f>VLOOKUP(Primary_Order[[#This Row],[Product ID]],SKU[],3,0)</f>
        <v>3000 4T PLUS 10W40</v>
      </c>
      <c r="M324" s="231">
        <v>1000</v>
      </c>
      <c r="N324" s="231">
        <v>540</v>
      </c>
      <c r="O324" s="231">
        <v>1000</v>
      </c>
      <c r="P324" s="232">
        <v>0</v>
      </c>
      <c r="Q324" s="231">
        <v>0</v>
      </c>
      <c r="R324" s="231">
        <v>540</v>
      </c>
      <c r="S324" s="231">
        <v>1000</v>
      </c>
      <c r="T324" s="231">
        <v>1000</v>
      </c>
      <c r="U324" s="231">
        <v>540000</v>
      </c>
      <c r="V324" s="231">
        <v>0</v>
      </c>
      <c r="W324" s="231">
        <v>540000</v>
      </c>
      <c r="X324" s="231">
        <v>70434.782608695648</v>
      </c>
      <c r="Y324" s="231">
        <v>469565.21739130432</v>
      </c>
      <c r="Z324" s="206" t="s">
        <v>882</v>
      </c>
      <c r="AA324" s="206">
        <v>656</v>
      </c>
      <c r="AB324" s="206" t="s">
        <v>1170</v>
      </c>
      <c r="AC324" s="230">
        <v>45721</v>
      </c>
      <c r="AD324" s="206" t="s">
        <v>1249</v>
      </c>
      <c r="AE324" s="206" t="str">
        <f>IFERROR(VLOOKUP(Primary_Order[[#This Row],[AM]],SP!$E$19:$F$23,2,0),Primary_Order[[#This Row],[AM]])</f>
        <v>Central</v>
      </c>
      <c r="AF324" s="206" t="str">
        <f>VLOOKUP(Primary_Order[[#This Row],[Product ID]],SKU[],10,0)</f>
        <v>Mineral</v>
      </c>
      <c r="AG324" s="206" t="str">
        <f>VLOOKUP(Primary_Order[[#This Row],[Product ID]],SKU[],9,0)</f>
        <v>MCO</v>
      </c>
      <c r="AH324" s="206" t="str">
        <f>VLOOKUP(Primary_Order[[#This Row],[Product ID]],SKU[],12,0)</f>
        <v>10W40</v>
      </c>
      <c r="AI324" s="206" t="str">
        <f>VLOOKUP(Primary_Order[[#This Row],[Product ID]],SKU[],13,0)</f>
        <v>3000</v>
      </c>
      <c r="AJ324" s="233">
        <f>VLOOKUP(Primary_Order[[#This Row],[Product ID]],SKU[[SKU ID]:[Bottle Size(Ltr)]],6,0)*Primary_Order[[#This Row],[Free Quantity]]</f>
        <v>0</v>
      </c>
      <c r="AK324" s="206" t="str">
        <f>VLOOKUP(Primary_Order[[#This Row],[Product ID]],SKU[[SKU ID]:[Bottle Size(Ltr)]],4,0)</f>
        <v>20x1L</v>
      </c>
      <c r="AL324" s="231">
        <f>VLOOKUP(Primary_Order[[#This Row],[Product ID]],SKU[],14,0)*Primary_Order[[#This Row],[Total Qty]]</f>
        <v>384850</v>
      </c>
      <c r="AM324" s="231">
        <f>IF(Primary_Order[[#This Row],[Cost]]=0,0,Primary_Order[[#This Row],[Net Total(-15%)]]-Primary_Order[[#This Row],[Cost]])</f>
        <v>84715.217391304323</v>
      </c>
      <c r="AN324" s="206" t="str">
        <f>"O-"&amp;Primary_Order[[#This Row],[Date]]&amp;"-"&amp;Primary_Order[[#This Row],[MMD ID]]</f>
        <v>O-45714-D-0035</v>
      </c>
      <c r="AO324" s="206" t="str" cm="1">
        <f t="array" ref="AO32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5" spans="1:41" x14ac:dyDescent="0.5">
      <c r="A325" s="206" t="s">
        <v>1272</v>
      </c>
      <c r="B325" s="230">
        <v>45714</v>
      </c>
      <c r="C325" s="206" t="s">
        <v>640</v>
      </c>
      <c r="D325" s="206" t="s">
        <v>1246</v>
      </c>
      <c r="E325" s="206" t="s">
        <v>1247</v>
      </c>
      <c r="F325" s="206" t="s">
        <v>1248</v>
      </c>
      <c r="G325" s="206" t="s">
        <v>79</v>
      </c>
      <c r="H325" s="206" t="s">
        <v>40</v>
      </c>
      <c r="I325" s="206" t="s">
        <v>172</v>
      </c>
      <c r="J325" s="206" t="s">
        <v>93</v>
      </c>
      <c r="K325" s="206" t="s">
        <v>33</v>
      </c>
      <c r="L325" s="206" t="str">
        <f>VLOOKUP(Primary_Order[[#This Row],[Product ID]],SKU[],3,0)</f>
        <v>3000 4T PLUS 20W40</v>
      </c>
      <c r="M325" s="231">
        <v>200</v>
      </c>
      <c r="N325" s="231">
        <v>640</v>
      </c>
      <c r="O325" s="231">
        <v>240</v>
      </c>
      <c r="P325" s="232">
        <v>0</v>
      </c>
      <c r="Q325" s="231">
        <v>0</v>
      </c>
      <c r="R325" s="231">
        <v>640</v>
      </c>
      <c r="S325" s="231">
        <v>200</v>
      </c>
      <c r="T325" s="231">
        <v>240</v>
      </c>
      <c r="U325" s="231">
        <v>128000</v>
      </c>
      <c r="V325" s="231">
        <v>0</v>
      </c>
      <c r="W325" s="231">
        <v>128000</v>
      </c>
      <c r="X325" s="231">
        <v>16695.652173913044</v>
      </c>
      <c r="Y325" s="231">
        <v>111304.34782608696</v>
      </c>
      <c r="Z325" s="206" t="s">
        <v>882</v>
      </c>
      <c r="AA325" s="206">
        <v>656</v>
      </c>
      <c r="AB325" s="206" t="s">
        <v>1170</v>
      </c>
      <c r="AC325" s="230">
        <v>45721</v>
      </c>
      <c r="AD325" s="206" t="s">
        <v>1249</v>
      </c>
      <c r="AE325" s="206" t="str">
        <f>IFERROR(VLOOKUP(Primary_Order[[#This Row],[AM]],SP!$E$19:$F$23,2,0),Primary_Order[[#This Row],[AM]])</f>
        <v>Central</v>
      </c>
      <c r="AF325" s="206" t="str">
        <f>VLOOKUP(Primary_Order[[#This Row],[Product ID]],SKU[],10,0)</f>
        <v>Mineral</v>
      </c>
      <c r="AG325" s="206" t="str">
        <f>VLOOKUP(Primary_Order[[#This Row],[Product ID]],SKU[],9,0)</f>
        <v>MCO</v>
      </c>
      <c r="AH325" s="206" t="str">
        <f>VLOOKUP(Primary_Order[[#This Row],[Product ID]],SKU[],12,0)</f>
        <v>20W40</v>
      </c>
      <c r="AI325" s="206" t="str">
        <f>VLOOKUP(Primary_Order[[#This Row],[Product ID]],SKU[],13,0)</f>
        <v>3000</v>
      </c>
      <c r="AJ325" s="233">
        <f>VLOOKUP(Primary_Order[[#This Row],[Product ID]],SKU[[SKU ID]:[Bottle Size(Ltr)]],6,0)*Primary_Order[[#This Row],[Free Quantity]]</f>
        <v>0</v>
      </c>
      <c r="AK325" s="206" t="str">
        <f>VLOOKUP(Primary_Order[[#This Row],[Product ID]],SKU[[SKU ID]:[Bottle Size(Ltr)]],4,0)</f>
        <v>20x1.2L</v>
      </c>
      <c r="AL325" s="231">
        <f>VLOOKUP(Primary_Order[[#This Row],[Product ID]],SKU[],14,0)*Primary_Order[[#This Row],[Total Qty]]</f>
        <v>93979.559070121948</v>
      </c>
      <c r="AM325" s="231">
        <f>IF(Primary_Order[[#This Row],[Cost]]=0,0,Primary_Order[[#This Row],[Net Total(-15%)]]-Primary_Order[[#This Row],[Cost]])</f>
        <v>17324.788755965012</v>
      </c>
      <c r="AN325" s="206" t="str">
        <f>"O-"&amp;Primary_Order[[#This Row],[Date]]&amp;"-"&amp;Primary_Order[[#This Row],[MMD ID]]</f>
        <v>O-45714-D-0035</v>
      </c>
      <c r="AO325" s="206" t="str" cm="1">
        <f t="array" ref="AO32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6" spans="1:41" x14ac:dyDescent="0.5">
      <c r="A326" s="206" t="s">
        <v>1272</v>
      </c>
      <c r="B326" s="230">
        <v>45714</v>
      </c>
      <c r="C326" s="206" t="s">
        <v>640</v>
      </c>
      <c r="D326" s="206" t="s">
        <v>1246</v>
      </c>
      <c r="E326" s="206" t="s">
        <v>1247</v>
      </c>
      <c r="F326" s="206" t="s">
        <v>1248</v>
      </c>
      <c r="G326" s="206" t="s">
        <v>79</v>
      </c>
      <c r="H326" s="206" t="s">
        <v>40</v>
      </c>
      <c r="I326" s="206" t="s">
        <v>172</v>
      </c>
      <c r="J326" s="206" t="s">
        <v>93</v>
      </c>
      <c r="K326" s="206" t="s">
        <v>77</v>
      </c>
      <c r="L326" s="206" t="str">
        <f>VLOOKUP(Primary_Order[[#This Row],[Product ID]],SKU[],3,0)</f>
        <v>31004T GOLD 10W30</v>
      </c>
      <c r="M326" s="231">
        <v>400</v>
      </c>
      <c r="N326" s="231">
        <v>590</v>
      </c>
      <c r="O326" s="231">
        <v>400</v>
      </c>
      <c r="P326" s="232">
        <v>0</v>
      </c>
      <c r="Q326" s="231">
        <v>0</v>
      </c>
      <c r="R326" s="231">
        <v>590</v>
      </c>
      <c r="S326" s="231">
        <v>400</v>
      </c>
      <c r="T326" s="231">
        <v>400</v>
      </c>
      <c r="U326" s="231">
        <v>236000</v>
      </c>
      <c r="V326" s="231">
        <v>0</v>
      </c>
      <c r="W326" s="231">
        <v>236000</v>
      </c>
      <c r="X326" s="231">
        <v>30782.608695652172</v>
      </c>
      <c r="Y326" s="231">
        <v>205217.39130434784</v>
      </c>
      <c r="Z326" s="206" t="s">
        <v>882</v>
      </c>
      <c r="AA326" s="206">
        <v>656</v>
      </c>
      <c r="AB326" s="206" t="s">
        <v>1170</v>
      </c>
      <c r="AC326" s="230">
        <v>45721</v>
      </c>
      <c r="AD326" s="206" t="s">
        <v>1249</v>
      </c>
      <c r="AE326" s="206" t="str">
        <f>IFERROR(VLOOKUP(Primary_Order[[#This Row],[AM]],SP!$E$19:$F$23,2,0),Primary_Order[[#This Row],[AM]])</f>
        <v>Central</v>
      </c>
      <c r="AF326" s="206" t="str">
        <f>VLOOKUP(Primary_Order[[#This Row],[Product ID]],SKU[],10,0)</f>
        <v>Technosynthese</v>
      </c>
      <c r="AG326" s="206" t="str">
        <f>VLOOKUP(Primary_Order[[#This Row],[Product ID]],SKU[],9,0)</f>
        <v>MCO</v>
      </c>
      <c r="AH326" s="206" t="str">
        <f>VLOOKUP(Primary_Order[[#This Row],[Product ID]],SKU[],12,0)</f>
        <v>10W30</v>
      </c>
      <c r="AI326" s="206" t="str">
        <f>VLOOKUP(Primary_Order[[#This Row],[Product ID]],SKU[],13,0)</f>
        <v>3100</v>
      </c>
      <c r="AJ326" s="233">
        <f>VLOOKUP(Primary_Order[[#This Row],[Product ID]],SKU[[SKU ID]:[Bottle Size(Ltr)]],6,0)*Primary_Order[[#This Row],[Free Quantity]]</f>
        <v>0</v>
      </c>
      <c r="AK326" s="206" t="str">
        <f>VLOOKUP(Primary_Order[[#This Row],[Product ID]],SKU[[SKU ID]:[Bottle Size(Ltr)]],4,0)</f>
        <v>20x1L</v>
      </c>
      <c r="AL326" s="231">
        <f>VLOOKUP(Primary_Order[[#This Row],[Product ID]],SKU[],14,0)*Primary_Order[[#This Row],[Total Qty]]</f>
        <v>170040</v>
      </c>
      <c r="AM326" s="231">
        <f>IF(Primary_Order[[#This Row],[Cost]]=0,0,Primary_Order[[#This Row],[Net Total(-15%)]]-Primary_Order[[#This Row],[Cost]])</f>
        <v>35177.391304347839</v>
      </c>
      <c r="AN326" s="206" t="str">
        <f>"O-"&amp;Primary_Order[[#This Row],[Date]]&amp;"-"&amp;Primary_Order[[#This Row],[MMD ID]]</f>
        <v>O-45714-D-0035</v>
      </c>
      <c r="AO326" s="206" t="str" cm="1">
        <f t="array" ref="AO32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7" spans="1:41" x14ac:dyDescent="0.5">
      <c r="A327" s="206" t="s">
        <v>1272</v>
      </c>
      <c r="B327" s="230">
        <v>45714</v>
      </c>
      <c r="C327" s="206" t="s">
        <v>640</v>
      </c>
      <c r="D327" s="206" t="s">
        <v>1246</v>
      </c>
      <c r="E327" s="206" t="s">
        <v>1247</v>
      </c>
      <c r="F327" s="206" t="s">
        <v>1248</v>
      </c>
      <c r="G327" s="206" t="s">
        <v>79</v>
      </c>
      <c r="H327" s="206" t="s">
        <v>40</v>
      </c>
      <c r="I327" s="206" t="s">
        <v>172</v>
      </c>
      <c r="J327" s="206" t="s">
        <v>93</v>
      </c>
      <c r="K327" s="206" t="s">
        <v>43</v>
      </c>
      <c r="L327" s="206" t="str">
        <f>VLOOKUP(Primary_Order[[#This Row],[Product ID]],SKU[],3,0)</f>
        <v>7100 4T 10W30 ESTER CORE®</v>
      </c>
      <c r="M327" s="231">
        <v>200</v>
      </c>
      <c r="N327" s="231">
        <v>1285</v>
      </c>
      <c r="O327" s="231">
        <v>240</v>
      </c>
      <c r="P327" s="232">
        <v>-2.2204460492503131E-16</v>
      </c>
      <c r="Q327" s="231">
        <v>0</v>
      </c>
      <c r="R327" s="231">
        <v>1285.0000000000002</v>
      </c>
      <c r="S327" s="231">
        <v>200</v>
      </c>
      <c r="T327" s="231">
        <v>240</v>
      </c>
      <c r="U327" s="231">
        <v>257000</v>
      </c>
      <c r="V327" s="231">
        <v>0</v>
      </c>
      <c r="W327" s="231">
        <v>257000.00000000006</v>
      </c>
      <c r="X327" s="231">
        <v>33521.739130434791</v>
      </c>
      <c r="Y327" s="231">
        <v>223478.26086956527</v>
      </c>
      <c r="Z327" s="206" t="s">
        <v>882</v>
      </c>
      <c r="AA327" s="206">
        <v>656</v>
      </c>
      <c r="AB327" s="206" t="s">
        <v>1170</v>
      </c>
      <c r="AC327" s="230">
        <v>45721</v>
      </c>
      <c r="AD327" s="206" t="s">
        <v>1249</v>
      </c>
      <c r="AE327" s="206" t="str">
        <f>IFERROR(VLOOKUP(Primary_Order[[#This Row],[AM]],SP!$E$19:$F$23,2,0),Primary_Order[[#This Row],[AM]])</f>
        <v>Central</v>
      </c>
      <c r="AF327" s="206" t="str">
        <f>VLOOKUP(Primary_Order[[#This Row],[Product ID]],SKU[],10,0)</f>
        <v>Synthetic</v>
      </c>
      <c r="AG327" s="206" t="str">
        <f>VLOOKUP(Primary_Order[[#This Row],[Product ID]],SKU[],9,0)</f>
        <v>MCO</v>
      </c>
      <c r="AH327" s="206" t="str">
        <f>VLOOKUP(Primary_Order[[#This Row],[Product ID]],SKU[],12,0)</f>
        <v>10W30</v>
      </c>
      <c r="AI327" s="206" t="str">
        <f>VLOOKUP(Primary_Order[[#This Row],[Product ID]],SKU[],13,0)</f>
        <v>7100</v>
      </c>
      <c r="AJ327" s="233">
        <f>VLOOKUP(Primary_Order[[#This Row],[Product ID]],SKU[[SKU ID]:[Bottle Size(Ltr)]],6,0)*Primary_Order[[#This Row],[Free Quantity]]</f>
        <v>0</v>
      </c>
      <c r="AK327" s="206" t="str">
        <f>VLOOKUP(Primary_Order[[#This Row],[Product ID]],SKU[[SKU ID]:[Bottle Size(Ltr)]],4,0)</f>
        <v>20x1.2L</v>
      </c>
      <c r="AL327" s="231">
        <f>VLOOKUP(Primary_Order[[#This Row],[Product ID]],SKU[],14,0)*Primary_Order[[#This Row],[Total Qty]]</f>
        <v>155460</v>
      </c>
      <c r="AM327" s="231">
        <f>IF(Primary_Order[[#This Row],[Cost]]=0,0,Primary_Order[[#This Row],[Net Total(-15%)]]-Primary_Order[[#This Row],[Cost]])</f>
        <v>68018.260869565274</v>
      </c>
      <c r="AN327" s="206" t="str">
        <f>"O-"&amp;Primary_Order[[#This Row],[Date]]&amp;"-"&amp;Primary_Order[[#This Row],[MMD ID]]</f>
        <v>O-45714-D-0035</v>
      </c>
      <c r="AO327" s="206" t="str" cm="1">
        <f t="array" ref="AO32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8" spans="1:41" x14ac:dyDescent="0.5">
      <c r="A328" s="206" t="s">
        <v>1273</v>
      </c>
      <c r="B328" s="230">
        <v>45715</v>
      </c>
      <c r="C328" s="206" t="s">
        <v>108</v>
      </c>
      <c r="D328" s="206" t="s">
        <v>1208</v>
      </c>
      <c r="E328" s="206" t="s">
        <v>1275</v>
      </c>
      <c r="F328" s="206">
        <v>1521308494</v>
      </c>
      <c r="G328" s="206" t="s">
        <v>280</v>
      </c>
      <c r="H328" s="206" t="s">
        <v>84</v>
      </c>
      <c r="I328" s="206" t="s">
        <v>109</v>
      </c>
      <c r="J328" s="206" t="s">
        <v>282</v>
      </c>
      <c r="K328" s="206" t="s">
        <v>31</v>
      </c>
      <c r="L328" s="206" t="str">
        <f>VLOOKUP(Primary_Order[[#This Row],[Product ID]],SKU[],3,0)</f>
        <v>3000 4T PLUS 10W30</v>
      </c>
      <c r="M328" s="231">
        <v>40</v>
      </c>
      <c r="N328" s="231">
        <v>540</v>
      </c>
      <c r="O328" s="231">
        <v>40</v>
      </c>
      <c r="P328" s="232">
        <v>9.2592592592593004E-3</v>
      </c>
      <c r="Q328" s="231">
        <v>0</v>
      </c>
      <c r="R328" s="231">
        <v>535</v>
      </c>
      <c r="S328" s="231">
        <v>40</v>
      </c>
      <c r="T328" s="231">
        <v>40</v>
      </c>
      <c r="U328" s="231">
        <v>21600</v>
      </c>
      <c r="V328" s="231">
        <v>0</v>
      </c>
      <c r="W328" s="231">
        <v>21400</v>
      </c>
      <c r="X328" s="231">
        <v>2791.304347826087</v>
      </c>
      <c r="Y328" s="231">
        <v>18608.695652173912</v>
      </c>
      <c r="Z328" s="206" t="s">
        <v>882</v>
      </c>
      <c r="AA328" s="206">
        <v>657</v>
      </c>
      <c r="AB328" s="206" t="s">
        <v>749</v>
      </c>
      <c r="AC328" s="230">
        <v>45721</v>
      </c>
      <c r="AD328" s="206" t="s">
        <v>50</v>
      </c>
      <c r="AE328" s="206" t="str">
        <f>IFERROR(VLOOKUP(Primary_Order[[#This Row],[AM]],SP!$E$19:$F$23,2,0),Primary_Order[[#This Row],[AM]])</f>
        <v>Northern</v>
      </c>
      <c r="AF328" s="206" t="str">
        <f>VLOOKUP(Primary_Order[[#This Row],[Product ID]],SKU[],10,0)</f>
        <v>Mineral</v>
      </c>
      <c r="AG328" s="206" t="str">
        <f>VLOOKUP(Primary_Order[[#This Row],[Product ID]],SKU[],9,0)</f>
        <v>MCO</v>
      </c>
      <c r="AH328" s="206" t="str">
        <f>VLOOKUP(Primary_Order[[#This Row],[Product ID]],SKU[],12,0)</f>
        <v>10W30</v>
      </c>
      <c r="AI328" s="206" t="str">
        <f>VLOOKUP(Primary_Order[[#This Row],[Product ID]],SKU[],13,0)</f>
        <v>3000</v>
      </c>
      <c r="AJ328" s="233">
        <f>VLOOKUP(Primary_Order[[#This Row],[Product ID]],SKU[[SKU ID]:[Bottle Size(Ltr)]],6,0)*Primary_Order[[#This Row],[Free Quantity]]</f>
        <v>0</v>
      </c>
      <c r="AK328" s="206" t="str">
        <f>VLOOKUP(Primary_Order[[#This Row],[Product ID]],SKU[[SKU ID]:[Bottle Size(Ltr)]],4,0)</f>
        <v>20x1L</v>
      </c>
      <c r="AL328" s="231">
        <f>VLOOKUP(Primary_Order[[#This Row],[Product ID]],SKU[],14,0)*Primary_Order[[#This Row],[Total Qty]]</f>
        <v>15173.199999999999</v>
      </c>
      <c r="AM328" s="231">
        <f>IF(Primary_Order[[#This Row],[Cost]]=0,0,Primary_Order[[#This Row],[Net Total(-15%)]]-Primary_Order[[#This Row],[Cost]])</f>
        <v>3435.4956521739132</v>
      </c>
      <c r="AN328" s="206" t="str">
        <f>"O-"&amp;Primary_Order[[#This Row],[Date]]&amp;"-"&amp;Primary_Order[[#This Row],[MMD ID]]</f>
        <v>O-45715-D-0023</v>
      </c>
      <c r="AO328" s="206" t="str" cm="1">
        <f t="array" ref="AO32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29" spans="1:41" x14ac:dyDescent="0.5">
      <c r="A329" s="206" t="s">
        <v>1273</v>
      </c>
      <c r="B329" s="230">
        <v>45715</v>
      </c>
      <c r="C329" s="206" t="s">
        <v>108</v>
      </c>
      <c r="D329" s="206" t="s">
        <v>1208</v>
      </c>
      <c r="E329" s="206" t="s">
        <v>1275</v>
      </c>
      <c r="F329" s="206">
        <v>1521308494</v>
      </c>
      <c r="G329" s="206" t="s">
        <v>280</v>
      </c>
      <c r="H329" s="206" t="s">
        <v>84</v>
      </c>
      <c r="I329" s="206" t="s">
        <v>109</v>
      </c>
      <c r="J329" s="206" t="s">
        <v>282</v>
      </c>
      <c r="K329" s="206" t="s">
        <v>53</v>
      </c>
      <c r="L329" s="206" t="str">
        <f>VLOOKUP(Primary_Order[[#This Row],[Product ID]],SKU[],3,0)</f>
        <v>3000 4T PLUS 20W40</v>
      </c>
      <c r="M329" s="231">
        <v>40</v>
      </c>
      <c r="N329" s="231">
        <v>535</v>
      </c>
      <c r="O329" s="231">
        <v>40</v>
      </c>
      <c r="P329" s="232">
        <v>9.3457943925233655E-3</v>
      </c>
      <c r="Q329" s="231">
        <v>0</v>
      </c>
      <c r="R329" s="231">
        <v>530</v>
      </c>
      <c r="S329" s="231">
        <v>40</v>
      </c>
      <c r="T329" s="231">
        <v>40</v>
      </c>
      <c r="U329" s="231">
        <v>21400</v>
      </c>
      <c r="V329" s="231">
        <v>0</v>
      </c>
      <c r="W329" s="231">
        <v>21200</v>
      </c>
      <c r="X329" s="231">
        <v>2765.217391304348</v>
      </c>
      <c r="Y329" s="231">
        <v>18434.782608695652</v>
      </c>
      <c r="Z329" s="206" t="s">
        <v>882</v>
      </c>
      <c r="AA329" s="206">
        <v>657</v>
      </c>
      <c r="AB329" s="206" t="s">
        <v>749</v>
      </c>
      <c r="AC329" s="230">
        <v>45721</v>
      </c>
      <c r="AD329" s="206" t="s">
        <v>50</v>
      </c>
      <c r="AE329" s="206" t="str">
        <f>IFERROR(VLOOKUP(Primary_Order[[#This Row],[AM]],SP!$E$19:$F$23,2,0),Primary_Order[[#This Row],[AM]])</f>
        <v>Northern</v>
      </c>
      <c r="AF329" s="206" t="str">
        <f>VLOOKUP(Primary_Order[[#This Row],[Product ID]],SKU[],10,0)</f>
        <v>Mineral</v>
      </c>
      <c r="AG329" s="206" t="str">
        <f>VLOOKUP(Primary_Order[[#This Row],[Product ID]],SKU[],9,0)</f>
        <v>MCO</v>
      </c>
      <c r="AH329" s="206" t="str">
        <f>VLOOKUP(Primary_Order[[#This Row],[Product ID]],SKU[],12,0)</f>
        <v>20W40</v>
      </c>
      <c r="AI329" s="206" t="str">
        <f>VLOOKUP(Primary_Order[[#This Row],[Product ID]],SKU[],13,0)</f>
        <v>3000</v>
      </c>
      <c r="AJ329" s="233">
        <f>VLOOKUP(Primary_Order[[#This Row],[Product ID]],SKU[[SKU ID]:[Bottle Size(Ltr)]],6,0)*Primary_Order[[#This Row],[Free Quantity]]</f>
        <v>0</v>
      </c>
      <c r="AK329" s="206" t="str">
        <f>VLOOKUP(Primary_Order[[#This Row],[Product ID]],SKU[[SKU ID]:[Bottle Size(Ltr)]],4,0)</f>
        <v>20x1L</v>
      </c>
      <c r="AL329" s="231">
        <f>VLOOKUP(Primary_Order[[#This Row],[Product ID]],SKU[],14,0)*Primary_Order[[#This Row],[Total Qty]]</f>
        <v>16510.400000000001</v>
      </c>
      <c r="AM329" s="231">
        <f>IF(Primary_Order[[#This Row],[Cost]]=0,0,Primary_Order[[#This Row],[Net Total(-15%)]]-Primary_Order[[#This Row],[Cost]])</f>
        <v>1924.3826086956506</v>
      </c>
      <c r="AN329" s="206" t="str">
        <f>"O-"&amp;Primary_Order[[#This Row],[Date]]&amp;"-"&amp;Primary_Order[[#This Row],[MMD ID]]</f>
        <v>O-45715-D-0023</v>
      </c>
      <c r="AO329" s="206" t="str" cm="1">
        <f t="array" ref="AO32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0" spans="1:41" x14ac:dyDescent="0.5">
      <c r="A330" s="206" t="s">
        <v>1273</v>
      </c>
      <c r="B330" s="230">
        <v>45715</v>
      </c>
      <c r="C330" s="206" t="s">
        <v>108</v>
      </c>
      <c r="D330" s="206" t="s">
        <v>1208</v>
      </c>
      <c r="E330" s="206" t="s">
        <v>1275</v>
      </c>
      <c r="F330" s="206">
        <v>1521308494</v>
      </c>
      <c r="G330" s="206" t="s">
        <v>280</v>
      </c>
      <c r="H330" s="206" t="s">
        <v>84</v>
      </c>
      <c r="I330" s="206" t="s">
        <v>109</v>
      </c>
      <c r="J330" s="206" t="s">
        <v>282</v>
      </c>
      <c r="K330" s="206" t="s">
        <v>54</v>
      </c>
      <c r="L330" s="206" t="str">
        <f>VLOOKUP(Primary_Order[[#This Row],[Product ID]],SKU[],3,0)</f>
        <v>3000 4T PLUS 10W40</v>
      </c>
      <c r="M330" s="231">
        <v>120</v>
      </c>
      <c r="N330" s="231">
        <v>550</v>
      </c>
      <c r="O330" s="231">
        <v>120</v>
      </c>
      <c r="P330" s="232">
        <v>9.0909090909090384E-3</v>
      </c>
      <c r="Q330" s="231">
        <v>0</v>
      </c>
      <c r="R330" s="231">
        <v>545</v>
      </c>
      <c r="S330" s="231">
        <v>120</v>
      </c>
      <c r="T330" s="231">
        <v>120</v>
      </c>
      <c r="U330" s="231">
        <v>66000</v>
      </c>
      <c r="V330" s="231">
        <v>0</v>
      </c>
      <c r="W330" s="231">
        <v>65400</v>
      </c>
      <c r="X330" s="231">
        <v>8530.434782608696</v>
      </c>
      <c r="Y330" s="231">
        <v>56869.565217391304</v>
      </c>
      <c r="Z330" s="206" t="s">
        <v>882</v>
      </c>
      <c r="AA330" s="206">
        <v>657</v>
      </c>
      <c r="AB330" s="206" t="s">
        <v>749</v>
      </c>
      <c r="AC330" s="230">
        <v>45721</v>
      </c>
      <c r="AD330" s="206" t="s">
        <v>50</v>
      </c>
      <c r="AE330" s="206" t="str">
        <f>IFERROR(VLOOKUP(Primary_Order[[#This Row],[AM]],SP!$E$19:$F$23,2,0),Primary_Order[[#This Row],[AM]])</f>
        <v>Northern</v>
      </c>
      <c r="AF330" s="206" t="str">
        <f>VLOOKUP(Primary_Order[[#This Row],[Product ID]],SKU[],10,0)</f>
        <v>Mineral</v>
      </c>
      <c r="AG330" s="206" t="str">
        <f>VLOOKUP(Primary_Order[[#This Row],[Product ID]],SKU[],9,0)</f>
        <v>MCO</v>
      </c>
      <c r="AH330" s="206" t="str">
        <f>VLOOKUP(Primary_Order[[#This Row],[Product ID]],SKU[],12,0)</f>
        <v>10W40</v>
      </c>
      <c r="AI330" s="206" t="str">
        <f>VLOOKUP(Primary_Order[[#This Row],[Product ID]],SKU[],13,0)</f>
        <v>3000</v>
      </c>
      <c r="AJ330" s="233">
        <f>VLOOKUP(Primary_Order[[#This Row],[Product ID]],SKU[[SKU ID]:[Bottle Size(Ltr)]],6,0)*Primary_Order[[#This Row],[Free Quantity]]</f>
        <v>0</v>
      </c>
      <c r="AK330" s="206" t="str">
        <f>VLOOKUP(Primary_Order[[#This Row],[Product ID]],SKU[[SKU ID]:[Bottle Size(Ltr)]],4,0)</f>
        <v>20x1L</v>
      </c>
      <c r="AL330" s="231">
        <f>VLOOKUP(Primary_Order[[#This Row],[Product ID]],SKU[],14,0)*Primary_Order[[#This Row],[Total Qty]]</f>
        <v>46182</v>
      </c>
      <c r="AM330" s="231">
        <f>IF(Primary_Order[[#This Row],[Cost]]=0,0,Primary_Order[[#This Row],[Net Total(-15%)]]-Primary_Order[[#This Row],[Cost]])</f>
        <v>10687.565217391304</v>
      </c>
      <c r="AN330" s="206" t="str">
        <f>"O-"&amp;Primary_Order[[#This Row],[Date]]&amp;"-"&amp;Primary_Order[[#This Row],[MMD ID]]</f>
        <v>O-45715-D-0023</v>
      </c>
      <c r="AO330" s="206" t="str" cm="1">
        <f t="array" ref="AO33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1" spans="1:41" x14ac:dyDescent="0.5">
      <c r="A331" s="206" t="s">
        <v>1273</v>
      </c>
      <c r="B331" s="230">
        <v>45715</v>
      </c>
      <c r="C331" s="206" t="s">
        <v>108</v>
      </c>
      <c r="D331" s="206" t="s">
        <v>1208</v>
      </c>
      <c r="E331" s="206" t="s">
        <v>1275</v>
      </c>
      <c r="F331" s="206">
        <v>1521308494</v>
      </c>
      <c r="G331" s="206" t="s">
        <v>280</v>
      </c>
      <c r="H331" s="206" t="s">
        <v>84</v>
      </c>
      <c r="I331" s="206" t="s">
        <v>109</v>
      </c>
      <c r="J331" s="206" t="s">
        <v>282</v>
      </c>
      <c r="K331" s="206" t="s">
        <v>81</v>
      </c>
      <c r="L331" s="206" t="str">
        <f>VLOOKUP(Primary_Order[[#This Row],[Product ID]],SKU[],3,0)</f>
        <v>3000 4T 20W50</v>
      </c>
      <c r="M331" s="231">
        <v>80</v>
      </c>
      <c r="N331" s="231">
        <v>495</v>
      </c>
      <c r="O331" s="231">
        <v>80</v>
      </c>
      <c r="P331" s="232">
        <v>2.4242424242424288E-2</v>
      </c>
      <c r="Q331" s="231">
        <v>0</v>
      </c>
      <c r="R331" s="231">
        <v>483</v>
      </c>
      <c r="S331" s="231">
        <v>80</v>
      </c>
      <c r="T331" s="231">
        <v>80</v>
      </c>
      <c r="U331" s="231">
        <v>39600</v>
      </c>
      <c r="V331" s="231">
        <v>0</v>
      </c>
      <c r="W331" s="231">
        <v>38640</v>
      </c>
      <c r="X331" s="231">
        <v>5040</v>
      </c>
      <c r="Y331" s="231">
        <v>33600</v>
      </c>
      <c r="Z331" s="206" t="s">
        <v>882</v>
      </c>
      <c r="AA331" s="206">
        <v>657</v>
      </c>
      <c r="AB331" s="206" t="s">
        <v>749</v>
      </c>
      <c r="AC331" s="230">
        <v>45721</v>
      </c>
      <c r="AD331" s="206" t="s">
        <v>50</v>
      </c>
      <c r="AE331" s="206" t="str">
        <f>IFERROR(VLOOKUP(Primary_Order[[#This Row],[AM]],SP!$E$19:$F$23,2,0),Primary_Order[[#This Row],[AM]])</f>
        <v>Northern</v>
      </c>
      <c r="AF331" s="206" t="str">
        <f>VLOOKUP(Primary_Order[[#This Row],[Product ID]],SKU[],10,0)</f>
        <v>Mineral</v>
      </c>
      <c r="AG331" s="206" t="str">
        <f>VLOOKUP(Primary_Order[[#This Row],[Product ID]],SKU[],9,0)</f>
        <v>MCO</v>
      </c>
      <c r="AH331" s="206" t="str">
        <f>VLOOKUP(Primary_Order[[#This Row],[Product ID]],SKU[],12,0)</f>
        <v>20W50</v>
      </c>
      <c r="AI331" s="206" t="str">
        <f>VLOOKUP(Primary_Order[[#This Row],[Product ID]],SKU[],13,0)</f>
        <v>3000</v>
      </c>
      <c r="AJ331" s="233">
        <f>VLOOKUP(Primary_Order[[#This Row],[Product ID]],SKU[[SKU ID]:[Bottle Size(Ltr)]],6,0)*Primary_Order[[#This Row],[Free Quantity]]</f>
        <v>0</v>
      </c>
      <c r="AK331" s="206" t="str">
        <f>VLOOKUP(Primary_Order[[#This Row],[Product ID]],SKU[[SKU ID]:[Bottle Size(Ltr)]],4,0)</f>
        <v>20x1L</v>
      </c>
      <c r="AL331" s="231">
        <f>VLOOKUP(Primary_Order[[#This Row],[Product ID]],SKU[],14,0)*Primary_Order[[#This Row],[Total Qty]]</f>
        <v>29193.600000000002</v>
      </c>
      <c r="AM331" s="231">
        <f>IF(Primary_Order[[#This Row],[Cost]]=0,0,Primary_Order[[#This Row],[Net Total(-15%)]]-Primary_Order[[#This Row],[Cost]])</f>
        <v>4406.3999999999978</v>
      </c>
      <c r="AN331" s="206" t="str">
        <f>"O-"&amp;Primary_Order[[#This Row],[Date]]&amp;"-"&amp;Primary_Order[[#This Row],[MMD ID]]</f>
        <v>O-45715-D-0023</v>
      </c>
      <c r="AO331" s="206" t="str" cm="1">
        <f t="array" ref="AO33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2" spans="1:41" x14ac:dyDescent="0.5">
      <c r="A332" s="206" t="s">
        <v>1273</v>
      </c>
      <c r="B332" s="230">
        <v>45715</v>
      </c>
      <c r="C332" s="206" t="s">
        <v>108</v>
      </c>
      <c r="D332" s="206" t="s">
        <v>1208</v>
      </c>
      <c r="E332" s="206" t="s">
        <v>1275</v>
      </c>
      <c r="F332" s="206">
        <v>1521308494</v>
      </c>
      <c r="G332" s="206" t="s">
        <v>280</v>
      </c>
      <c r="H332" s="206" t="s">
        <v>84</v>
      </c>
      <c r="I332" s="206" t="s">
        <v>109</v>
      </c>
      <c r="J332" s="206" t="s">
        <v>282</v>
      </c>
      <c r="K332" s="206" t="s">
        <v>99</v>
      </c>
      <c r="L332" s="206" t="str">
        <f>VLOOKUP(Primary_Order[[#This Row],[Product ID]],SKU[],3,0)</f>
        <v>3000 4T 20W50</v>
      </c>
      <c r="M332" s="231">
        <v>20</v>
      </c>
      <c r="N332" s="231">
        <v>595</v>
      </c>
      <c r="O332" s="231">
        <v>24</v>
      </c>
      <c r="P332" s="232">
        <v>2.2521008403361353E-2</v>
      </c>
      <c r="Q332" s="231">
        <v>0</v>
      </c>
      <c r="R332" s="231">
        <v>581.6</v>
      </c>
      <c r="S332" s="231">
        <v>20</v>
      </c>
      <c r="T332" s="231">
        <v>24</v>
      </c>
      <c r="U332" s="231">
        <v>11900</v>
      </c>
      <c r="V332" s="231">
        <v>0</v>
      </c>
      <c r="W332" s="231">
        <v>11632</v>
      </c>
      <c r="X332" s="231">
        <v>1517.2173913043478</v>
      </c>
      <c r="Y332" s="231">
        <v>10114.782608695652</v>
      </c>
      <c r="Z332" s="206" t="s">
        <v>882</v>
      </c>
      <c r="AA332" s="206">
        <v>657</v>
      </c>
      <c r="AB332" s="206" t="s">
        <v>749</v>
      </c>
      <c r="AC332" s="230">
        <v>45721</v>
      </c>
      <c r="AD332" s="206" t="s">
        <v>50</v>
      </c>
      <c r="AE332" s="206" t="str">
        <f>IFERROR(VLOOKUP(Primary_Order[[#This Row],[AM]],SP!$E$19:$F$23,2,0),Primary_Order[[#This Row],[AM]])</f>
        <v>Northern</v>
      </c>
      <c r="AF332" s="206" t="str">
        <f>VLOOKUP(Primary_Order[[#This Row],[Product ID]],SKU[],10,0)</f>
        <v>Mineral</v>
      </c>
      <c r="AG332" s="206" t="str">
        <f>VLOOKUP(Primary_Order[[#This Row],[Product ID]],SKU[],9,0)</f>
        <v>MCO</v>
      </c>
      <c r="AH332" s="206" t="str">
        <f>VLOOKUP(Primary_Order[[#This Row],[Product ID]],SKU[],12,0)</f>
        <v>20W50</v>
      </c>
      <c r="AI332" s="206" t="str">
        <f>VLOOKUP(Primary_Order[[#This Row],[Product ID]],SKU[],13,0)</f>
        <v>3000</v>
      </c>
      <c r="AJ332" s="233">
        <f>VLOOKUP(Primary_Order[[#This Row],[Product ID]],SKU[[SKU ID]:[Bottle Size(Ltr)]],6,0)*Primary_Order[[#This Row],[Free Quantity]]</f>
        <v>0</v>
      </c>
      <c r="AK332" s="206" t="str">
        <f>VLOOKUP(Primary_Order[[#This Row],[Product ID]],SKU[[SKU ID]:[Bottle Size(Ltr)]],4,0)</f>
        <v>20x1.2L</v>
      </c>
      <c r="AL332" s="231">
        <f>VLOOKUP(Primary_Order[[#This Row],[Product ID]],SKU[],14,0)*Primary_Order[[#This Row],[Total Qty]]</f>
        <v>8692.2000000000007</v>
      </c>
      <c r="AM332" s="231">
        <f>IF(Primary_Order[[#This Row],[Cost]]=0,0,Primary_Order[[#This Row],[Net Total(-15%)]]-Primary_Order[[#This Row],[Cost]])</f>
        <v>1422.5826086956513</v>
      </c>
      <c r="AN332" s="206" t="str">
        <f>"O-"&amp;Primary_Order[[#This Row],[Date]]&amp;"-"&amp;Primary_Order[[#This Row],[MMD ID]]</f>
        <v>O-45715-D-0023</v>
      </c>
      <c r="AO332" s="206" t="str" cm="1">
        <f t="array" ref="AO33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3" spans="1:41" x14ac:dyDescent="0.5">
      <c r="A333" s="206" t="s">
        <v>1274</v>
      </c>
      <c r="B333" s="230">
        <v>45715</v>
      </c>
      <c r="C333" s="206" t="s">
        <v>97</v>
      </c>
      <c r="D333" s="206" t="s">
        <v>1266</v>
      </c>
      <c r="E333" s="206" t="s">
        <v>1267</v>
      </c>
      <c r="F333" s="206">
        <v>1715857748</v>
      </c>
      <c r="G333" s="206" t="s">
        <v>709</v>
      </c>
      <c r="H333" s="206" t="s">
        <v>40</v>
      </c>
      <c r="I333" s="206" t="s">
        <v>98</v>
      </c>
      <c r="J333" s="206" t="s">
        <v>452</v>
      </c>
      <c r="K333" s="206" t="s">
        <v>54</v>
      </c>
      <c r="L333" s="206" t="str">
        <f>VLOOKUP(Primary_Order[[#This Row],[Product ID]],SKU[],3,0)</f>
        <v>3000 4T PLUS 10W40</v>
      </c>
      <c r="M333" s="231">
        <v>1000</v>
      </c>
      <c r="N333" s="231">
        <v>540</v>
      </c>
      <c r="O333" s="231">
        <v>1000</v>
      </c>
      <c r="P333" s="232">
        <v>0</v>
      </c>
      <c r="Q333" s="231">
        <v>0</v>
      </c>
      <c r="R333" s="231">
        <v>540</v>
      </c>
      <c r="S333" s="231">
        <v>1000</v>
      </c>
      <c r="T333" s="231">
        <v>1000</v>
      </c>
      <c r="U333" s="231">
        <v>540000</v>
      </c>
      <c r="V333" s="231">
        <v>0</v>
      </c>
      <c r="W333" s="231">
        <v>540000</v>
      </c>
      <c r="X333" s="231">
        <v>70434.782608695648</v>
      </c>
      <c r="Y333" s="231">
        <v>469565.21739130432</v>
      </c>
      <c r="Z333" s="206" t="s">
        <v>882</v>
      </c>
      <c r="AA333" s="206">
        <v>658</v>
      </c>
      <c r="AB333" s="206" t="s">
        <v>641</v>
      </c>
      <c r="AC333" s="230">
        <v>45721</v>
      </c>
      <c r="AD333" s="206" t="s">
        <v>1212</v>
      </c>
      <c r="AE333" s="206" t="str">
        <f>IFERROR(VLOOKUP(Primary_Order[[#This Row],[AM]],SP!$E$19:$F$23,2,0),Primary_Order[[#This Row],[AM]])</f>
        <v>Central</v>
      </c>
      <c r="AF333" s="206" t="str">
        <f>VLOOKUP(Primary_Order[[#This Row],[Product ID]],SKU[],10,0)</f>
        <v>Mineral</v>
      </c>
      <c r="AG333" s="206" t="str">
        <f>VLOOKUP(Primary_Order[[#This Row],[Product ID]],SKU[],9,0)</f>
        <v>MCO</v>
      </c>
      <c r="AH333" s="206" t="str">
        <f>VLOOKUP(Primary_Order[[#This Row],[Product ID]],SKU[],12,0)</f>
        <v>10W40</v>
      </c>
      <c r="AI333" s="206" t="str">
        <f>VLOOKUP(Primary_Order[[#This Row],[Product ID]],SKU[],13,0)</f>
        <v>3000</v>
      </c>
      <c r="AJ333" s="233">
        <f>VLOOKUP(Primary_Order[[#This Row],[Product ID]],SKU[[SKU ID]:[Bottle Size(Ltr)]],6,0)*Primary_Order[[#This Row],[Free Quantity]]</f>
        <v>0</v>
      </c>
      <c r="AK333" s="206" t="str">
        <f>VLOOKUP(Primary_Order[[#This Row],[Product ID]],SKU[[SKU ID]:[Bottle Size(Ltr)]],4,0)</f>
        <v>20x1L</v>
      </c>
      <c r="AL333" s="231">
        <f>VLOOKUP(Primary_Order[[#This Row],[Product ID]],SKU[],14,0)*Primary_Order[[#This Row],[Total Qty]]</f>
        <v>384850</v>
      </c>
      <c r="AM333" s="231">
        <f>IF(Primary_Order[[#This Row],[Cost]]=0,0,Primary_Order[[#This Row],[Net Total(-15%)]]-Primary_Order[[#This Row],[Cost]])</f>
        <v>84715.217391304323</v>
      </c>
      <c r="AN333" s="206" t="str">
        <f>"O-"&amp;Primary_Order[[#This Row],[Date]]&amp;"-"&amp;Primary_Order[[#This Row],[MMD ID]]</f>
        <v>O-45715-D-0001</v>
      </c>
      <c r="AO333" s="206" t="str" cm="1">
        <f t="array" ref="AO33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4" spans="1:41" x14ac:dyDescent="0.5">
      <c r="A334" s="206" t="s">
        <v>1274</v>
      </c>
      <c r="B334" s="230">
        <v>45715</v>
      </c>
      <c r="C334" s="206" t="s">
        <v>97</v>
      </c>
      <c r="D334" s="206" t="s">
        <v>1266</v>
      </c>
      <c r="E334" s="206" t="s">
        <v>1267</v>
      </c>
      <c r="F334" s="206">
        <v>1715857748</v>
      </c>
      <c r="G334" s="206" t="s">
        <v>709</v>
      </c>
      <c r="H334" s="206" t="s">
        <v>40</v>
      </c>
      <c r="I334" s="206" t="s">
        <v>98</v>
      </c>
      <c r="J334" s="206" t="s">
        <v>452</v>
      </c>
      <c r="K334" s="206" t="s">
        <v>75</v>
      </c>
      <c r="L334" s="206" t="str">
        <f>VLOOKUP(Primary_Order[[#This Row],[Product ID]],SKU[],3,0)</f>
        <v>31004T GOLD 20W50</v>
      </c>
      <c r="M334" s="231">
        <v>20</v>
      </c>
      <c r="N334" s="231">
        <v>595</v>
      </c>
      <c r="O334" s="231">
        <v>20</v>
      </c>
      <c r="P334" s="232">
        <v>0</v>
      </c>
      <c r="Q334" s="231">
        <v>0</v>
      </c>
      <c r="R334" s="231">
        <v>595</v>
      </c>
      <c r="S334" s="231">
        <v>20</v>
      </c>
      <c r="T334" s="231">
        <v>20</v>
      </c>
      <c r="U334" s="231">
        <v>11900</v>
      </c>
      <c r="V334" s="231">
        <v>0</v>
      </c>
      <c r="W334" s="231">
        <v>11900</v>
      </c>
      <c r="X334" s="231">
        <v>1552.1739130434783</v>
      </c>
      <c r="Y334" s="231">
        <v>10347.826086956522</v>
      </c>
      <c r="Z334" s="206" t="s">
        <v>882</v>
      </c>
      <c r="AA334" s="206">
        <v>658</v>
      </c>
      <c r="AB334" s="206" t="s">
        <v>641</v>
      </c>
      <c r="AC334" s="230">
        <v>45721</v>
      </c>
      <c r="AD334" s="206" t="s">
        <v>1212</v>
      </c>
      <c r="AE334" s="206" t="str">
        <f>IFERROR(VLOOKUP(Primary_Order[[#This Row],[AM]],SP!$E$19:$F$23,2,0),Primary_Order[[#This Row],[AM]])</f>
        <v>Central</v>
      </c>
      <c r="AF334" s="206" t="str">
        <f>VLOOKUP(Primary_Order[[#This Row],[Product ID]],SKU[],10,0)</f>
        <v>Technosynthese</v>
      </c>
      <c r="AG334" s="206" t="str">
        <f>VLOOKUP(Primary_Order[[#This Row],[Product ID]],SKU[],9,0)</f>
        <v>MCO</v>
      </c>
      <c r="AH334" s="206" t="str">
        <f>VLOOKUP(Primary_Order[[#This Row],[Product ID]],SKU[],12,0)</f>
        <v>20W50</v>
      </c>
      <c r="AI334" s="206" t="str">
        <f>VLOOKUP(Primary_Order[[#This Row],[Product ID]],SKU[],13,0)</f>
        <v>3100</v>
      </c>
      <c r="AJ334" s="233">
        <f>VLOOKUP(Primary_Order[[#This Row],[Product ID]],SKU[[SKU ID]:[Bottle Size(Ltr)]],6,0)*Primary_Order[[#This Row],[Free Quantity]]</f>
        <v>0</v>
      </c>
      <c r="AK334" s="206" t="str">
        <f>VLOOKUP(Primary_Order[[#This Row],[Product ID]],SKU[[SKU ID]:[Bottle Size(Ltr)]],4,0)</f>
        <v>20x1L</v>
      </c>
      <c r="AL334" s="231">
        <f>VLOOKUP(Primary_Order[[#This Row],[Product ID]],SKU[],14,0)*Primary_Order[[#This Row],[Total Qty]]</f>
        <v>9387.7999999999993</v>
      </c>
      <c r="AM334" s="231">
        <f>IF(Primary_Order[[#This Row],[Cost]]=0,0,Primary_Order[[#This Row],[Net Total(-15%)]]-Primary_Order[[#This Row],[Cost]])</f>
        <v>960.0260869565227</v>
      </c>
      <c r="AN334" s="206" t="str">
        <f>"O-"&amp;Primary_Order[[#This Row],[Date]]&amp;"-"&amp;Primary_Order[[#This Row],[MMD ID]]</f>
        <v>O-45715-D-0001</v>
      </c>
      <c r="AO334" s="206" t="str" cm="1">
        <f t="array" ref="AO33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5" spans="1:41" x14ac:dyDescent="0.5">
      <c r="A335" s="206" t="s">
        <v>1274</v>
      </c>
      <c r="B335" s="230">
        <v>45715</v>
      </c>
      <c r="C335" s="206" t="s">
        <v>97</v>
      </c>
      <c r="D335" s="206" t="s">
        <v>1266</v>
      </c>
      <c r="E335" s="206" t="s">
        <v>1267</v>
      </c>
      <c r="F335" s="206">
        <v>1715857748</v>
      </c>
      <c r="G335" s="206" t="s">
        <v>709</v>
      </c>
      <c r="H335" s="206" t="s">
        <v>40</v>
      </c>
      <c r="I335" s="206" t="s">
        <v>98</v>
      </c>
      <c r="J335" s="206" t="s">
        <v>452</v>
      </c>
      <c r="K335" s="206" t="s">
        <v>56</v>
      </c>
      <c r="L335" s="206" t="str">
        <f>VLOOKUP(Primary_Order[[#This Row],[Product ID]],SKU[],3,0)</f>
        <v>7100 4T 10W30 ESTER CORE®</v>
      </c>
      <c r="M335" s="231">
        <v>36</v>
      </c>
      <c r="N335" s="231">
        <v>1075</v>
      </c>
      <c r="O335" s="231">
        <v>36</v>
      </c>
      <c r="P335" s="232">
        <v>0</v>
      </c>
      <c r="Q335" s="231">
        <v>0</v>
      </c>
      <c r="R335" s="231">
        <v>1075</v>
      </c>
      <c r="S335" s="231">
        <v>36</v>
      </c>
      <c r="T335" s="231">
        <v>36</v>
      </c>
      <c r="U335" s="231">
        <v>38700</v>
      </c>
      <c r="V335" s="231">
        <v>0</v>
      </c>
      <c r="W335" s="231">
        <v>38700</v>
      </c>
      <c r="X335" s="231">
        <v>5047.826086956522</v>
      </c>
      <c r="Y335" s="231">
        <v>33652.17391304348</v>
      </c>
      <c r="Z335" s="206" t="s">
        <v>882</v>
      </c>
      <c r="AA335" s="206">
        <v>658</v>
      </c>
      <c r="AB335" s="206" t="s">
        <v>641</v>
      </c>
      <c r="AC335" s="230">
        <v>45721</v>
      </c>
      <c r="AD335" s="206" t="s">
        <v>1212</v>
      </c>
      <c r="AE335" s="206" t="str">
        <f>IFERROR(VLOOKUP(Primary_Order[[#This Row],[AM]],SP!$E$19:$F$23,2,0),Primary_Order[[#This Row],[AM]])</f>
        <v>Central</v>
      </c>
      <c r="AF335" s="206" t="str">
        <f>VLOOKUP(Primary_Order[[#This Row],[Product ID]],SKU[],10,0)</f>
        <v>Synthetic</v>
      </c>
      <c r="AG335" s="206" t="str">
        <f>VLOOKUP(Primary_Order[[#This Row],[Product ID]],SKU[],9,0)</f>
        <v>MCO</v>
      </c>
      <c r="AH335" s="206" t="str">
        <f>VLOOKUP(Primary_Order[[#This Row],[Product ID]],SKU[],12,0)</f>
        <v>10W30</v>
      </c>
      <c r="AI335" s="206" t="str">
        <f>VLOOKUP(Primary_Order[[#This Row],[Product ID]],SKU[],13,0)</f>
        <v>7100</v>
      </c>
      <c r="AJ335" s="233">
        <f>VLOOKUP(Primary_Order[[#This Row],[Product ID]],SKU[[SKU ID]:[Bottle Size(Ltr)]],6,0)*Primary_Order[[#This Row],[Free Quantity]]</f>
        <v>0</v>
      </c>
      <c r="AK335" s="206" t="str">
        <f>VLOOKUP(Primary_Order[[#This Row],[Product ID]],SKU[[SKU ID]:[Bottle Size(Ltr)]],4,0)</f>
        <v>12x1L</v>
      </c>
      <c r="AL335" s="231">
        <f>VLOOKUP(Primary_Order[[#This Row],[Product ID]],SKU[],14,0)*Primary_Order[[#This Row],[Total Qty]]</f>
        <v>24834.959999999999</v>
      </c>
      <c r="AM335" s="231">
        <f>IF(Primary_Order[[#This Row],[Cost]]=0,0,Primary_Order[[#This Row],[Net Total(-15%)]]-Primary_Order[[#This Row],[Cost]])</f>
        <v>8817.2139130434807</v>
      </c>
      <c r="AN335" s="206" t="str">
        <f>"O-"&amp;Primary_Order[[#This Row],[Date]]&amp;"-"&amp;Primary_Order[[#This Row],[MMD ID]]</f>
        <v>O-45715-D-0001</v>
      </c>
      <c r="AO335" s="206" t="str" cm="1">
        <f t="array" ref="AO33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6" spans="1:41" x14ac:dyDescent="0.5">
      <c r="A336" s="206" t="s">
        <v>1274</v>
      </c>
      <c r="B336" s="230">
        <v>45715</v>
      </c>
      <c r="C336" s="206" t="s">
        <v>97</v>
      </c>
      <c r="D336" s="206" t="s">
        <v>1266</v>
      </c>
      <c r="E336" s="206" t="s">
        <v>1267</v>
      </c>
      <c r="F336" s="206">
        <v>1715857748</v>
      </c>
      <c r="G336" s="206" t="s">
        <v>709</v>
      </c>
      <c r="H336" s="206" t="s">
        <v>40</v>
      </c>
      <c r="I336" s="206" t="s">
        <v>98</v>
      </c>
      <c r="J336" s="206" t="s">
        <v>452</v>
      </c>
      <c r="K336" s="206" t="s">
        <v>58</v>
      </c>
      <c r="L336" s="206" t="str">
        <f>VLOOKUP(Primary_Order[[#This Row],[Product ID]],SKU[],3,0)</f>
        <v>7100 4T 20W50 ESTER CORE®</v>
      </c>
      <c r="M336" s="231">
        <v>84</v>
      </c>
      <c r="N336" s="231">
        <v>1075</v>
      </c>
      <c r="O336" s="231">
        <v>84</v>
      </c>
      <c r="P336" s="232">
        <v>0</v>
      </c>
      <c r="Q336" s="231">
        <v>0</v>
      </c>
      <c r="R336" s="231">
        <v>1075</v>
      </c>
      <c r="S336" s="231">
        <v>84</v>
      </c>
      <c r="T336" s="231">
        <v>84</v>
      </c>
      <c r="U336" s="231">
        <v>90300</v>
      </c>
      <c r="V336" s="231">
        <v>0</v>
      </c>
      <c r="W336" s="231">
        <v>90300</v>
      </c>
      <c r="X336" s="231">
        <v>11778.260869565218</v>
      </c>
      <c r="Y336" s="231">
        <v>78521.739130434784</v>
      </c>
      <c r="Z336" s="206" t="s">
        <v>882</v>
      </c>
      <c r="AA336" s="206">
        <v>658</v>
      </c>
      <c r="AB336" s="206" t="s">
        <v>641</v>
      </c>
      <c r="AC336" s="230">
        <v>45721</v>
      </c>
      <c r="AD336" s="206" t="s">
        <v>1212</v>
      </c>
      <c r="AE336" s="206" t="str">
        <f>IFERROR(VLOOKUP(Primary_Order[[#This Row],[AM]],SP!$E$19:$F$23,2,0),Primary_Order[[#This Row],[AM]])</f>
        <v>Central</v>
      </c>
      <c r="AF336" s="206" t="str">
        <f>VLOOKUP(Primary_Order[[#This Row],[Product ID]],SKU[],10,0)</f>
        <v>Synthetic</v>
      </c>
      <c r="AG336" s="206" t="str">
        <f>VLOOKUP(Primary_Order[[#This Row],[Product ID]],SKU[],9,0)</f>
        <v>MCO</v>
      </c>
      <c r="AH336" s="206" t="str">
        <f>VLOOKUP(Primary_Order[[#This Row],[Product ID]],SKU[],12,0)</f>
        <v>20W50</v>
      </c>
      <c r="AI336" s="206" t="str">
        <f>VLOOKUP(Primary_Order[[#This Row],[Product ID]],SKU[],13,0)</f>
        <v>7100</v>
      </c>
      <c r="AJ336" s="233">
        <f>VLOOKUP(Primary_Order[[#This Row],[Product ID]],SKU[[SKU ID]:[Bottle Size(Ltr)]],6,0)*Primary_Order[[#This Row],[Free Quantity]]</f>
        <v>0</v>
      </c>
      <c r="AK336" s="206" t="str">
        <f>VLOOKUP(Primary_Order[[#This Row],[Product ID]],SKU[[SKU ID]:[Bottle Size(Ltr)]],4,0)</f>
        <v>12x1L</v>
      </c>
      <c r="AL336" s="231">
        <f>VLOOKUP(Primary_Order[[#This Row],[Product ID]],SKU[],14,0)*Primary_Order[[#This Row],[Total Qty]]</f>
        <v>64150.6656</v>
      </c>
      <c r="AM336" s="231">
        <f>IF(Primary_Order[[#This Row],[Cost]]=0,0,Primary_Order[[#This Row],[Net Total(-15%)]]-Primary_Order[[#This Row],[Cost]])</f>
        <v>14371.073530434784</v>
      </c>
      <c r="AN336" s="206" t="str">
        <f>"O-"&amp;Primary_Order[[#This Row],[Date]]&amp;"-"&amp;Primary_Order[[#This Row],[MMD ID]]</f>
        <v>O-45715-D-0001</v>
      </c>
      <c r="AO336" s="206" t="str" cm="1">
        <f t="array" ref="AO33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7" spans="1:41" x14ac:dyDescent="0.5">
      <c r="A337" s="206" t="s">
        <v>1274</v>
      </c>
      <c r="B337" s="230">
        <v>45715</v>
      </c>
      <c r="C337" s="206" t="s">
        <v>97</v>
      </c>
      <c r="D337" s="206" t="s">
        <v>1266</v>
      </c>
      <c r="E337" s="206" t="s">
        <v>1267</v>
      </c>
      <c r="F337" s="206">
        <v>1715857748</v>
      </c>
      <c r="G337" s="206" t="s">
        <v>709</v>
      </c>
      <c r="H337" s="206" t="s">
        <v>40</v>
      </c>
      <c r="I337" s="206" t="s">
        <v>98</v>
      </c>
      <c r="J337" s="206" t="s">
        <v>452</v>
      </c>
      <c r="K337" s="206" t="s">
        <v>43</v>
      </c>
      <c r="L337" s="206" t="str">
        <f>VLOOKUP(Primary_Order[[#This Row],[Product ID]],SKU[],3,0)</f>
        <v>7100 4T 10W30 ESTER CORE®</v>
      </c>
      <c r="M337" s="231">
        <v>40</v>
      </c>
      <c r="N337" s="231">
        <v>1290</v>
      </c>
      <c r="O337" s="231">
        <v>48</v>
      </c>
      <c r="P337" s="232">
        <v>0</v>
      </c>
      <c r="Q337" s="231">
        <v>0</v>
      </c>
      <c r="R337" s="231">
        <v>1290</v>
      </c>
      <c r="S337" s="231">
        <v>40</v>
      </c>
      <c r="T337" s="231">
        <v>48</v>
      </c>
      <c r="U337" s="231">
        <v>51600</v>
      </c>
      <c r="V337" s="231">
        <v>0</v>
      </c>
      <c r="W337" s="231">
        <v>51600</v>
      </c>
      <c r="X337" s="231">
        <v>6730.434782608696</v>
      </c>
      <c r="Y337" s="231">
        <v>44869.565217391304</v>
      </c>
      <c r="Z337" s="206" t="s">
        <v>882</v>
      </c>
      <c r="AA337" s="206">
        <v>658</v>
      </c>
      <c r="AB337" s="206" t="s">
        <v>641</v>
      </c>
      <c r="AC337" s="230">
        <v>45721</v>
      </c>
      <c r="AD337" s="206" t="s">
        <v>1212</v>
      </c>
      <c r="AE337" s="206" t="str">
        <f>IFERROR(VLOOKUP(Primary_Order[[#This Row],[AM]],SP!$E$19:$F$23,2,0),Primary_Order[[#This Row],[AM]])</f>
        <v>Central</v>
      </c>
      <c r="AF337" s="206" t="str">
        <f>VLOOKUP(Primary_Order[[#This Row],[Product ID]],SKU[],10,0)</f>
        <v>Synthetic</v>
      </c>
      <c r="AG337" s="206" t="str">
        <f>VLOOKUP(Primary_Order[[#This Row],[Product ID]],SKU[],9,0)</f>
        <v>MCO</v>
      </c>
      <c r="AH337" s="206" t="str">
        <f>VLOOKUP(Primary_Order[[#This Row],[Product ID]],SKU[],12,0)</f>
        <v>10W30</v>
      </c>
      <c r="AI337" s="206" t="str">
        <f>VLOOKUP(Primary_Order[[#This Row],[Product ID]],SKU[],13,0)</f>
        <v>7100</v>
      </c>
      <c r="AJ337" s="233">
        <f>VLOOKUP(Primary_Order[[#This Row],[Product ID]],SKU[[SKU ID]:[Bottle Size(Ltr)]],6,0)*Primary_Order[[#This Row],[Free Quantity]]</f>
        <v>0</v>
      </c>
      <c r="AK337" s="206" t="str">
        <f>VLOOKUP(Primary_Order[[#This Row],[Product ID]],SKU[[SKU ID]:[Bottle Size(Ltr)]],4,0)</f>
        <v>20x1.2L</v>
      </c>
      <c r="AL337" s="231">
        <f>VLOOKUP(Primary_Order[[#This Row],[Product ID]],SKU[],14,0)*Primary_Order[[#This Row],[Total Qty]]</f>
        <v>31092</v>
      </c>
      <c r="AM337" s="231">
        <f>IF(Primary_Order[[#This Row],[Cost]]=0,0,Primary_Order[[#This Row],[Net Total(-15%)]]-Primary_Order[[#This Row],[Cost]])</f>
        <v>13777.565217391304</v>
      </c>
      <c r="AN337" s="206" t="str">
        <f>"O-"&amp;Primary_Order[[#This Row],[Date]]&amp;"-"&amp;Primary_Order[[#This Row],[MMD ID]]</f>
        <v>O-45715-D-0001</v>
      </c>
      <c r="AO337" s="206" t="str" cm="1">
        <f t="array" ref="AO33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8" spans="1:41" x14ac:dyDescent="0.5">
      <c r="A338" s="206" t="s">
        <v>1274</v>
      </c>
      <c r="B338" s="230">
        <v>45715</v>
      </c>
      <c r="C338" s="206" t="s">
        <v>97</v>
      </c>
      <c r="D338" s="206" t="s">
        <v>1266</v>
      </c>
      <c r="E338" s="206" t="s">
        <v>1267</v>
      </c>
      <c r="F338" s="206">
        <v>1715857748</v>
      </c>
      <c r="G338" s="206" t="s">
        <v>709</v>
      </c>
      <c r="H338" s="206" t="s">
        <v>40</v>
      </c>
      <c r="I338" s="206" t="s">
        <v>98</v>
      </c>
      <c r="J338" s="206" t="s">
        <v>452</v>
      </c>
      <c r="K338" s="206" t="s">
        <v>81</v>
      </c>
      <c r="L338" s="206" t="str">
        <f>VLOOKUP(Primary_Order[[#This Row],[Product ID]],SKU[],3,0)</f>
        <v>3000 4T 20W50</v>
      </c>
      <c r="M338" s="231">
        <v>60</v>
      </c>
      <c r="N338" s="231">
        <v>480</v>
      </c>
      <c r="O338" s="231">
        <v>60</v>
      </c>
      <c r="P338" s="232">
        <v>0</v>
      </c>
      <c r="Q338" s="231">
        <v>0</v>
      </c>
      <c r="R338" s="231">
        <v>480</v>
      </c>
      <c r="S338" s="231">
        <v>60</v>
      </c>
      <c r="T338" s="231">
        <v>60</v>
      </c>
      <c r="U338" s="231">
        <v>28800</v>
      </c>
      <c r="V338" s="231">
        <v>0</v>
      </c>
      <c r="W338" s="231">
        <v>28800</v>
      </c>
      <c r="X338" s="231">
        <v>3756.521739130435</v>
      </c>
      <c r="Y338" s="231">
        <v>25043.478260869564</v>
      </c>
      <c r="Z338" s="206" t="s">
        <v>882</v>
      </c>
      <c r="AA338" s="206">
        <v>658</v>
      </c>
      <c r="AB338" s="206" t="s">
        <v>641</v>
      </c>
      <c r="AC338" s="230">
        <v>45721</v>
      </c>
      <c r="AD338" s="206" t="s">
        <v>1212</v>
      </c>
      <c r="AE338" s="206" t="str">
        <f>IFERROR(VLOOKUP(Primary_Order[[#This Row],[AM]],SP!$E$19:$F$23,2,0),Primary_Order[[#This Row],[AM]])</f>
        <v>Central</v>
      </c>
      <c r="AF338" s="206" t="str">
        <f>VLOOKUP(Primary_Order[[#This Row],[Product ID]],SKU[],10,0)</f>
        <v>Mineral</v>
      </c>
      <c r="AG338" s="206" t="str">
        <f>VLOOKUP(Primary_Order[[#This Row],[Product ID]],SKU[],9,0)</f>
        <v>MCO</v>
      </c>
      <c r="AH338" s="206" t="str">
        <f>VLOOKUP(Primary_Order[[#This Row],[Product ID]],SKU[],12,0)</f>
        <v>20W50</v>
      </c>
      <c r="AI338" s="206" t="str">
        <f>VLOOKUP(Primary_Order[[#This Row],[Product ID]],SKU[],13,0)</f>
        <v>3000</v>
      </c>
      <c r="AJ338" s="233">
        <f>VLOOKUP(Primary_Order[[#This Row],[Product ID]],SKU[[SKU ID]:[Bottle Size(Ltr)]],6,0)*Primary_Order[[#This Row],[Free Quantity]]</f>
        <v>0</v>
      </c>
      <c r="AK338" s="206" t="str">
        <f>VLOOKUP(Primary_Order[[#This Row],[Product ID]],SKU[[SKU ID]:[Bottle Size(Ltr)]],4,0)</f>
        <v>20x1L</v>
      </c>
      <c r="AL338" s="231">
        <f>VLOOKUP(Primary_Order[[#This Row],[Product ID]],SKU[],14,0)*Primary_Order[[#This Row],[Total Qty]]</f>
        <v>21895.200000000001</v>
      </c>
      <c r="AM338" s="231">
        <f>IF(Primary_Order[[#This Row],[Cost]]=0,0,Primary_Order[[#This Row],[Net Total(-15%)]]-Primary_Order[[#This Row],[Cost]])</f>
        <v>3148.2782608695634</v>
      </c>
      <c r="AN338" s="206" t="str">
        <f>"O-"&amp;Primary_Order[[#This Row],[Date]]&amp;"-"&amp;Primary_Order[[#This Row],[MMD ID]]</f>
        <v>O-45715-D-0001</v>
      </c>
      <c r="AO338" s="206" t="str" cm="1">
        <f t="array" ref="AO33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39" spans="1:41" x14ac:dyDescent="0.5">
      <c r="A339" s="206" t="s">
        <v>1371</v>
      </c>
      <c r="B339" s="230">
        <v>45715</v>
      </c>
      <c r="C339" s="206" t="s">
        <v>1131</v>
      </c>
      <c r="D339" s="206" t="s">
        <v>1256</v>
      </c>
      <c r="E339" s="206" t="s">
        <v>1257</v>
      </c>
      <c r="F339" s="206" t="s">
        <v>1258</v>
      </c>
      <c r="G339" s="206" t="s">
        <v>79</v>
      </c>
      <c r="H339" s="206" t="s">
        <v>40</v>
      </c>
      <c r="I339" s="206" t="s">
        <v>1256</v>
      </c>
      <c r="J339" s="206" t="s">
        <v>1257</v>
      </c>
      <c r="K339" s="206" t="s">
        <v>81</v>
      </c>
      <c r="L339" s="206" t="str">
        <f>VLOOKUP(Primary_Order[[#This Row],[Product ID]],SKU[],3,0)</f>
        <v>3000 4T 20W50</v>
      </c>
      <c r="M339" s="231">
        <v>2000</v>
      </c>
      <c r="N339" s="231">
        <v>440</v>
      </c>
      <c r="O339" s="231">
        <v>2000</v>
      </c>
      <c r="P339" s="232">
        <v>0</v>
      </c>
      <c r="Q339" s="231">
        <v>0</v>
      </c>
      <c r="R339" s="231">
        <v>440</v>
      </c>
      <c r="S339" s="231">
        <v>2000</v>
      </c>
      <c r="T339" s="231">
        <v>2000</v>
      </c>
      <c r="U339" s="231">
        <v>880000</v>
      </c>
      <c r="V339" s="231">
        <v>0</v>
      </c>
      <c r="W339" s="231">
        <v>880000</v>
      </c>
      <c r="X339" s="231">
        <v>114782.60869565218</v>
      </c>
      <c r="Y339" s="231">
        <v>765217.39130434778</v>
      </c>
      <c r="Z339" s="206" t="s">
        <v>882</v>
      </c>
      <c r="AA339" s="206">
        <v>659</v>
      </c>
      <c r="AB339" s="206" t="s">
        <v>1170</v>
      </c>
      <c r="AC339" s="230">
        <v>45733</v>
      </c>
      <c r="AD339" s="206" t="s">
        <v>1259</v>
      </c>
      <c r="AE339" s="206" t="str">
        <f>IFERROR(VLOOKUP(Primary_Order[[#This Row],[AM]],SP!$E$19:$F$23,2,0),Primary_Order[[#This Row],[AM]])</f>
        <v>Central</v>
      </c>
      <c r="AF339" s="206" t="str">
        <f>VLOOKUP(Primary_Order[[#This Row],[Product ID]],SKU[],10,0)</f>
        <v>Mineral</v>
      </c>
      <c r="AG339" s="206" t="str">
        <f>VLOOKUP(Primary_Order[[#This Row],[Product ID]],SKU[],9,0)</f>
        <v>MCO</v>
      </c>
      <c r="AH339" s="206" t="str">
        <f>VLOOKUP(Primary_Order[[#This Row],[Product ID]],SKU[],12,0)</f>
        <v>20W50</v>
      </c>
      <c r="AI339" s="206" t="str">
        <f>VLOOKUP(Primary_Order[[#This Row],[Product ID]],SKU[],13,0)</f>
        <v>3000</v>
      </c>
      <c r="AJ339" s="233">
        <f>VLOOKUP(Primary_Order[[#This Row],[Product ID]],SKU[[SKU ID]:[Bottle Size(Ltr)]],6,0)*Primary_Order[[#This Row],[Free Quantity]]</f>
        <v>0</v>
      </c>
      <c r="AK339" s="206" t="str">
        <f>VLOOKUP(Primary_Order[[#This Row],[Product ID]],SKU[[SKU ID]:[Bottle Size(Ltr)]],4,0)</f>
        <v>20x1L</v>
      </c>
      <c r="AL339" s="231">
        <f>VLOOKUP(Primary_Order[[#This Row],[Product ID]],SKU[],14,0)*Primary_Order[[#This Row],[Total Qty]]</f>
        <v>729840</v>
      </c>
      <c r="AM339" s="231">
        <f>IF(Primary_Order[[#This Row],[Cost]]=0,0,Primary_Order[[#This Row],[Net Total(-15%)]]-Primary_Order[[#This Row],[Cost]])</f>
        <v>35377.391304347781</v>
      </c>
      <c r="AN339" s="206" t="str">
        <f>"O-"&amp;Primary_Order[[#This Row],[Date]]&amp;"-"&amp;Primary_Order[[#This Row],[MMD ID]]</f>
        <v>O-45715-D-0055</v>
      </c>
      <c r="AO339" s="206" t="str" cm="1">
        <f t="array" ref="AO33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0" spans="1:41" x14ac:dyDescent="0.5">
      <c r="A340" s="206" t="s">
        <v>1400</v>
      </c>
      <c r="B340" s="230">
        <v>45715</v>
      </c>
      <c r="C340" s="206" t="s">
        <v>102</v>
      </c>
      <c r="D340" s="206" t="s">
        <v>46</v>
      </c>
      <c r="E340" s="206" t="s">
        <v>1047</v>
      </c>
      <c r="F340" s="206" t="s">
        <v>1048</v>
      </c>
      <c r="G340" s="206" t="s">
        <v>45</v>
      </c>
      <c r="H340" s="206" t="s">
        <v>28</v>
      </c>
      <c r="I340" s="206" t="s">
        <v>46</v>
      </c>
      <c r="J340" s="206" t="s">
        <v>47</v>
      </c>
      <c r="K340" s="206" t="s">
        <v>81</v>
      </c>
      <c r="L340" s="206" t="str">
        <f>VLOOKUP(Primary_Order[[#This Row],[Product ID]],SKU[],3,0)</f>
        <v>3000 4T 20W50</v>
      </c>
      <c r="M340" s="231">
        <v>500</v>
      </c>
      <c r="N340" s="231">
        <v>475</v>
      </c>
      <c r="O340" s="231">
        <v>500</v>
      </c>
      <c r="P340" s="232">
        <v>0</v>
      </c>
      <c r="Q340" s="231">
        <v>0</v>
      </c>
      <c r="R340" s="231">
        <v>475</v>
      </c>
      <c r="S340" s="231">
        <v>500</v>
      </c>
      <c r="T340" s="231">
        <v>500</v>
      </c>
      <c r="U340" s="231">
        <v>237500</v>
      </c>
      <c r="V340" s="231">
        <v>0</v>
      </c>
      <c r="W340" s="231">
        <v>237500</v>
      </c>
      <c r="X340" s="231">
        <v>30978.260869565216</v>
      </c>
      <c r="Y340" s="231">
        <v>206521.73913043478</v>
      </c>
      <c r="Z340" s="206" t="s">
        <v>882</v>
      </c>
      <c r="AA340" s="206">
        <v>660</v>
      </c>
      <c r="AB340" s="206" t="s">
        <v>641</v>
      </c>
      <c r="AC340" s="230">
        <v>45741</v>
      </c>
      <c r="AD340" s="206" t="s">
        <v>1268</v>
      </c>
      <c r="AE340" s="206" t="str">
        <f>IFERROR(VLOOKUP(Primary_Order[[#This Row],[AM]],SP!$E$19:$F$23,2,0),Primary_Order[[#This Row],[AM]])</f>
        <v>Eastern</v>
      </c>
      <c r="AF340" s="206" t="str">
        <f>VLOOKUP(Primary_Order[[#This Row],[Product ID]],SKU[],10,0)</f>
        <v>Mineral</v>
      </c>
      <c r="AG340" s="206" t="str">
        <f>VLOOKUP(Primary_Order[[#This Row],[Product ID]],SKU[],9,0)</f>
        <v>MCO</v>
      </c>
      <c r="AH340" s="206" t="str">
        <f>VLOOKUP(Primary_Order[[#This Row],[Product ID]],SKU[],12,0)</f>
        <v>20W50</v>
      </c>
      <c r="AI340" s="206" t="str">
        <f>VLOOKUP(Primary_Order[[#This Row],[Product ID]],SKU[],13,0)</f>
        <v>3000</v>
      </c>
      <c r="AJ340" s="233">
        <f>VLOOKUP(Primary_Order[[#This Row],[Product ID]],SKU[[SKU ID]:[Bottle Size(Ltr)]],6,0)*Primary_Order[[#This Row],[Free Quantity]]</f>
        <v>0</v>
      </c>
      <c r="AK340" s="206" t="str">
        <f>VLOOKUP(Primary_Order[[#This Row],[Product ID]],SKU[[SKU ID]:[Bottle Size(Ltr)]],4,0)</f>
        <v>20x1L</v>
      </c>
      <c r="AL340" s="231">
        <f>VLOOKUP(Primary_Order[[#This Row],[Product ID]],SKU[],14,0)*Primary_Order[[#This Row],[Total Qty]]</f>
        <v>182460</v>
      </c>
      <c r="AM340" s="231">
        <f>IF(Primary_Order[[#This Row],[Cost]]=0,0,Primary_Order[[#This Row],[Net Total(-15%)]]-Primary_Order[[#This Row],[Cost]])</f>
        <v>24061.739130434784</v>
      </c>
      <c r="AN340" s="206" t="str">
        <f>"O-"&amp;Primary_Order[[#This Row],[Date]]&amp;"-"&amp;Primary_Order[[#This Row],[MMD ID]]</f>
        <v>O-45715-D-0003</v>
      </c>
      <c r="AO340" s="206" t="str" cm="1">
        <f t="array" ref="AO34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1" spans="1:41" x14ac:dyDescent="0.5">
      <c r="A341" s="206" t="s">
        <v>1278</v>
      </c>
      <c r="B341" s="230">
        <v>45704</v>
      </c>
      <c r="C341" s="206"/>
      <c r="D341" s="206" t="s">
        <v>1280</v>
      </c>
      <c r="E341" s="206" t="s">
        <v>50</v>
      </c>
      <c r="F341" s="206" t="s">
        <v>50</v>
      </c>
      <c r="G341" s="206" t="s">
        <v>39</v>
      </c>
      <c r="H341" s="206" t="s">
        <v>40</v>
      </c>
      <c r="I341" s="206" t="s">
        <v>1280</v>
      </c>
      <c r="J341" s="206" t="s">
        <v>50</v>
      </c>
      <c r="K341" s="206" t="s">
        <v>156</v>
      </c>
      <c r="L341" s="206" t="str">
        <f>VLOOKUP(Primary_Order[[#This Row],[Product ID]],SKU[],3,0)</f>
        <v>2000 Multi Power 20W50</v>
      </c>
      <c r="M341" s="231"/>
      <c r="N341" s="231">
        <v>0</v>
      </c>
      <c r="O341" s="231"/>
      <c r="P341" s="232" t="s">
        <v>50</v>
      </c>
      <c r="Q341" s="231">
        <v>2</v>
      </c>
      <c r="R341" s="231">
        <v>0</v>
      </c>
      <c r="S341" s="231">
        <v>2</v>
      </c>
      <c r="T341" s="231">
        <v>8</v>
      </c>
      <c r="U341" s="231">
        <v>0</v>
      </c>
      <c r="V341" s="231">
        <v>0</v>
      </c>
      <c r="W341" s="231">
        <v>0</v>
      </c>
      <c r="X341" s="231">
        <v>0</v>
      </c>
      <c r="Y341" s="231">
        <v>0</v>
      </c>
      <c r="Z341" s="206" t="s">
        <v>1100</v>
      </c>
      <c r="AA341" s="206" t="s">
        <v>50</v>
      </c>
      <c r="AB341" s="206" t="s">
        <v>1170</v>
      </c>
      <c r="AC341" s="230">
        <v>45704</v>
      </c>
      <c r="AD341" s="206" t="s">
        <v>1277</v>
      </c>
      <c r="AE341" s="206" t="str">
        <f>IFERROR(VLOOKUP(Primary_Order[[#This Row],[AM]],SP!$E$19:$F$23,2,0),Primary_Order[[#This Row],[AM]])</f>
        <v>Central</v>
      </c>
      <c r="AF341" s="206" t="str">
        <f>VLOOKUP(Primary_Order[[#This Row],[Product ID]],SKU[],10,0)</f>
        <v>Mineral</v>
      </c>
      <c r="AG341" s="206" t="str">
        <f>VLOOKUP(Primary_Order[[#This Row],[Product ID]],SKU[],9,0)</f>
        <v>PCMO</v>
      </c>
      <c r="AH341" s="206" t="str">
        <f>VLOOKUP(Primary_Order[[#This Row],[Product ID]],SKU[],12,0)</f>
        <v>20W50</v>
      </c>
      <c r="AI341" s="206" t="str">
        <f>VLOOKUP(Primary_Order[[#This Row],[Product ID]],SKU[],13,0)</f>
        <v>2000</v>
      </c>
      <c r="AJ341" s="233">
        <f>VLOOKUP(Primary_Order[[#This Row],[Product ID]],SKU[[SKU ID]:[Bottle Size(Ltr)]],6,0)*Primary_Order[[#This Row],[Free Quantity]]</f>
        <v>8</v>
      </c>
      <c r="AK341" s="206" t="str">
        <f>VLOOKUP(Primary_Order[[#This Row],[Product ID]],SKU[[SKU ID]:[Bottle Size(Ltr)]],4,0)</f>
        <v>4X4L</v>
      </c>
      <c r="AL341" s="231">
        <f>VLOOKUP(Primary_Order[[#This Row],[Product ID]],SKU[],14,0)*Primary_Order[[#This Row],[Total Qty]]</f>
        <v>2190.9</v>
      </c>
      <c r="AM341" s="231">
        <f>IF(Primary_Order[[#This Row],[Cost]]=0,0,Primary_Order[[#This Row],[Net Total(-15%)]]-Primary_Order[[#This Row],[Cost]])</f>
        <v>-2190.9</v>
      </c>
      <c r="AN341" s="206" t="str">
        <f>"O-"&amp;Primary_Order[[#This Row],[Date]]&amp;"-"&amp;Primary_Order[[#This Row],[MMD ID]]</f>
        <v>O-45704-</v>
      </c>
      <c r="AO341" s="206" t="str" cm="1">
        <f t="array" ref="AO34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2" spans="1:41" x14ac:dyDescent="0.5">
      <c r="A342" s="206" t="s">
        <v>1278</v>
      </c>
      <c r="B342" s="230">
        <v>45704</v>
      </c>
      <c r="C342" s="206"/>
      <c r="D342" s="206" t="s">
        <v>1280</v>
      </c>
      <c r="E342" s="206" t="s">
        <v>50</v>
      </c>
      <c r="F342" s="206" t="s">
        <v>50</v>
      </c>
      <c r="G342" s="206" t="s">
        <v>39</v>
      </c>
      <c r="H342" s="206" t="s">
        <v>40</v>
      </c>
      <c r="I342" s="206" t="s">
        <v>1280</v>
      </c>
      <c r="J342" s="206" t="s">
        <v>50</v>
      </c>
      <c r="K342" s="206" t="s">
        <v>71</v>
      </c>
      <c r="L342" s="206" t="str">
        <f>VLOOKUP(Primary_Order[[#This Row],[Product ID]],SKU[],3,0)</f>
        <v>4000 Motion Plus 15W40</v>
      </c>
      <c r="M342" s="231"/>
      <c r="N342" s="231">
        <v>0</v>
      </c>
      <c r="O342" s="231"/>
      <c r="P342" s="232" t="s">
        <v>50</v>
      </c>
      <c r="Q342" s="231">
        <v>2</v>
      </c>
      <c r="R342" s="231">
        <v>0</v>
      </c>
      <c r="S342" s="231">
        <v>2</v>
      </c>
      <c r="T342" s="231">
        <v>8</v>
      </c>
      <c r="U342" s="231">
        <v>0</v>
      </c>
      <c r="V342" s="231">
        <v>0</v>
      </c>
      <c r="W342" s="231">
        <v>0</v>
      </c>
      <c r="X342" s="231">
        <v>0</v>
      </c>
      <c r="Y342" s="231">
        <v>0</v>
      </c>
      <c r="Z342" s="206" t="s">
        <v>1100</v>
      </c>
      <c r="AA342" s="206" t="s">
        <v>50</v>
      </c>
      <c r="AB342" s="206" t="s">
        <v>1170</v>
      </c>
      <c r="AC342" s="230">
        <v>45704</v>
      </c>
      <c r="AD342" s="206" t="s">
        <v>1277</v>
      </c>
      <c r="AE342" s="206" t="str">
        <f>IFERROR(VLOOKUP(Primary_Order[[#This Row],[AM]],SP!$E$19:$F$23,2,0),Primary_Order[[#This Row],[AM]])</f>
        <v>Central</v>
      </c>
      <c r="AF342" s="206" t="str">
        <f>VLOOKUP(Primary_Order[[#This Row],[Product ID]],SKU[],10,0)</f>
        <v>Mineral</v>
      </c>
      <c r="AG342" s="206" t="str">
        <f>VLOOKUP(Primary_Order[[#This Row],[Product ID]],SKU[],9,0)</f>
        <v>PCMO</v>
      </c>
      <c r="AH342" s="206" t="str">
        <f>VLOOKUP(Primary_Order[[#This Row],[Product ID]],SKU[],12,0)</f>
        <v>15W40</v>
      </c>
      <c r="AI342" s="206" t="str">
        <f>VLOOKUP(Primary_Order[[#This Row],[Product ID]],SKU[],13,0)</f>
        <v>4000</v>
      </c>
      <c r="AJ342" s="233">
        <f>VLOOKUP(Primary_Order[[#This Row],[Product ID]],SKU[[SKU ID]:[Bottle Size(Ltr)]],6,0)*Primary_Order[[#This Row],[Free Quantity]]</f>
        <v>8</v>
      </c>
      <c r="AK342" s="206" t="str">
        <f>VLOOKUP(Primary_Order[[#This Row],[Product ID]],SKU[[SKU ID]:[Bottle Size(Ltr)]],4,0)</f>
        <v>4x4L</v>
      </c>
      <c r="AL342" s="231">
        <f>VLOOKUP(Primary_Order[[#This Row],[Product ID]],SKU[],14,0)*Primary_Order[[#This Row],[Total Qty]]</f>
        <v>2645.54</v>
      </c>
      <c r="AM342" s="231">
        <f>IF(Primary_Order[[#This Row],[Cost]]=0,0,Primary_Order[[#This Row],[Net Total(-15%)]]-Primary_Order[[#This Row],[Cost]])</f>
        <v>-2645.54</v>
      </c>
      <c r="AN342" s="206" t="str">
        <f>"O-"&amp;Primary_Order[[#This Row],[Date]]&amp;"-"&amp;Primary_Order[[#This Row],[MMD ID]]</f>
        <v>O-45704-</v>
      </c>
      <c r="AO342" s="206" t="str" cm="1">
        <f t="array" ref="AO34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3" spans="1:41" x14ac:dyDescent="0.5">
      <c r="A343" s="206" t="s">
        <v>1281</v>
      </c>
      <c r="B343" s="230">
        <v>45718</v>
      </c>
      <c r="C343" s="206" t="s">
        <v>50</v>
      </c>
      <c r="D343" s="206" t="s">
        <v>1283</v>
      </c>
      <c r="E343" s="206" t="s">
        <v>50</v>
      </c>
      <c r="F343" s="206" t="s">
        <v>50</v>
      </c>
      <c r="G343" s="206" t="s">
        <v>87</v>
      </c>
      <c r="H343" s="206" t="s">
        <v>87</v>
      </c>
      <c r="I343" s="206" t="s">
        <v>1283</v>
      </c>
      <c r="J343" s="206" t="s">
        <v>52</v>
      </c>
      <c r="K343" s="206" t="s">
        <v>59</v>
      </c>
      <c r="L343" s="206" t="str">
        <f>VLOOKUP(Primary_Order[[#This Row],[Product ID]],SKU[],3,0)</f>
        <v>Scooter LE 4T 10W30 HC-TECH®</v>
      </c>
      <c r="M343" s="231"/>
      <c r="N343" s="231"/>
      <c r="O343" s="231"/>
      <c r="P343" s="232">
        <v>0</v>
      </c>
      <c r="Q343" s="231">
        <v>1</v>
      </c>
      <c r="R343" s="231"/>
      <c r="S343" s="231">
        <v>1</v>
      </c>
      <c r="T343" s="231">
        <v>0.8</v>
      </c>
      <c r="U343" s="231"/>
      <c r="V343" s="231">
        <v>0</v>
      </c>
      <c r="W343" s="231"/>
      <c r="X343" s="231"/>
      <c r="Y343" s="231"/>
      <c r="Z343" s="206" t="s">
        <v>1100</v>
      </c>
      <c r="AA343" s="206" t="s">
        <v>50</v>
      </c>
      <c r="AB343" s="206" t="s">
        <v>1170</v>
      </c>
      <c r="AC343" s="230">
        <v>45718</v>
      </c>
      <c r="AD343" s="206" t="s">
        <v>1284</v>
      </c>
      <c r="AE343" s="206" t="str">
        <f>IFERROR(VLOOKUP(Primary_Order[[#This Row],[AM]],SP!$E$19:$F$23,2,0),Primary_Order[[#This Row],[AM]])</f>
        <v>Captive Sales</v>
      </c>
      <c r="AF343" s="206" t="str">
        <f>VLOOKUP(Primary_Order[[#This Row],[Product ID]],SKU[],10,0)</f>
        <v>Mineral</v>
      </c>
      <c r="AG343" s="206" t="str">
        <f>VLOOKUP(Primary_Order[[#This Row],[Product ID]],SKU[],9,0)</f>
        <v>MCO</v>
      </c>
      <c r="AH343" s="206" t="str">
        <f>VLOOKUP(Primary_Order[[#This Row],[Product ID]],SKU[],12,0)</f>
        <v>10W30</v>
      </c>
      <c r="AI343" s="206" t="str">
        <f>VLOOKUP(Primary_Order[[#This Row],[Product ID]],SKU[],13,0)</f>
        <v>Scooter</v>
      </c>
      <c r="AJ343" s="233">
        <f>VLOOKUP(Primary_Order[[#This Row],[Product ID]],SKU[[SKU ID]:[Bottle Size(Ltr)]],6,0)*Primary_Order[[#This Row],[Free Quantity]]</f>
        <v>0.8</v>
      </c>
      <c r="AK343" s="206" t="str">
        <f>VLOOKUP(Primary_Order[[#This Row],[Product ID]],SKU[[SKU ID]:[Bottle Size(Ltr)]],4,0)</f>
        <v>20x0.8L</v>
      </c>
      <c r="AL343" s="231">
        <f>VLOOKUP(Primary_Order[[#This Row],[Product ID]],SKU[],14,0)*Primary_Order[[#This Row],[Total Qty]]</f>
        <v>333.33</v>
      </c>
      <c r="AM343" s="231">
        <f>IF(Primary_Order[[#This Row],[Cost]]=0,0,Primary_Order[[#This Row],[Net Total(-15%)]]-Primary_Order[[#This Row],[Cost]])</f>
        <v>-333.33</v>
      </c>
      <c r="AN343" s="206" t="str">
        <f>"O-"&amp;Primary_Order[[#This Row],[Date]]&amp;"-"&amp;Primary_Order[[#This Row],[MMD ID]]</f>
        <v>O-45718-</v>
      </c>
      <c r="AO343" s="206" t="str" cm="1">
        <f t="array" ref="AO34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4" spans="1:41" x14ac:dyDescent="0.5">
      <c r="A344" s="206" t="s">
        <v>1282</v>
      </c>
      <c r="B344" s="230">
        <v>45713</v>
      </c>
      <c r="C344" s="206" t="s">
        <v>50</v>
      </c>
      <c r="D344" s="206" t="s">
        <v>1283</v>
      </c>
      <c r="E344" s="206" t="s">
        <v>50</v>
      </c>
      <c r="F344" s="206" t="s">
        <v>50</v>
      </c>
      <c r="G344" s="206" t="s">
        <v>87</v>
      </c>
      <c r="H344" s="206" t="s">
        <v>87</v>
      </c>
      <c r="I344" s="206" t="s">
        <v>1283</v>
      </c>
      <c r="J344" s="206" t="s">
        <v>52</v>
      </c>
      <c r="K344" s="206" t="s">
        <v>81</v>
      </c>
      <c r="L344" s="206" t="str">
        <f>VLOOKUP(Primary_Order[[#This Row],[Product ID]],SKU[],3,0)</f>
        <v>3000 4T 20W50</v>
      </c>
      <c r="M344" s="231"/>
      <c r="N344" s="231"/>
      <c r="O344" s="231"/>
      <c r="P344" s="232">
        <v>0</v>
      </c>
      <c r="Q344" s="231">
        <v>2</v>
      </c>
      <c r="R344" s="231"/>
      <c r="S344" s="231">
        <v>2</v>
      </c>
      <c r="T344" s="231">
        <v>2</v>
      </c>
      <c r="U344" s="231"/>
      <c r="V344" s="231">
        <v>0</v>
      </c>
      <c r="W344" s="231"/>
      <c r="X344" s="231"/>
      <c r="Y344" s="231"/>
      <c r="Z344" s="206" t="s">
        <v>1100</v>
      </c>
      <c r="AA344" s="206" t="s">
        <v>50</v>
      </c>
      <c r="AB344" s="206" t="s">
        <v>1170</v>
      </c>
      <c r="AC344" s="230">
        <v>45718</v>
      </c>
      <c r="AD344" s="206" t="s">
        <v>1284</v>
      </c>
      <c r="AE344" s="206" t="str">
        <f>IFERROR(VLOOKUP(Primary_Order[[#This Row],[AM]],SP!$E$19:$F$23,2,0),Primary_Order[[#This Row],[AM]])</f>
        <v>Captive Sales</v>
      </c>
      <c r="AF344" s="206" t="str">
        <f>VLOOKUP(Primary_Order[[#This Row],[Product ID]],SKU[],10,0)</f>
        <v>Mineral</v>
      </c>
      <c r="AG344" s="206" t="str">
        <f>VLOOKUP(Primary_Order[[#This Row],[Product ID]],SKU[],9,0)</f>
        <v>MCO</v>
      </c>
      <c r="AH344" s="206" t="str">
        <f>VLOOKUP(Primary_Order[[#This Row],[Product ID]],SKU[],12,0)</f>
        <v>20W50</v>
      </c>
      <c r="AI344" s="206" t="str">
        <f>VLOOKUP(Primary_Order[[#This Row],[Product ID]],SKU[],13,0)</f>
        <v>3000</v>
      </c>
      <c r="AJ344" s="233">
        <f>VLOOKUP(Primary_Order[[#This Row],[Product ID]],SKU[[SKU ID]:[Bottle Size(Ltr)]],6,0)*Primary_Order[[#This Row],[Free Quantity]]</f>
        <v>2</v>
      </c>
      <c r="AK344" s="206" t="str">
        <f>VLOOKUP(Primary_Order[[#This Row],[Product ID]],SKU[[SKU ID]:[Bottle Size(Ltr)]],4,0)</f>
        <v>20x1L</v>
      </c>
      <c r="AL344" s="231">
        <f>VLOOKUP(Primary_Order[[#This Row],[Product ID]],SKU[],14,0)*Primary_Order[[#This Row],[Total Qty]]</f>
        <v>729.84</v>
      </c>
      <c r="AM344" s="231">
        <f>IF(Primary_Order[[#This Row],[Cost]]=0,0,Primary_Order[[#This Row],[Net Total(-15%)]]-Primary_Order[[#This Row],[Cost]])</f>
        <v>-729.84</v>
      </c>
      <c r="AN344" s="206" t="str">
        <f>"O-"&amp;Primary_Order[[#This Row],[Date]]&amp;"-"&amp;Primary_Order[[#This Row],[MMD ID]]</f>
        <v>O-45713-</v>
      </c>
      <c r="AO344" s="206" t="str" cm="1">
        <f t="array" ref="AO34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5" spans="1:41" x14ac:dyDescent="0.5">
      <c r="A345" s="206" t="s">
        <v>1301</v>
      </c>
      <c r="B345" s="230">
        <v>45718</v>
      </c>
      <c r="C345" s="206" t="s">
        <v>90</v>
      </c>
      <c r="D345" s="206" t="s">
        <v>91</v>
      </c>
      <c r="E345" s="206" t="s">
        <v>50</v>
      </c>
      <c r="F345" s="206" t="s">
        <v>50</v>
      </c>
      <c r="G345" s="206" t="s">
        <v>39</v>
      </c>
      <c r="H345" s="206" t="s">
        <v>40</v>
      </c>
      <c r="I345" s="206" t="s">
        <v>91</v>
      </c>
      <c r="J345" s="206" t="s">
        <v>93</v>
      </c>
      <c r="K345" s="206" t="s">
        <v>53</v>
      </c>
      <c r="L345" s="206" t="str">
        <f>VLOOKUP(Primary_Order[[#This Row],[Product ID]],SKU[],3,0)</f>
        <v>3000 4T PLUS 20W40</v>
      </c>
      <c r="M345" s="231">
        <v>300</v>
      </c>
      <c r="N345" s="231">
        <v>535</v>
      </c>
      <c r="O345" s="231">
        <v>300</v>
      </c>
      <c r="P345" s="232">
        <v>1.3084112149532756E-2</v>
      </c>
      <c r="Q345" s="231">
        <v>0</v>
      </c>
      <c r="R345" s="231">
        <v>528</v>
      </c>
      <c r="S345" s="231">
        <v>300</v>
      </c>
      <c r="T345" s="231">
        <v>300</v>
      </c>
      <c r="U345" s="231">
        <v>160500</v>
      </c>
      <c r="V345" s="231">
        <v>2100</v>
      </c>
      <c r="W345" s="231">
        <v>158400</v>
      </c>
      <c r="X345" s="231">
        <v>20660.869565217392</v>
      </c>
      <c r="Y345" s="231">
        <v>137739.13043478262</v>
      </c>
      <c r="Z345" s="206" t="s">
        <v>882</v>
      </c>
      <c r="AA345" s="206">
        <v>661</v>
      </c>
      <c r="AB345" s="206" t="s">
        <v>749</v>
      </c>
      <c r="AC345" s="230">
        <v>45718</v>
      </c>
      <c r="AD345" s="206" t="s">
        <v>1279</v>
      </c>
      <c r="AE345" s="206" t="str">
        <f>IFERROR(VLOOKUP(Primary_Order[[#This Row],[AM]],SP!$E$19:$F$23,2,0),Primary_Order[[#This Row],[AM]])</f>
        <v>Central</v>
      </c>
      <c r="AF345" s="206" t="str">
        <f>VLOOKUP(Primary_Order[[#This Row],[Product ID]],SKU[],10,0)</f>
        <v>Mineral</v>
      </c>
      <c r="AG345" s="206" t="str">
        <f>VLOOKUP(Primary_Order[[#This Row],[Product ID]],SKU[],9,0)</f>
        <v>MCO</v>
      </c>
      <c r="AH345" s="206" t="str">
        <f>VLOOKUP(Primary_Order[[#This Row],[Product ID]],SKU[],12,0)</f>
        <v>20W40</v>
      </c>
      <c r="AI345" s="206" t="str">
        <f>VLOOKUP(Primary_Order[[#This Row],[Product ID]],SKU[],13,0)</f>
        <v>3000</v>
      </c>
      <c r="AJ345" s="233">
        <f>VLOOKUP(Primary_Order[[#This Row],[Product ID]],SKU[[SKU ID]:[Bottle Size(Ltr)]],6,0)*Primary_Order[[#This Row],[Free Quantity]]</f>
        <v>0</v>
      </c>
      <c r="AK345" s="206" t="str">
        <f>VLOOKUP(Primary_Order[[#This Row],[Product ID]],SKU[[SKU ID]:[Bottle Size(Ltr)]],4,0)</f>
        <v>20x1L</v>
      </c>
      <c r="AL345" s="231">
        <f>VLOOKUP(Primary_Order[[#This Row],[Product ID]],SKU[],14,0)*Primary_Order[[#This Row],[Total Qty]]</f>
        <v>123828</v>
      </c>
      <c r="AM345" s="231">
        <f>IF(Primary_Order[[#This Row],[Cost]]=0,0,Primary_Order[[#This Row],[Net Total(-15%)]]-Primary_Order[[#This Row],[Cost]])</f>
        <v>13911.130434782623</v>
      </c>
      <c r="AN345" s="206" t="str">
        <f>"O-"&amp;Primary_Order[[#This Row],[Date]]&amp;"-"&amp;Primary_Order[[#This Row],[MMD ID]]</f>
        <v>O-45718-D-0006</v>
      </c>
      <c r="AO345" s="206" t="str" cm="1">
        <f t="array" ref="AO34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6" spans="1:41" x14ac:dyDescent="0.5">
      <c r="A346" s="206" t="s">
        <v>1302</v>
      </c>
      <c r="B346" s="230">
        <v>45720</v>
      </c>
      <c r="C346" s="206" t="s">
        <v>108</v>
      </c>
      <c r="D346" s="206" t="s">
        <v>1285</v>
      </c>
      <c r="E346" s="206" t="s">
        <v>1286</v>
      </c>
      <c r="F346" s="206">
        <v>1717220333</v>
      </c>
      <c r="G346" s="206" t="s">
        <v>280</v>
      </c>
      <c r="H346" s="206" t="s">
        <v>84</v>
      </c>
      <c r="I346" s="206" t="s">
        <v>109</v>
      </c>
      <c r="J346" s="206" t="s">
        <v>282</v>
      </c>
      <c r="K346" s="206" t="s">
        <v>53</v>
      </c>
      <c r="L346" s="206" t="str">
        <f>VLOOKUP(Primary_Order[[#This Row],[Product ID]],SKU[],3,0)</f>
        <v>3000 4T PLUS 20W40</v>
      </c>
      <c r="M346" s="231">
        <v>20</v>
      </c>
      <c r="N346" s="231">
        <v>535</v>
      </c>
      <c r="O346" s="231">
        <v>20</v>
      </c>
      <c r="P346" s="232">
        <v>9.3457943925233655E-3</v>
      </c>
      <c r="Q346" s="231">
        <v>0</v>
      </c>
      <c r="R346" s="231">
        <v>530</v>
      </c>
      <c r="S346" s="231">
        <v>20</v>
      </c>
      <c r="T346" s="231">
        <v>20</v>
      </c>
      <c r="U346" s="231">
        <v>10700</v>
      </c>
      <c r="V346" s="231">
        <v>0</v>
      </c>
      <c r="W346" s="231">
        <v>10600</v>
      </c>
      <c r="X346" s="231">
        <v>1382.608695652174</v>
      </c>
      <c r="Y346" s="231">
        <v>9217.391304347826</v>
      </c>
      <c r="Z346" s="206" t="s">
        <v>882</v>
      </c>
      <c r="AA346" s="206">
        <v>662</v>
      </c>
      <c r="AB346" s="206" t="s">
        <v>749</v>
      </c>
      <c r="AC346" s="230">
        <v>45721</v>
      </c>
      <c r="AD346" s="206" t="s">
        <v>50</v>
      </c>
      <c r="AE346" s="206" t="str">
        <f>IFERROR(VLOOKUP(Primary_Order[[#This Row],[AM]],SP!$E$19:$F$23,2,0),Primary_Order[[#This Row],[AM]])</f>
        <v>Northern</v>
      </c>
      <c r="AF346" s="206" t="str">
        <f>VLOOKUP(Primary_Order[[#This Row],[Product ID]],SKU[],10,0)</f>
        <v>Mineral</v>
      </c>
      <c r="AG346" s="206" t="str">
        <f>VLOOKUP(Primary_Order[[#This Row],[Product ID]],SKU[],9,0)</f>
        <v>MCO</v>
      </c>
      <c r="AH346" s="206" t="str">
        <f>VLOOKUP(Primary_Order[[#This Row],[Product ID]],SKU[],12,0)</f>
        <v>20W40</v>
      </c>
      <c r="AI346" s="206" t="str">
        <f>VLOOKUP(Primary_Order[[#This Row],[Product ID]],SKU[],13,0)</f>
        <v>3000</v>
      </c>
      <c r="AJ346" s="233">
        <f>VLOOKUP(Primary_Order[[#This Row],[Product ID]],SKU[[SKU ID]:[Bottle Size(Ltr)]],6,0)*Primary_Order[[#This Row],[Free Quantity]]</f>
        <v>0</v>
      </c>
      <c r="AK346" s="206" t="str">
        <f>VLOOKUP(Primary_Order[[#This Row],[Product ID]],SKU[[SKU ID]:[Bottle Size(Ltr)]],4,0)</f>
        <v>20x1L</v>
      </c>
      <c r="AL346" s="231">
        <f>VLOOKUP(Primary_Order[[#This Row],[Product ID]],SKU[],14,0)*Primary_Order[[#This Row],[Total Qty]]</f>
        <v>8255.2000000000007</v>
      </c>
      <c r="AM346" s="231">
        <f>IF(Primary_Order[[#This Row],[Cost]]=0,0,Primary_Order[[#This Row],[Net Total(-15%)]]-Primary_Order[[#This Row],[Cost]])</f>
        <v>962.19130434782528</v>
      </c>
      <c r="AN346" s="206" t="str">
        <f>"O-"&amp;Primary_Order[[#This Row],[Date]]&amp;"-"&amp;Primary_Order[[#This Row],[MMD ID]]</f>
        <v>O-45720-D-0023</v>
      </c>
      <c r="AO346" s="206" t="str" cm="1">
        <f t="array" ref="AO34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7" spans="1:41" x14ac:dyDescent="0.5">
      <c r="A347" s="206" t="s">
        <v>1302</v>
      </c>
      <c r="B347" s="230">
        <v>45720</v>
      </c>
      <c r="C347" s="206" t="s">
        <v>108</v>
      </c>
      <c r="D347" s="206" t="s">
        <v>1285</v>
      </c>
      <c r="E347" s="206" t="s">
        <v>1286</v>
      </c>
      <c r="F347" s="206">
        <v>1717220333</v>
      </c>
      <c r="G347" s="206" t="s">
        <v>280</v>
      </c>
      <c r="H347" s="206" t="s">
        <v>84</v>
      </c>
      <c r="I347" s="206" t="s">
        <v>109</v>
      </c>
      <c r="J347" s="206" t="s">
        <v>282</v>
      </c>
      <c r="K347" s="206" t="s">
        <v>54</v>
      </c>
      <c r="L347" s="206" t="str">
        <f>VLOOKUP(Primary_Order[[#This Row],[Product ID]],SKU[],3,0)</f>
        <v>3000 4T PLUS 10W40</v>
      </c>
      <c r="M347" s="231">
        <v>20</v>
      </c>
      <c r="N347" s="231">
        <v>545</v>
      </c>
      <c r="O347" s="231">
        <v>20</v>
      </c>
      <c r="P347" s="232">
        <v>9.1743119266054496E-3</v>
      </c>
      <c r="Q347" s="231">
        <v>0</v>
      </c>
      <c r="R347" s="231">
        <v>540</v>
      </c>
      <c r="S347" s="231">
        <v>20</v>
      </c>
      <c r="T347" s="231">
        <v>20</v>
      </c>
      <c r="U347" s="231">
        <v>10900</v>
      </c>
      <c r="V347" s="231">
        <v>0</v>
      </c>
      <c r="W347" s="231">
        <v>10800</v>
      </c>
      <c r="X347" s="231">
        <v>1408.695652173913</v>
      </c>
      <c r="Y347" s="231">
        <v>9391.3043478260861</v>
      </c>
      <c r="Z347" s="206" t="s">
        <v>882</v>
      </c>
      <c r="AA347" s="206">
        <v>662</v>
      </c>
      <c r="AB347" s="206" t="s">
        <v>749</v>
      </c>
      <c r="AC347" s="230">
        <v>45721</v>
      </c>
      <c r="AD347" s="206" t="s">
        <v>50</v>
      </c>
      <c r="AE347" s="206" t="str">
        <f>IFERROR(VLOOKUP(Primary_Order[[#This Row],[AM]],SP!$E$19:$F$23,2,0),Primary_Order[[#This Row],[AM]])</f>
        <v>Northern</v>
      </c>
      <c r="AF347" s="206" t="str">
        <f>VLOOKUP(Primary_Order[[#This Row],[Product ID]],SKU[],10,0)</f>
        <v>Mineral</v>
      </c>
      <c r="AG347" s="206" t="str">
        <f>VLOOKUP(Primary_Order[[#This Row],[Product ID]],SKU[],9,0)</f>
        <v>MCO</v>
      </c>
      <c r="AH347" s="206" t="str">
        <f>VLOOKUP(Primary_Order[[#This Row],[Product ID]],SKU[],12,0)</f>
        <v>10W40</v>
      </c>
      <c r="AI347" s="206" t="str">
        <f>VLOOKUP(Primary_Order[[#This Row],[Product ID]],SKU[],13,0)</f>
        <v>3000</v>
      </c>
      <c r="AJ347" s="233">
        <f>VLOOKUP(Primary_Order[[#This Row],[Product ID]],SKU[[SKU ID]:[Bottle Size(Ltr)]],6,0)*Primary_Order[[#This Row],[Free Quantity]]</f>
        <v>0</v>
      </c>
      <c r="AK347" s="206" t="str">
        <f>VLOOKUP(Primary_Order[[#This Row],[Product ID]],SKU[[SKU ID]:[Bottle Size(Ltr)]],4,0)</f>
        <v>20x1L</v>
      </c>
      <c r="AL347" s="231">
        <f>VLOOKUP(Primary_Order[[#This Row],[Product ID]],SKU[],14,0)*Primary_Order[[#This Row],[Total Qty]]</f>
        <v>7697</v>
      </c>
      <c r="AM347" s="231">
        <f>IF(Primary_Order[[#This Row],[Cost]]=0,0,Primary_Order[[#This Row],[Net Total(-15%)]]-Primary_Order[[#This Row],[Cost]])</f>
        <v>1694.3043478260861</v>
      </c>
      <c r="AN347" s="206" t="str">
        <f>"O-"&amp;Primary_Order[[#This Row],[Date]]&amp;"-"&amp;Primary_Order[[#This Row],[MMD ID]]</f>
        <v>O-45720-D-0023</v>
      </c>
      <c r="AO347" s="206" t="str" cm="1">
        <f t="array" ref="AO34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8" spans="1:41" x14ac:dyDescent="0.5">
      <c r="A348" s="206" t="s">
        <v>1302</v>
      </c>
      <c r="B348" s="230">
        <v>45720</v>
      </c>
      <c r="C348" s="206" t="s">
        <v>108</v>
      </c>
      <c r="D348" s="206" t="s">
        <v>1285</v>
      </c>
      <c r="E348" s="206" t="s">
        <v>1286</v>
      </c>
      <c r="F348" s="206">
        <v>1717220333</v>
      </c>
      <c r="G348" s="206" t="s">
        <v>280</v>
      </c>
      <c r="H348" s="206" t="s">
        <v>84</v>
      </c>
      <c r="I348" s="206" t="s">
        <v>109</v>
      </c>
      <c r="J348" s="206" t="s">
        <v>282</v>
      </c>
      <c r="K348" s="206" t="s">
        <v>75</v>
      </c>
      <c r="L348" s="206" t="str">
        <f>VLOOKUP(Primary_Order[[#This Row],[Product ID]],SKU[],3,0)</f>
        <v>31004T GOLD 20W50</v>
      </c>
      <c r="M348" s="231">
        <v>20</v>
      </c>
      <c r="N348" s="231">
        <v>595</v>
      </c>
      <c r="O348" s="231">
        <v>20</v>
      </c>
      <c r="P348" s="232">
        <v>8.4033613445377853E-3</v>
      </c>
      <c r="Q348" s="231">
        <v>0</v>
      </c>
      <c r="R348" s="231">
        <v>590</v>
      </c>
      <c r="S348" s="231">
        <v>20</v>
      </c>
      <c r="T348" s="231">
        <v>20</v>
      </c>
      <c r="U348" s="231">
        <v>11900</v>
      </c>
      <c r="V348" s="231">
        <v>0</v>
      </c>
      <c r="W348" s="231">
        <v>11800</v>
      </c>
      <c r="X348" s="231">
        <v>1539.1304347826087</v>
      </c>
      <c r="Y348" s="231">
        <v>10260.869565217392</v>
      </c>
      <c r="Z348" s="206" t="s">
        <v>882</v>
      </c>
      <c r="AA348" s="206">
        <v>662</v>
      </c>
      <c r="AB348" s="206" t="s">
        <v>749</v>
      </c>
      <c r="AC348" s="230">
        <v>45721</v>
      </c>
      <c r="AD348" s="206" t="s">
        <v>50</v>
      </c>
      <c r="AE348" s="206" t="str">
        <f>IFERROR(VLOOKUP(Primary_Order[[#This Row],[AM]],SP!$E$19:$F$23,2,0),Primary_Order[[#This Row],[AM]])</f>
        <v>Northern</v>
      </c>
      <c r="AF348" s="206" t="str">
        <f>VLOOKUP(Primary_Order[[#This Row],[Product ID]],SKU[],10,0)</f>
        <v>Technosynthese</v>
      </c>
      <c r="AG348" s="206" t="str">
        <f>VLOOKUP(Primary_Order[[#This Row],[Product ID]],SKU[],9,0)</f>
        <v>MCO</v>
      </c>
      <c r="AH348" s="206" t="str">
        <f>VLOOKUP(Primary_Order[[#This Row],[Product ID]],SKU[],12,0)</f>
        <v>20W50</v>
      </c>
      <c r="AI348" s="206" t="str">
        <f>VLOOKUP(Primary_Order[[#This Row],[Product ID]],SKU[],13,0)</f>
        <v>3100</v>
      </c>
      <c r="AJ348" s="233">
        <f>VLOOKUP(Primary_Order[[#This Row],[Product ID]],SKU[[SKU ID]:[Bottle Size(Ltr)]],6,0)*Primary_Order[[#This Row],[Free Quantity]]</f>
        <v>0</v>
      </c>
      <c r="AK348" s="206" t="str">
        <f>VLOOKUP(Primary_Order[[#This Row],[Product ID]],SKU[[SKU ID]:[Bottle Size(Ltr)]],4,0)</f>
        <v>20x1L</v>
      </c>
      <c r="AL348" s="231">
        <f>VLOOKUP(Primary_Order[[#This Row],[Product ID]],SKU[],14,0)*Primary_Order[[#This Row],[Total Qty]]</f>
        <v>9387.7999999999993</v>
      </c>
      <c r="AM348" s="231">
        <f>IF(Primary_Order[[#This Row],[Cost]]=0,0,Primary_Order[[#This Row],[Net Total(-15%)]]-Primary_Order[[#This Row],[Cost]])</f>
        <v>873.06956521739266</v>
      </c>
      <c r="AN348" s="206" t="str">
        <f>"O-"&amp;Primary_Order[[#This Row],[Date]]&amp;"-"&amp;Primary_Order[[#This Row],[MMD ID]]</f>
        <v>O-45720-D-0023</v>
      </c>
      <c r="AO348" s="206" t="str" cm="1">
        <f t="array" ref="AO34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49" spans="1:41" x14ac:dyDescent="0.5">
      <c r="A349" s="206" t="s">
        <v>1302</v>
      </c>
      <c r="B349" s="230">
        <v>45720</v>
      </c>
      <c r="C349" s="206" t="s">
        <v>108</v>
      </c>
      <c r="D349" s="206" t="s">
        <v>1285</v>
      </c>
      <c r="E349" s="206" t="s">
        <v>1286</v>
      </c>
      <c r="F349" s="206">
        <v>1717220333</v>
      </c>
      <c r="G349" s="206" t="s">
        <v>280</v>
      </c>
      <c r="H349" s="206" t="s">
        <v>84</v>
      </c>
      <c r="I349" s="206" t="s">
        <v>109</v>
      </c>
      <c r="J349" s="206" t="s">
        <v>282</v>
      </c>
      <c r="K349" s="206" t="s">
        <v>77</v>
      </c>
      <c r="L349" s="206" t="str">
        <f>VLOOKUP(Primary_Order[[#This Row],[Product ID]],SKU[],3,0)</f>
        <v>31004T GOLD 10W30</v>
      </c>
      <c r="M349" s="231">
        <v>20</v>
      </c>
      <c r="N349" s="231">
        <v>600</v>
      </c>
      <c r="O349" s="231">
        <v>20</v>
      </c>
      <c r="P349" s="232">
        <v>8.3333333333333037E-3</v>
      </c>
      <c r="Q349" s="231">
        <v>0</v>
      </c>
      <c r="R349" s="231">
        <v>595</v>
      </c>
      <c r="S349" s="231">
        <v>20</v>
      </c>
      <c r="T349" s="231">
        <v>20</v>
      </c>
      <c r="U349" s="231">
        <v>12000</v>
      </c>
      <c r="V349" s="231">
        <v>0</v>
      </c>
      <c r="W349" s="231">
        <v>11900</v>
      </c>
      <c r="X349" s="231">
        <v>1552.1739130434783</v>
      </c>
      <c r="Y349" s="231">
        <v>10347.826086956522</v>
      </c>
      <c r="Z349" s="206" t="s">
        <v>882</v>
      </c>
      <c r="AA349" s="206">
        <v>662</v>
      </c>
      <c r="AB349" s="206" t="s">
        <v>749</v>
      </c>
      <c r="AC349" s="230">
        <v>45721</v>
      </c>
      <c r="AD349" s="206" t="s">
        <v>50</v>
      </c>
      <c r="AE349" s="206" t="str">
        <f>IFERROR(VLOOKUP(Primary_Order[[#This Row],[AM]],SP!$E$19:$F$23,2,0),Primary_Order[[#This Row],[AM]])</f>
        <v>Northern</v>
      </c>
      <c r="AF349" s="206" t="str">
        <f>VLOOKUP(Primary_Order[[#This Row],[Product ID]],SKU[],10,0)</f>
        <v>Technosynthese</v>
      </c>
      <c r="AG349" s="206" t="str">
        <f>VLOOKUP(Primary_Order[[#This Row],[Product ID]],SKU[],9,0)</f>
        <v>MCO</v>
      </c>
      <c r="AH349" s="206" t="str">
        <f>VLOOKUP(Primary_Order[[#This Row],[Product ID]],SKU[],12,0)</f>
        <v>10W30</v>
      </c>
      <c r="AI349" s="206" t="str">
        <f>VLOOKUP(Primary_Order[[#This Row],[Product ID]],SKU[],13,0)</f>
        <v>3100</v>
      </c>
      <c r="AJ349" s="233">
        <f>VLOOKUP(Primary_Order[[#This Row],[Product ID]],SKU[[SKU ID]:[Bottle Size(Ltr)]],6,0)*Primary_Order[[#This Row],[Free Quantity]]</f>
        <v>0</v>
      </c>
      <c r="AK349" s="206" t="str">
        <f>VLOOKUP(Primary_Order[[#This Row],[Product ID]],SKU[[SKU ID]:[Bottle Size(Ltr)]],4,0)</f>
        <v>20x1L</v>
      </c>
      <c r="AL349" s="231">
        <f>VLOOKUP(Primary_Order[[#This Row],[Product ID]],SKU[],14,0)*Primary_Order[[#This Row],[Total Qty]]</f>
        <v>8502</v>
      </c>
      <c r="AM349" s="231">
        <f>IF(Primary_Order[[#This Row],[Cost]]=0,0,Primary_Order[[#This Row],[Net Total(-15%)]]-Primary_Order[[#This Row],[Cost]])</f>
        <v>1845.826086956522</v>
      </c>
      <c r="AN349" s="206" t="str">
        <f>"O-"&amp;Primary_Order[[#This Row],[Date]]&amp;"-"&amp;Primary_Order[[#This Row],[MMD ID]]</f>
        <v>O-45720-D-0023</v>
      </c>
      <c r="AO349" s="206" t="str" cm="1">
        <f t="array" ref="AO34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0" spans="1:41" x14ac:dyDescent="0.5">
      <c r="A350" s="206" t="s">
        <v>1302</v>
      </c>
      <c r="B350" s="230">
        <v>45720</v>
      </c>
      <c r="C350" s="206" t="s">
        <v>108</v>
      </c>
      <c r="D350" s="206" t="s">
        <v>1285</v>
      </c>
      <c r="E350" s="206" t="s">
        <v>1286</v>
      </c>
      <c r="F350" s="206">
        <v>1717220333</v>
      </c>
      <c r="G350" s="206" t="s">
        <v>280</v>
      </c>
      <c r="H350" s="206" t="s">
        <v>84</v>
      </c>
      <c r="I350" s="206" t="s">
        <v>109</v>
      </c>
      <c r="J350" s="206" t="s">
        <v>282</v>
      </c>
      <c r="K350" s="206" t="s">
        <v>56</v>
      </c>
      <c r="L350" s="206" t="str">
        <f>VLOOKUP(Primary_Order[[#This Row],[Product ID]],SKU[],3,0)</f>
        <v>7100 4T 10W30 ESTER CORE®</v>
      </c>
      <c r="M350" s="231">
        <v>12</v>
      </c>
      <c r="N350" s="231">
        <v>1075</v>
      </c>
      <c r="O350" s="231">
        <v>12</v>
      </c>
      <c r="P350" s="232">
        <v>4.6511627906976605E-3</v>
      </c>
      <c r="Q350" s="231">
        <v>0</v>
      </c>
      <c r="R350" s="231">
        <v>1070</v>
      </c>
      <c r="S350" s="231">
        <v>12</v>
      </c>
      <c r="T350" s="231">
        <v>12</v>
      </c>
      <c r="U350" s="231">
        <v>12900</v>
      </c>
      <c r="V350" s="231">
        <v>0</v>
      </c>
      <c r="W350" s="231">
        <v>12840</v>
      </c>
      <c r="X350" s="231">
        <v>1674.7826086956522</v>
      </c>
      <c r="Y350" s="231">
        <v>11165.217391304348</v>
      </c>
      <c r="Z350" s="206" t="s">
        <v>882</v>
      </c>
      <c r="AA350" s="206">
        <v>662</v>
      </c>
      <c r="AB350" s="206" t="s">
        <v>749</v>
      </c>
      <c r="AC350" s="230">
        <v>45721</v>
      </c>
      <c r="AD350" s="206" t="s">
        <v>50</v>
      </c>
      <c r="AE350" s="206" t="str">
        <f>IFERROR(VLOOKUP(Primary_Order[[#This Row],[AM]],SP!$E$19:$F$23,2,0),Primary_Order[[#This Row],[AM]])</f>
        <v>Northern</v>
      </c>
      <c r="AF350" s="206" t="str">
        <f>VLOOKUP(Primary_Order[[#This Row],[Product ID]],SKU[],10,0)</f>
        <v>Synthetic</v>
      </c>
      <c r="AG350" s="206" t="str">
        <f>VLOOKUP(Primary_Order[[#This Row],[Product ID]],SKU[],9,0)</f>
        <v>MCO</v>
      </c>
      <c r="AH350" s="206" t="str">
        <f>VLOOKUP(Primary_Order[[#This Row],[Product ID]],SKU[],12,0)</f>
        <v>10W30</v>
      </c>
      <c r="AI350" s="206" t="str">
        <f>VLOOKUP(Primary_Order[[#This Row],[Product ID]],SKU[],13,0)</f>
        <v>7100</v>
      </c>
      <c r="AJ350" s="233">
        <f>VLOOKUP(Primary_Order[[#This Row],[Product ID]],SKU[[SKU ID]:[Bottle Size(Ltr)]],6,0)*Primary_Order[[#This Row],[Free Quantity]]</f>
        <v>0</v>
      </c>
      <c r="AK350" s="206" t="str">
        <f>VLOOKUP(Primary_Order[[#This Row],[Product ID]],SKU[[SKU ID]:[Bottle Size(Ltr)]],4,0)</f>
        <v>12x1L</v>
      </c>
      <c r="AL350" s="231">
        <f>VLOOKUP(Primary_Order[[#This Row],[Product ID]],SKU[],14,0)*Primary_Order[[#This Row],[Total Qty]]</f>
        <v>8278.32</v>
      </c>
      <c r="AM350" s="231">
        <f>IF(Primary_Order[[#This Row],[Cost]]=0,0,Primary_Order[[#This Row],[Net Total(-15%)]]-Primary_Order[[#This Row],[Cost]])</f>
        <v>2886.8973913043483</v>
      </c>
      <c r="AN350" s="206" t="str">
        <f>"O-"&amp;Primary_Order[[#This Row],[Date]]&amp;"-"&amp;Primary_Order[[#This Row],[MMD ID]]</f>
        <v>O-45720-D-0023</v>
      </c>
      <c r="AO350" s="206" t="str" cm="1">
        <f t="array" ref="AO35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1" spans="1:41" x14ac:dyDescent="0.5">
      <c r="A351" s="206" t="s">
        <v>1302</v>
      </c>
      <c r="B351" s="230">
        <v>45720</v>
      </c>
      <c r="C351" s="206" t="s">
        <v>108</v>
      </c>
      <c r="D351" s="206" t="s">
        <v>1285</v>
      </c>
      <c r="E351" s="206" t="s">
        <v>1286</v>
      </c>
      <c r="F351" s="206">
        <v>1717220333</v>
      </c>
      <c r="G351" s="206" t="s">
        <v>280</v>
      </c>
      <c r="H351" s="206" t="s">
        <v>84</v>
      </c>
      <c r="I351" s="206" t="s">
        <v>109</v>
      </c>
      <c r="J351" s="206" t="s">
        <v>282</v>
      </c>
      <c r="K351" s="206" t="s">
        <v>58</v>
      </c>
      <c r="L351" s="206" t="str">
        <f>VLOOKUP(Primary_Order[[#This Row],[Product ID]],SKU[],3,0)</f>
        <v>7100 4T 20W50 ESTER CORE®</v>
      </c>
      <c r="M351" s="231">
        <v>12</v>
      </c>
      <c r="N351" s="231">
        <v>1075</v>
      </c>
      <c r="O351" s="231">
        <v>12</v>
      </c>
      <c r="P351" s="232">
        <v>4.6511627906976605E-3</v>
      </c>
      <c r="Q351" s="231">
        <v>0</v>
      </c>
      <c r="R351" s="231">
        <v>1070</v>
      </c>
      <c r="S351" s="231">
        <v>12</v>
      </c>
      <c r="T351" s="231">
        <v>12</v>
      </c>
      <c r="U351" s="231">
        <v>12900</v>
      </c>
      <c r="V351" s="231">
        <v>0</v>
      </c>
      <c r="W351" s="231">
        <v>12840</v>
      </c>
      <c r="X351" s="231">
        <v>1674.7826086956522</v>
      </c>
      <c r="Y351" s="231">
        <v>11165.217391304348</v>
      </c>
      <c r="Z351" s="206" t="s">
        <v>882</v>
      </c>
      <c r="AA351" s="206">
        <v>662</v>
      </c>
      <c r="AB351" s="206" t="s">
        <v>749</v>
      </c>
      <c r="AC351" s="230">
        <v>45721</v>
      </c>
      <c r="AD351" s="206" t="s">
        <v>50</v>
      </c>
      <c r="AE351" s="206" t="str">
        <f>IFERROR(VLOOKUP(Primary_Order[[#This Row],[AM]],SP!$E$19:$F$23,2,0),Primary_Order[[#This Row],[AM]])</f>
        <v>Northern</v>
      </c>
      <c r="AF351" s="206" t="str">
        <f>VLOOKUP(Primary_Order[[#This Row],[Product ID]],SKU[],10,0)</f>
        <v>Synthetic</v>
      </c>
      <c r="AG351" s="206" t="str">
        <f>VLOOKUP(Primary_Order[[#This Row],[Product ID]],SKU[],9,0)</f>
        <v>MCO</v>
      </c>
      <c r="AH351" s="206" t="str">
        <f>VLOOKUP(Primary_Order[[#This Row],[Product ID]],SKU[],12,0)</f>
        <v>20W50</v>
      </c>
      <c r="AI351" s="206" t="str">
        <f>VLOOKUP(Primary_Order[[#This Row],[Product ID]],SKU[],13,0)</f>
        <v>7100</v>
      </c>
      <c r="AJ351" s="233">
        <f>VLOOKUP(Primary_Order[[#This Row],[Product ID]],SKU[[SKU ID]:[Bottle Size(Ltr)]],6,0)*Primary_Order[[#This Row],[Free Quantity]]</f>
        <v>0</v>
      </c>
      <c r="AK351" s="206" t="str">
        <f>VLOOKUP(Primary_Order[[#This Row],[Product ID]],SKU[[SKU ID]:[Bottle Size(Ltr)]],4,0)</f>
        <v>12x1L</v>
      </c>
      <c r="AL351" s="231">
        <f>VLOOKUP(Primary_Order[[#This Row],[Product ID]],SKU[],14,0)*Primary_Order[[#This Row],[Total Qty]]</f>
        <v>9164.380799999999</v>
      </c>
      <c r="AM351" s="231">
        <f>IF(Primary_Order[[#This Row],[Cost]]=0,0,Primary_Order[[#This Row],[Net Total(-15%)]]-Primary_Order[[#This Row],[Cost]])</f>
        <v>2000.836591304349</v>
      </c>
      <c r="AN351" s="206" t="str">
        <f>"O-"&amp;Primary_Order[[#This Row],[Date]]&amp;"-"&amp;Primary_Order[[#This Row],[MMD ID]]</f>
        <v>O-45720-D-0023</v>
      </c>
      <c r="AO351" s="206" t="str" cm="1">
        <f t="array" ref="AO35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2" spans="1:41" x14ac:dyDescent="0.5">
      <c r="A352" s="206" t="s">
        <v>1302</v>
      </c>
      <c r="B352" s="230">
        <v>45720</v>
      </c>
      <c r="C352" s="206" t="s">
        <v>108</v>
      </c>
      <c r="D352" s="206" t="s">
        <v>1285</v>
      </c>
      <c r="E352" s="206" t="s">
        <v>1286</v>
      </c>
      <c r="F352" s="206">
        <v>1717220333</v>
      </c>
      <c r="G352" s="206" t="s">
        <v>280</v>
      </c>
      <c r="H352" s="206" t="s">
        <v>84</v>
      </c>
      <c r="I352" s="206" t="s">
        <v>109</v>
      </c>
      <c r="J352" s="206" t="s">
        <v>282</v>
      </c>
      <c r="K352" s="206" t="s">
        <v>81</v>
      </c>
      <c r="L352" s="206" t="str">
        <f>VLOOKUP(Primary_Order[[#This Row],[Product ID]],SKU[],3,0)</f>
        <v>3000 4T 20W50</v>
      </c>
      <c r="M352" s="231">
        <v>20</v>
      </c>
      <c r="N352" s="231">
        <v>495</v>
      </c>
      <c r="O352" s="231">
        <v>20</v>
      </c>
      <c r="P352" s="232">
        <v>1.0101010101010055E-2</v>
      </c>
      <c r="Q352" s="231">
        <v>0</v>
      </c>
      <c r="R352" s="231">
        <v>490</v>
      </c>
      <c r="S352" s="231">
        <v>20</v>
      </c>
      <c r="T352" s="231">
        <v>20</v>
      </c>
      <c r="U352" s="231">
        <v>9900</v>
      </c>
      <c r="V352" s="231">
        <v>0</v>
      </c>
      <c r="W352" s="231">
        <v>9800</v>
      </c>
      <c r="X352" s="231">
        <v>1278.2608695652175</v>
      </c>
      <c r="Y352" s="231">
        <v>8521.7391304347821</v>
      </c>
      <c r="Z352" s="206" t="s">
        <v>882</v>
      </c>
      <c r="AA352" s="206">
        <v>662</v>
      </c>
      <c r="AB352" s="206" t="s">
        <v>749</v>
      </c>
      <c r="AC352" s="230">
        <v>45721</v>
      </c>
      <c r="AD352" s="206" t="s">
        <v>50</v>
      </c>
      <c r="AE352" s="206" t="str">
        <f>IFERROR(VLOOKUP(Primary_Order[[#This Row],[AM]],SP!$E$19:$F$23,2,0),Primary_Order[[#This Row],[AM]])</f>
        <v>Northern</v>
      </c>
      <c r="AF352" s="206" t="str">
        <f>VLOOKUP(Primary_Order[[#This Row],[Product ID]],SKU[],10,0)</f>
        <v>Mineral</v>
      </c>
      <c r="AG352" s="206" t="str">
        <f>VLOOKUP(Primary_Order[[#This Row],[Product ID]],SKU[],9,0)</f>
        <v>MCO</v>
      </c>
      <c r="AH352" s="206" t="str">
        <f>VLOOKUP(Primary_Order[[#This Row],[Product ID]],SKU[],12,0)</f>
        <v>20W50</v>
      </c>
      <c r="AI352" s="206" t="str">
        <f>VLOOKUP(Primary_Order[[#This Row],[Product ID]],SKU[],13,0)</f>
        <v>3000</v>
      </c>
      <c r="AJ352" s="233">
        <f>VLOOKUP(Primary_Order[[#This Row],[Product ID]],SKU[[SKU ID]:[Bottle Size(Ltr)]],6,0)*Primary_Order[[#This Row],[Free Quantity]]</f>
        <v>0</v>
      </c>
      <c r="AK352" s="206" t="str">
        <f>VLOOKUP(Primary_Order[[#This Row],[Product ID]],SKU[[SKU ID]:[Bottle Size(Ltr)]],4,0)</f>
        <v>20x1L</v>
      </c>
      <c r="AL352" s="231">
        <f>VLOOKUP(Primary_Order[[#This Row],[Product ID]],SKU[],14,0)*Primary_Order[[#This Row],[Total Qty]]</f>
        <v>7298.4000000000005</v>
      </c>
      <c r="AM352" s="231">
        <f>IF(Primary_Order[[#This Row],[Cost]]=0,0,Primary_Order[[#This Row],[Net Total(-15%)]]-Primary_Order[[#This Row],[Cost]])</f>
        <v>1223.3391304347815</v>
      </c>
      <c r="AN352" s="206" t="str">
        <f>"O-"&amp;Primary_Order[[#This Row],[Date]]&amp;"-"&amp;Primary_Order[[#This Row],[MMD ID]]</f>
        <v>O-45720-D-0023</v>
      </c>
      <c r="AO352" s="206" t="str" cm="1">
        <f t="array" ref="AO35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3" spans="1:41" x14ac:dyDescent="0.5">
      <c r="A353" s="206" t="s">
        <v>1302</v>
      </c>
      <c r="B353" s="230">
        <v>45720</v>
      </c>
      <c r="C353" s="206" t="s">
        <v>108</v>
      </c>
      <c r="D353" s="206" t="s">
        <v>1285</v>
      </c>
      <c r="E353" s="206" t="s">
        <v>1286</v>
      </c>
      <c r="F353" s="206">
        <v>1717220333</v>
      </c>
      <c r="G353" s="206" t="s">
        <v>280</v>
      </c>
      <c r="H353" s="206" t="s">
        <v>84</v>
      </c>
      <c r="I353" s="206" t="s">
        <v>109</v>
      </c>
      <c r="J353" s="206" t="s">
        <v>282</v>
      </c>
      <c r="K353" s="206" t="s">
        <v>99</v>
      </c>
      <c r="L353" s="206" t="str">
        <f>VLOOKUP(Primary_Order[[#This Row],[Product ID]],SKU[],3,0)</f>
        <v>3000 4T 20W50</v>
      </c>
      <c r="M353" s="231">
        <v>20</v>
      </c>
      <c r="N353" s="231">
        <v>595</v>
      </c>
      <c r="O353" s="231">
        <v>24</v>
      </c>
      <c r="P353" s="232">
        <v>8.4033613445377853E-3</v>
      </c>
      <c r="Q353" s="231">
        <v>0</v>
      </c>
      <c r="R353" s="231">
        <v>590</v>
      </c>
      <c r="S353" s="231">
        <v>20</v>
      </c>
      <c r="T353" s="231">
        <v>24</v>
      </c>
      <c r="U353" s="231">
        <v>11900</v>
      </c>
      <c r="V353" s="231">
        <v>0</v>
      </c>
      <c r="W353" s="231">
        <v>11800</v>
      </c>
      <c r="X353" s="231">
        <v>1539.1304347826087</v>
      </c>
      <c r="Y353" s="231">
        <v>10260.869565217392</v>
      </c>
      <c r="Z353" s="206" t="s">
        <v>882</v>
      </c>
      <c r="AA353" s="206">
        <v>662</v>
      </c>
      <c r="AB353" s="206" t="s">
        <v>749</v>
      </c>
      <c r="AC353" s="230">
        <v>45721</v>
      </c>
      <c r="AD353" s="206" t="s">
        <v>50</v>
      </c>
      <c r="AE353" s="206" t="str">
        <f>IFERROR(VLOOKUP(Primary_Order[[#This Row],[AM]],SP!$E$19:$F$23,2,0),Primary_Order[[#This Row],[AM]])</f>
        <v>Northern</v>
      </c>
      <c r="AF353" s="206" t="str">
        <f>VLOOKUP(Primary_Order[[#This Row],[Product ID]],SKU[],10,0)</f>
        <v>Mineral</v>
      </c>
      <c r="AG353" s="206" t="str">
        <f>VLOOKUP(Primary_Order[[#This Row],[Product ID]],SKU[],9,0)</f>
        <v>MCO</v>
      </c>
      <c r="AH353" s="206" t="str">
        <f>VLOOKUP(Primary_Order[[#This Row],[Product ID]],SKU[],12,0)</f>
        <v>20W50</v>
      </c>
      <c r="AI353" s="206" t="str">
        <f>VLOOKUP(Primary_Order[[#This Row],[Product ID]],SKU[],13,0)</f>
        <v>3000</v>
      </c>
      <c r="AJ353" s="233">
        <f>VLOOKUP(Primary_Order[[#This Row],[Product ID]],SKU[[SKU ID]:[Bottle Size(Ltr)]],6,0)*Primary_Order[[#This Row],[Free Quantity]]</f>
        <v>0</v>
      </c>
      <c r="AK353" s="206" t="str">
        <f>VLOOKUP(Primary_Order[[#This Row],[Product ID]],SKU[[SKU ID]:[Bottle Size(Ltr)]],4,0)</f>
        <v>20x1.2L</v>
      </c>
      <c r="AL353" s="231">
        <f>VLOOKUP(Primary_Order[[#This Row],[Product ID]],SKU[],14,0)*Primary_Order[[#This Row],[Total Qty]]</f>
        <v>8692.2000000000007</v>
      </c>
      <c r="AM353" s="231">
        <f>IF(Primary_Order[[#This Row],[Cost]]=0,0,Primary_Order[[#This Row],[Net Total(-15%)]]-Primary_Order[[#This Row],[Cost]])</f>
        <v>1568.6695652173912</v>
      </c>
      <c r="AN353" s="206" t="str">
        <f>"O-"&amp;Primary_Order[[#This Row],[Date]]&amp;"-"&amp;Primary_Order[[#This Row],[MMD ID]]</f>
        <v>O-45720-D-0023</v>
      </c>
      <c r="AO353" s="206" t="str" cm="1">
        <f t="array" ref="AO35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4" spans="1:41" x14ac:dyDescent="0.5">
      <c r="A354" s="206" t="s">
        <v>1303</v>
      </c>
      <c r="B354" s="230">
        <v>45721</v>
      </c>
      <c r="C354" s="206" t="s">
        <v>139</v>
      </c>
      <c r="D354" s="206" t="s">
        <v>1289</v>
      </c>
      <c r="E354" s="206" t="s">
        <v>1290</v>
      </c>
      <c r="F354" s="206" t="s">
        <v>1291</v>
      </c>
      <c r="G354" s="206" t="s">
        <v>83</v>
      </c>
      <c r="H354" s="206" t="s">
        <v>84</v>
      </c>
      <c r="I354" s="206" t="s">
        <v>140</v>
      </c>
      <c r="J354" s="206" t="s">
        <v>479</v>
      </c>
      <c r="K354" s="206" t="s">
        <v>157</v>
      </c>
      <c r="L354" s="206" t="str">
        <f>VLOOKUP(Primary_Order[[#This Row],[Product ID]],SKU[],3,0)</f>
        <v>ECO TEC Plus 5W30</v>
      </c>
      <c r="M354" s="231">
        <v>12</v>
      </c>
      <c r="N354" s="231">
        <v>2600</v>
      </c>
      <c r="O354" s="231">
        <v>48</v>
      </c>
      <c r="P354" s="232">
        <v>0</v>
      </c>
      <c r="Q354" s="231">
        <v>0</v>
      </c>
      <c r="R354" s="231">
        <v>2600</v>
      </c>
      <c r="S354" s="231">
        <v>12</v>
      </c>
      <c r="T354" s="231">
        <v>48</v>
      </c>
      <c r="U354" s="231">
        <v>31200</v>
      </c>
      <c r="V354" s="231">
        <v>0</v>
      </c>
      <c r="W354" s="231">
        <v>31200</v>
      </c>
      <c r="X354" s="231">
        <v>4069.5652173913045</v>
      </c>
      <c r="Y354" s="231">
        <v>27130.434782608696</v>
      </c>
      <c r="Z354" s="206" t="s">
        <v>882</v>
      </c>
      <c r="AA354" s="206">
        <v>663</v>
      </c>
      <c r="AB354" s="206" t="s">
        <v>749</v>
      </c>
      <c r="AC354" s="230">
        <v>45721</v>
      </c>
      <c r="AD354" s="206" t="s">
        <v>50</v>
      </c>
      <c r="AE354" s="206" t="str">
        <f>IFERROR(VLOOKUP(Primary_Order[[#This Row],[AM]],SP!$E$19:$F$23,2,0),Primary_Order[[#This Row],[AM]])</f>
        <v>Northern</v>
      </c>
      <c r="AF354" s="206" t="str">
        <f>VLOOKUP(Primary_Order[[#This Row],[Product ID]],SKU[],10,0)</f>
        <v>Synthetic</v>
      </c>
      <c r="AG354" s="206" t="str">
        <f>VLOOKUP(Primary_Order[[#This Row],[Product ID]],SKU[],9,0)</f>
        <v>PCMO</v>
      </c>
      <c r="AH354" s="206" t="str">
        <f>VLOOKUP(Primary_Order[[#This Row],[Product ID]],SKU[],12,0)</f>
        <v>5W30</v>
      </c>
      <c r="AI354" s="206" t="str">
        <f>VLOOKUP(Primary_Order[[#This Row],[Product ID]],SKU[],13,0)</f>
        <v xml:space="preserve">ECO </v>
      </c>
      <c r="AJ354" s="233">
        <f>VLOOKUP(Primary_Order[[#This Row],[Product ID]],SKU[[SKU ID]:[Bottle Size(Ltr)]],6,0)*Primary_Order[[#This Row],[Free Quantity]]</f>
        <v>0</v>
      </c>
      <c r="AK354" s="206" t="str">
        <f>VLOOKUP(Primary_Order[[#This Row],[Product ID]],SKU[[SKU ID]:[Bottle Size(Ltr)]],4,0)</f>
        <v>4x4L</v>
      </c>
      <c r="AL354" s="231">
        <f>VLOOKUP(Primary_Order[[#This Row],[Product ID]],SKU[],14,0)*Primary_Order[[#This Row],[Total Qty]]</f>
        <v>22707.239999999998</v>
      </c>
      <c r="AM354" s="231">
        <f>IF(Primary_Order[[#This Row],[Cost]]=0,0,Primary_Order[[#This Row],[Net Total(-15%)]]-Primary_Order[[#This Row],[Cost]])</f>
        <v>4423.194782608698</v>
      </c>
      <c r="AN354" s="206" t="str">
        <f>"O-"&amp;Primary_Order[[#This Row],[Date]]&amp;"-"&amp;Primary_Order[[#This Row],[MMD ID]]</f>
        <v>O-45721-D-0005</v>
      </c>
      <c r="AO354" s="206" t="str" cm="1">
        <f t="array" ref="AO35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5" spans="1:41" x14ac:dyDescent="0.5">
      <c r="A355" s="206" t="s">
        <v>1304</v>
      </c>
      <c r="B355" s="230">
        <v>45721</v>
      </c>
      <c r="C355" s="206" t="s">
        <v>97</v>
      </c>
      <c r="D355" s="206" t="s">
        <v>1298</v>
      </c>
      <c r="E355" s="206" t="s">
        <v>1299</v>
      </c>
      <c r="F355" s="206">
        <v>1711154387</v>
      </c>
      <c r="G355" s="206" t="s">
        <v>709</v>
      </c>
      <c r="H355" s="206" t="s">
        <v>40</v>
      </c>
      <c r="I355" s="206" t="s">
        <v>98</v>
      </c>
      <c r="J355" s="206" t="s">
        <v>452</v>
      </c>
      <c r="K355" s="206" t="s">
        <v>31</v>
      </c>
      <c r="L355" s="206" t="str">
        <f>VLOOKUP(Primary_Order[[#This Row],[Product ID]],SKU[],3,0)</f>
        <v>3000 4T PLUS 10W30</v>
      </c>
      <c r="M355" s="231">
        <v>400</v>
      </c>
      <c r="N355" s="231">
        <v>520</v>
      </c>
      <c r="O355" s="231">
        <v>400</v>
      </c>
      <c r="P355" s="232">
        <v>0</v>
      </c>
      <c r="Q355" s="231">
        <v>0</v>
      </c>
      <c r="R355" s="231">
        <v>520</v>
      </c>
      <c r="S355" s="231">
        <v>400</v>
      </c>
      <c r="T355" s="231">
        <v>400</v>
      </c>
      <c r="U355" s="231">
        <v>208000</v>
      </c>
      <c r="V355" s="231">
        <v>0</v>
      </c>
      <c r="W355" s="231">
        <v>208000</v>
      </c>
      <c r="X355" s="231">
        <v>27130.434782608696</v>
      </c>
      <c r="Y355" s="231">
        <v>180869.5652173913</v>
      </c>
      <c r="Z355" s="206" t="s">
        <v>882</v>
      </c>
      <c r="AA355" s="206">
        <v>664</v>
      </c>
      <c r="AB355" s="206" t="s">
        <v>641</v>
      </c>
      <c r="AC355" s="230">
        <v>45721</v>
      </c>
      <c r="AD355" s="206" t="s">
        <v>50</v>
      </c>
      <c r="AE355" s="206" t="str">
        <f>IFERROR(VLOOKUP(Primary_Order[[#This Row],[AM]],SP!$E$19:$F$23,2,0),Primary_Order[[#This Row],[AM]])</f>
        <v>Central</v>
      </c>
      <c r="AF355" s="206" t="str">
        <f>VLOOKUP(Primary_Order[[#This Row],[Product ID]],SKU[],10,0)</f>
        <v>Mineral</v>
      </c>
      <c r="AG355" s="206" t="str">
        <f>VLOOKUP(Primary_Order[[#This Row],[Product ID]],SKU[],9,0)</f>
        <v>MCO</v>
      </c>
      <c r="AH355" s="206" t="str">
        <f>VLOOKUP(Primary_Order[[#This Row],[Product ID]],SKU[],12,0)</f>
        <v>10W30</v>
      </c>
      <c r="AI355" s="206" t="str">
        <f>VLOOKUP(Primary_Order[[#This Row],[Product ID]],SKU[],13,0)</f>
        <v>3000</v>
      </c>
      <c r="AJ355" s="233">
        <f>VLOOKUP(Primary_Order[[#This Row],[Product ID]],SKU[[SKU ID]:[Bottle Size(Ltr)]],6,0)*Primary_Order[[#This Row],[Free Quantity]]</f>
        <v>0</v>
      </c>
      <c r="AK355" s="206" t="str">
        <f>VLOOKUP(Primary_Order[[#This Row],[Product ID]],SKU[[SKU ID]:[Bottle Size(Ltr)]],4,0)</f>
        <v>20x1L</v>
      </c>
      <c r="AL355" s="231">
        <f>VLOOKUP(Primary_Order[[#This Row],[Product ID]],SKU[],14,0)*Primary_Order[[#This Row],[Total Qty]]</f>
        <v>151732</v>
      </c>
      <c r="AM355" s="231">
        <f>IF(Primary_Order[[#This Row],[Cost]]=0,0,Primary_Order[[#This Row],[Net Total(-15%)]]-Primary_Order[[#This Row],[Cost]])</f>
        <v>29137.565217391297</v>
      </c>
      <c r="AN355" s="206" t="str">
        <f>"O-"&amp;Primary_Order[[#This Row],[Date]]&amp;"-"&amp;Primary_Order[[#This Row],[MMD ID]]</f>
        <v>O-45721-D-0001</v>
      </c>
      <c r="AO355" s="206" t="str" cm="1">
        <f t="array" ref="AO35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6" spans="1:41" x14ac:dyDescent="0.5">
      <c r="A356" s="206" t="s">
        <v>1304</v>
      </c>
      <c r="B356" s="230">
        <v>45721</v>
      </c>
      <c r="C356" s="206" t="s">
        <v>97</v>
      </c>
      <c r="D356" s="206" t="s">
        <v>1298</v>
      </c>
      <c r="E356" s="206" t="s">
        <v>1299</v>
      </c>
      <c r="F356" s="206">
        <v>1711154387</v>
      </c>
      <c r="G356" s="206" t="s">
        <v>709</v>
      </c>
      <c r="H356" s="206" t="s">
        <v>40</v>
      </c>
      <c r="I356" s="206" t="s">
        <v>98</v>
      </c>
      <c r="J356" s="206" t="s">
        <v>452</v>
      </c>
      <c r="K356" s="206" t="s">
        <v>54</v>
      </c>
      <c r="L356" s="206" t="str">
        <f>VLOOKUP(Primary_Order[[#This Row],[Product ID]],SKU[],3,0)</f>
        <v>3000 4T PLUS 10W40</v>
      </c>
      <c r="M356" s="231">
        <v>1600</v>
      </c>
      <c r="N356" s="231">
        <v>520</v>
      </c>
      <c r="O356" s="231">
        <v>1600</v>
      </c>
      <c r="P356" s="232">
        <v>0</v>
      </c>
      <c r="Q356" s="231">
        <v>0</v>
      </c>
      <c r="R356" s="231">
        <v>520</v>
      </c>
      <c r="S356" s="231">
        <v>1600</v>
      </c>
      <c r="T356" s="231">
        <v>1600</v>
      </c>
      <c r="U356" s="231">
        <v>832000</v>
      </c>
      <c r="V356" s="231">
        <v>0</v>
      </c>
      <c r="W356" s="231">
        <v>832000</v>
      </c>
      <c r="X356" s="231">
        <v>108521.73913043478</v>
      </c>
      <c r="Y356" s="231">
        <v>723478.26086956519</v>
      </c>
      <c r="Z356" s="206" t="s">
        <v>882</v>
      </c>
      <c r="AA356" s="206">
        <v>664</v>
      </c>
      <c r="AB356" s="206" t="s">
        <v>641</v>
      </c>
      <c r="AC356" s="230">
        <v>45721</v>
      </c>
      <c r="AD356" s="206" t="s">
        <v>50</v>
      </c>
      <c r="AE356" s="206" t="str">
        <f>IFERROR(VLOOKUP(Primary_Order[[#This Row],[AM]],SP!$E$19:$F$23,2,0),Primary_Order[[#This Row],[AM]])</f>
        <v>Central</v>
      </c>
      <c r="AF356" s="206" t="str">
        <f>VLOOKUP(Primary_Order[[#This Row],[Product ID]],SKU[],10,0)</f>
        <v>Mineral</v>
      </c>
      <c r="AG356" s="206" t="str">
        <f>VLOOKUP(Primary_Order[[#This Row],[Product ID]],SKU[],9,0)</f>
        <v>MCO</v>
      </c>
      <c r="AH356" s="206" t="str">
        <f>VLOOKUP(Primary_Order[[#This Row],[Product ID]],SKU[],12,0)</f>
        <v>10W40</v>
      </c>
      <c r="AI356" s="206" t="str">
        <f>VLOOKUP(Primary_Order[[#This Row],[Product ID]],SKU[],13,0)</f>
        <v>3000</v>
      </c>
      <c r="AJ356" s="233">
        <f>VLOOKUP(Primary_Order[[#This Row],[Product ID]],SKU[[SKU ID]:[Bottle Size(Ltr)]],6,0)*Primary_Order[[#This Row],[Free Quantity]]</f>
        <v>0</v>
      </c>
      <c r="AK356" s="206" t="str">
        <f>VLOOKUP(Primary_Order[[#This Row],[Product ID]],SKU[[SKU ID]:[Bottle Size(Ltr)]],4,0)</f>
        <v>20x1L</v>
      </c>
      <c r="AL356" s="231">
        <f>VLOOKUP(Primary_Order[[#This Row],[Product ID]],SKU[],14,0)*Primary_Order[[#This Row],[Total Qty]]</f>
        <v>615760</v>
      </c>
      <c r="AM356" s="231">
        <f>IF(Primary_Order[[#This Row],[Cost]]=0,0,Primary_Order[[#This Row],[Net Total(-15%)]]-Primary_Order[[#This Row],[Cost]])</f>
        <v>107718.26086956519</v>
      </c>
      <c r="AN356" s="206" t="str">
        <f>"O-"&amp;Primary_Order[[#This Row],[Date]]&amp;"-"&amp;Primary_Order[[#This Row],[MMD ID]]</f>
        <v>O-45721-D-0001</v>
      </c>
      <c r="AO356" s="206" t="str" cm="1">
        <f t="array" ref="AO35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7" spans="1:41" x14ac:dyDescent="0.5">
      <c r="A357" s="206" t="s">
        <v>1304</v>
      </c>
      <c r="B357" s="230">
        <v>45721</v>
      </c>
      <c r="C357" s="206" t="s">
        <v>97</v>
      </c>
      <c r="D357" s="206" t="s">
        <v>1298</v>
      </c>
      <c r="E357" s="206" t="s">
        <v>1299</v>
      </c>
      <c r="F357" s="206">
        <v>1711154387</v>
      </c>
      <c r="G357" s="206" t="s">
        <v>709</v>
      </c>
      <c r="H357" s="206" t="s">
        <v>40</v>
      </c>
      <c r="I357" s="206" t="s">
        <v>98</v>
      </c>
      <c r="J357" s="206" t="s">
        <v>452</v>
      </c>
      <c r="K357" s="206" t="s">
        <v>152</v>
      </c>
      <c r="L357" s="206" t="str">
        <f>VLOOKUP(Primary_Order[[#This Row],[Product ID]],SKU[],3,0)</f>
        <v>Inugel Expert Coolant</v>
      </c>
      <c r="M357" s="231">
        <v>120</v>
      </c>
      <c r="N357" s="231">
        <v>420</v>
      </c>
      <c r="O357" s="231">
        <v>120</v>
      </c>
      <c r="P357" s="232">
        <v>0</v>
      </c>
      <c r="Q357" s="231">
        <v>0</v>
      </c>
      <c r="R357" s="231">
        <v>420</v>
      </c>
      <c r="S357" s="231">
        <v>120</v>
      </c>
      <c r="T357" s="231">
        <v>120</v>
      </c>
      <c r="U357" s="231">
        <v>50400</v>
      </c>
      <c r="V357" s="231">
        <v>0</v>
      </c>
      <c r="W357" s="231">
        <v>50400</v>
      </c>
      <c r="X357" s="231">
        <v>6573.913043478261</v>
      </c>
      <c r="Y357" s="231">
        <v>43826.086956521736</v>
      </c>
      <c r="Z357" s="206" t="s">
        <v>882</v>
      </c>
      <c r="AA357" s="206">
        <v>664</v>
      </c>
      <c r="AB357" s="206" t="s">
        <v>641</v>
      </c>
      <c r="AC357" s="230">
        <v>45721</v>
      </c>
      <c r="AD357" s="206" t="s">
        <v>50</v>
      </c>
      <c r="AE357" s="206" t="str">
        <f>IFERROR(VLOOKUP(Primary_Order[[#This Row],[AM]],SP!$E$19:$F$23,2,0),Primary_Order[[#This Row],[AM]])</f>
        <v>Central</v>
      </c>
      <c r="AF357" s="206" t="str">
        <f>VLOOKUP(Primary_Order[[#This Row],[Product ID]],SKU[],10,0)</f>
        <v>Care Products</v>
      </c>
      <c r="AG357" s="206" t="str">
        <f>VLOOKUP(Primary_Order[[#This Row],[Product ID]],SKU[],9,0)</f>
        <v>Care Products</v>
      </c>
      <c r="AH357" s="206" t="str">
        <f>VLOOKUP(Primary_Order[[#This Row],[Product ID]],SKU[],12,0)</f>
        <v>Care Products</v>
      </c>
      <c r="AI357" s="206" t="str">
        <f>VLOOKUP(Primary_Order[[#This Row],[Product ID]],SKU[],13,0)</f>
        <v>Coolant</v>
      </c>
      <c r="AJ357" s="233">
        <f>VLOOKUP(Primary_Order[[#This Row],[Product ID]],SKU[[SKU ID]:[Bottle Size(Ltr)]],6,0)*Primary_Order[[#This Row],[Free Quantity]]</f>
        <v>0</v>
      </c>
      <c r="AK357" s="206" t="str">
        <f>VLOOKUP(Primary_Order[[#This Row],[Product ID]],SKU[[SKU ID]:[Bottle Size(Ltr)]],4,0)</f>
        <v>20x1L</v>
      </c>
      <c r="AL357" s="231">
        <f>VLOOKUP(Primary_Order[[#This Row],[Product ID]],SKU[],14,0)*Primary_Order[[#This Row],[Total Qty]]</f>
        <v>27676.799999999999</v>
      </c>
      <c r="AM357" s="231">
        <f>IF(Primary_Order[[#This Row],[Cost]]=0,0,Primary_Order[[#This Row],[Net Total(-15%)]]-Primary_Order[[#This Row],[Cost]])</f>
        <v>16149.286956521737</v>
      </c>
      <c r="AN357" s="206" t="str">
        <f>"O-"&amp;Primary_Order[[#This Row],[Date]]&amp;"-"&amp;Primary_Order[[#This Row],[MMD ID]]</f>
        <v>O-45721-D-0001</v>
      </c>
      <c r="AO357" s="206" t="str" cm="1">
        <f t="array" ref="AO35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58" spans="1:41" x14ac:dyDescent="0.5">
      <c r="A358" s="206" t="s">
        <v>1307</v>
      </c>
      <c r="B358" s="230">
        <f>'Stock Report'!$B$83</f>
        <v>47847</v>
      </c>
      <c r="C358" s="206" t="s">
        <v>90</v>
      </c>
      <c r="D358" s="206" t="s">
        <v>1308</v>
      </c>
      <c r="E358" s="206" t="s">
        <v>700</v>
      </c>
      <c r="F358" s="206" t="s">
        <v>50</v>
      </c>
      <c r="G358" s="206" t="s">
        <v>39</v>
      </c>
      <c r="H358" s="206" t="s">
        <v>40</v>
      </c>
      <c r="I358" s="206" t="s">
        <v>91</v>
      </c>
      <c r="J358" s="206" t="s">
        <v>93</v>
      </c>
      <c r="K358" s="206" t="s">
        <v>31</v>
      </c>
      <c r="L358" s="206" t="str">
        <f>VLOOKUP(Primary_Order[[#This Row],[Product ID]],SKU[],3,0)</f>
        <v>3000 4T PLUS 10W30</v>
      </c>
      <c r="M358" s="231">
        <v>40</v>
      </c>
      <c r="N358" s="231">
        <v>545</v>
      </c>
      <c r="O358" s="231">
        <v>40</v>
      </c>
      <c r="P358" s="232">
        <v>0</v>
      </c>
      <c r="Q358" s="231">
        <v>0</v>
      </c>
      <c r="R358" s="231">
        <v>545</v>
      </c>
      <c r="S358" s="231">
        <v>40</v>
      </c>
      <c r="T358" s="231">
        <v>40</v>
      </c>
      <c r="U358" s="231">
        <v>21800</v>
      </c>
      <c r="V358" s="231">
        <v>0</v>
      </c>
      <c r="W358" s="231">
        <v>21800</v>
      </c>
      <c r="X358" s="231">
        <v>2843.478260869565</v>
      </c>
      <c r="Y358" s="231">
        <v>18956.521739130436</v>
      </c>
      <c r="Z358" s="206" t="s">
        <v>882</v>
      </c>
      <c r="AA358" s="206" t="s">
        <v>50</v>
      </c>
      <c r="AB358" s="206" t="s">
        <v>1170</v>
      </c>
      <c r="AC358" s="230" t="s">
        <v>50</v>
      </c>
      <c r="AD358" s="206" t="s">
        <v>1320</v>
      </c>
      <c r="AE358" s="206" t="str">
        <f>IFERROR(VLOOKUP(Primary_Order[[#This Row],[AM]],SP!$E$19:$F$23,2,0),Primary_Order[[#This Row],[AM]])</f>
        <v>Central</v>
      </c>
      <c r="AF358" s="206" t="str">
        <f>VLOOKUP(Primary_Order[[#This Row],[Product ID]],SKU[],10,0)</f>
        <v>Mineral</v>
      </c>
      <c r="AG358" s="206" t="str">
        <f>VLOOKUP(Primary_Order[[#This Row],[Product ID]],SKU[],9,0)</f>
        <v>MCO</v>
      </c>
      <c r="AH358" s="206" t="str">
        <f>VLOOKUP(Primary_Order[[#This Row],[Product ID]],SKU[],12,0)</f>
        <v>10W30</v>
      </c>
      <c r="AI358" s="206" t="str">
        <f>VLOOKUP(Primary_Order[[#This Row],[Product ID]],SKU[],13,0)</f>
        <v>3000</v>
      </c>
      <c r="AJ358" s="233">
        <f>VLOOKUP(Primary_Order[[#This Row],[Product ID]],SKU[[SKU ID]:[Bottle Size(Ltr)]],6,0)*Primary_Order[[#This Row],[Free Quantity]]</f>
        <v>0</v>
      </c>
      <c r="AK358" s="206" t="str">
        <f>VLOOKUP(Primary_Order[[#This Row],[Product ID]],SKU[[SKU ID]:[Bottle Size(Ltr)]],4,0)</f>
        <v>20x1L</v>
      </c>
      <c r="AL358" s="231">
        <f>VLOOKUP(Primary_Order[[#This Row],[Product ID]],SKU[],14,0)*Primary_Order[[#This Row],[Total Qty]]</f>
        <v>15173.199999999999</v>
      </c>
      <c r="AM358" s="231">
        <f>IF(Primary_Order[[#This Row],[Cost]]=0,0,Primary_Order[[#This Row],[Net Total(-15%)]]-Primary_Order[[#This Row],[Cost]])</f>
        <v>3783.321739130437</v>
      </c>
      <c r="AN358" s="206" t="str">
        <f>"O-"&amp;Primary_Order[[#This Row],[Date]]&amp;"-"&amp;Primary_Order[[#This Row],[MMD ID]]</f>
        <v>O-47847-D-0006</v>
      </c>
      <c r="AO358" s="206" t="str" cm="1">
        <f t="array" ref="AO35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59" spans="1:41" x14ac:dyDescent="0.5">
      <c r="A359" s="206" t="s">
        <v>1307</v>
      </c>
      <c r="B359" s="230">
        <f>'Stock Report'!$B$83</f>
        <v>47847</v>
      </c>
      <c r="C359" s="206" t="s">
        <v>90</v>
      </c>
      <c r="D359" s="206" t="s">
        <v>1308</v>
      </c>
      <c r="E359" s="206" t="s">
        <v>700</v>
      </c>
      <c r="F359" s="206" t="s">
        <v>50</v>
      </c>
      <c r="G359" s="206" t="s">
        <v>39</v>
      </c>
      <c r="H359" s="206" t="s">
        <v>40</v>
      </c>
      <c r="I359" s="206" t="s">
        <v>91</v>
      </c>
      <c r="J359" s="206" t="s">
        <v>93</v>
      </c>
      <c r="K359" s="206" t="s">
        <v>53</v>
      </c>
      <c r="L359" s="206" t="str">
        <f>VLOOKUP(Primary_Order[[#This Row],[Product ID]],SKU[],3,0)</f>
        <v>3000 4T PLUS 20W40</v>
      </c>
      <c r="M359" s="231">
        <v>20</v>
      </c>
      <c r="N359" s="231">
        <v>545</v>
      </c>
      <c r="O359" s="231">
        <v>20</v>
      </c>
      <c r="P359" s="232">
        <v>0</v>
      </c>
      <c r="Q359" s="231">
        <v>0</v>
      </c>
      <c r="R359" s="231">
        <v>545</v>
      </c>
      <c r="S359" s="231">
        <v>20</v>
      </c>
      <c r="T359" s="231">
        <v>20</v>
      </c>
      <c r="U359" s="231">
        <v>10900</v>
      </c>
      <c r="V359" s="231">
        <v>0</v>
      </c>
      <c r="W359" s="231">
        <v>10900</v>
      </c>
      <c r="X359" s="231">
        <v>1421.7391304347825</v>
      </c>
      <c r="Y359" s="231">
        <v>9478.2608695652179</v>
      </c>
      <c r="Z359" s="206" t="s">
        <v>882</v>
      </c>
      <c r="AA359" s="206" t="s">
        <v>50</v>
      </c>
      <c r="AB359" s="206" t="s">
        <v>1170</v>
      </c>
      <c r="AC359" s="230" t="s">
        <v>50</v>
      </c>
      <c r="AD359" s="206" t="s">
        <v>1320</v>
      </c>
      <c r="AE359" s="206" t="str">
        <f>IFERROR(VLOOKUP(Primary_Order[[#This Row],[AM]],SP!$E$19:$F$23,2,0),Primary_Order[[#This Row],[AM]])</f>
        <v>Central</v>
      </c>
      <c r="AF359" s="206" t="str">
        <f>VLOOKUP(Primary_Order[[#This Row],[Product ID]],SKU[],10,0)</f>
        <v>Mineral</v>
      </c>
      <c r="AG359" s="206" t="str">
        <f>VLOOKUP(Primary_Order[[#This Row],[Product ID]],SKU[],9,0)</f>
        <v>MCO</v>
      </c>
      <c r="AH359" s="206" t="str">
        <f>VLOOKUP(Primary_Order[[#This Row],[Product ID]],SKU[],12,0)</f>
        <v>20W40</v>
      </c>
      <c r="AI359" s="206" t="str">
        <f>VLOOKUP(Primary_Order[[#This Row],[Product ID]],SKU[],13,0)</f>
        <v>3000</v>
      </c>
      <c r="AJ359" s="233">
        <f>VLOOKUP(Primary_Order[[#This Row],[Product ID]],SKU[[SKU ID]:[Bottle Size(Ltr)]],6,0)*Primary_Order[[#This Row],[Free Quantity]]</f>
        <v>0</v>
      </c>
      <c r="AK359" s="206" t="str">
        <f>VLOOKUP(Primary_Order[[#This Row],[Product ID]],SKU[[SKU ID]:[Bottle Size(Ltr)]],4,0)</f>
        <v>20x1L</v>
      </c>
      <c r="AL359" s="231">
        <f>VLOOKUP(Primary_Order[[#This Row],[Product ID]],SKU[],14,0)*Primary_Order[[#This Row],[Total Qty]]</f>
        <v>8255.2000000000007</v>
      </c>
      <c r="AM359" s="231">
        <f>IF(Primary_Order[[#This Row],[Cost]]=0,0,Primary_Order[[#This Row],[Net Total(-15%)]]-Primary_Order[[#This Row],[Cost]])</f>
        <v>1223.0608695652172</v>
      </c>
      <c r="AN359" s="206" t="str">
        <f>"O-"&amp;Primary_Order[[#This Row],[Date]]&amp;"-"&amp;Primary_Order[[#This Row],[MMD ID]]</f>
        <v>O-47847-D-0006</v>
      </c>
      <c r="AO359" s="206" t="str" cm="1">
        <f t="array" ref="AO35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0" spans="1:41" x14ac:dyDescent="0.5">
      <c r="A360" s="206" t="s">
        <v>1307</v>
      </c>
      <c r="B360" s="230">
        <f>'Stock Report'!$B$83</f>
        <v>47847</v>
      </c>
      <c r="C360" s="206" t="s">
        <v>90</v>
      </c>
      <c r="D360" s="206" t="s">
        <v>1308</v>
      </c>
      <c r="E360" s="206" t="s">
        <v>700</v>
      </c>
      <c r="F360" s="206" t="s">
        <v>50</v>
      </c>
      <c r="G360" s="206" t="s">
        <v>39</v>
      </c>
      <c r="H360" s="206" t="s">
        <v>40</v>
      </c>
      <c r="I360" s="206" t="s">
        <v>91</v>
      </c>
      <c r="J360" s="206" t="s">
        <v>93</v>
      </c>
      <c r="K360" s="206" t="s">
        <v>54</v>
      </c>
      <c r="L360" s="206" t="str">
        <f>VLOOKUP(Primary_Order[[#This Row],[Product ID]],SKU[],3,0)</f>
        <v>3000 4T PLUS 10W40</v>
      </c>
      <c r="M360" s="231">
        <v>200</v>
      </c>
      <c r="N360" s="231">
        <v>545</v>
      </c>
      <c r="O360" s="231">
        <v>200</v>
      </c>
      <c r="P360" s="232">
        <v>0</v>
      </c>
      <c r="Q360" s="231">
        <v>0</v>
      </c>
      <c r="R360" s="231">
        <v>545</v>
      </c>
      <c r="S360" s="231">
        <v>200</v>
      </c>
      <c r="T360" s="231">
        <v>200</v>
      </c>
      <c r="U360" s="231">
        <v>109000</v>
      </c>
      <c r="V360" s="231">
        <v>0</v>
      </c>
      <c r="W360" s="231">
        <v>109000</v>
      </c>
      <c r="X360" s="231">
        <v>14217.391304347826</v>
      </c>
      <c r="Y360" s="231">
        <v>94782.608695652176</v>
      </c>
      <c r="Z360" s="206" t="s">
        <v>882</v>
      </c>
      <c r="AA360" s="206" t="s">
        <v>50</v>
      </c>
      <c r="AB360" s="206" t="s">
        <v>1170</v>
      </c>
      <c r="AC360" s="230" t="s">
        <v>50</v>
      </c>
      <c r="AD360" s="206" t="s">
        <v>1320</v>
      </c>
      <c r="AE360" s="206" t="str">
        <f>IFERROR(VLOOKUP(Primary_Order[[#This Row],[AM]],SP!$E$19:$F$23,2,0),Primary_Order[[#This Row],[AM]])</f>
        <v>Central</v>
      </c>
      <c r="AF360" s="206" t="str">
        <f>VLOOKUP(Primary_Order[[#This Row],[Product ID]],SKU[],10,0)</f>
        <v>Mineral</v>
      </c>
      <c r="AG360" s="206" t="str">
        <f>VLOOKUP(Primary_Order[[#This Row],[Product ID]],SKU[],9,0)</f>
        <v>MCO</v>
      </c>
      <c r="AH360" s="206" t="str">
        <f>VLOOKUP(Primary_Order[[#This Row],[Product ID]],SKU[],12,0)</f>
        <v>10W40</v>
      </c>
      <c r="AI360" s="206" t="str">
        <f>VLOOKUP(Primary_Order[[#This Row],[Product ID]],SKU[],13,0)</f>
        <v>3000</v>
      </c>
      <c r="AJ360" s="233">
        <f>VLOOKUP(Primary_Order[[#This Row],[Product ID]],SKU[[SKU ID]:[Bottle Size(Ltr)]],6,0)*Primary_Order[[#This Row],[Free Quantity]]</f>
        <v>0</v>
      </c>
      <c r="AK360" s="206" t="str">
        <f>VLOOKUP(Primary_Order[[#This Row],[Product ID]],SKU[[SKU ID]:[Bottle Size(Ltr)]],4,0)</f>
        <v>20x1L</v>
      </c>
      <c r="AL360" s="231">
        <f>VLOOKUP(Primary_Order[[#This Row],[Product ID]],SKU[],14,0)*Primary_Order[[#This Row],[Total Qty]]</f>
        <v>76970</v>
      </c>
      <c r="AM360" s="231">
        <f>IF(Primary_Order[[#This Row],[Cost]]=0,0,Primary_Order[[#This Row],[Net Total(-15%)]]-Primary_Order[[#This Row],[Cost]])</f>
        <v>17812.608695652176</v>
      </c>
      <c r="AN360" s="206" t="str">
        <f>"O-"&amp;Primary_Order[[#This Row],[Date]]&amp;"-"&amp;Primary_Order[[#This Row],[MMD ID]]</f>
        <v>O-47847-D-0006</v>
      </c>
      <c r="AO360" s="206" t="str" cm="1">
        <f t="array" ref="AO36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1" spans="1:41" x14ac:dyDescent="0.5">
      <c r="A361" s="206" t="s">
        <v>1307</v>
      </c>
      <c r="B361" s="230">
        <f>'Stock Report'!$B$83</f>
        <v>47847</v>
      </c>
      <c r="C361" s="206" t="s">
        <v>90</v>
      </c>
      <c r="D361" s="206" t="s">
        <v>1308</v>
      </c>
      <c r="E361" s="206" t="s">
        <v>700</v>
      </c>
      <c r="F361" s="206" t="s">
        <v>50</v>
      </c>
      <c r="G361" s="206" t="s">
        <v>39</v>
      </c>
      <c r="H361" s="206" t="s">
        <v>40</v>
      </c>
      <c r="I361" s="206" t="s">
        <v>91</v>
      </c>
      <c r="J361" s="206" t="s">
        <v>93</v>
      </c>
      <c r="K361" s="206" t="s">
        <v>33</v>
      </c>
      <c r="L361" s="206" t="str">
        <f>VLOOKUP(Primary_Order[[#This Row],[Product ID]],SKU[],3,0)</f>
        <v>3000 4T PLUS 20W40</v>
      </c>
      <c r="M361" s="231">
        <v>20</v>
      </c>
      <c r="N361" s="231">
        <v>665</v>
      </c>
      <c r="O361" s="231">
        <v>24</v>
      </c>
      <c r="P361" s="232">
        <v>-2.2204460492503131E-16</v>
      </c>
      <c r="Q361" s="231">
        <v>0</v>
      </c>
      <c r="R361" s="231">
        <v>665.00000000000011</v>
      </c>
      <c r="S361" s="231">
        <v>20</v>
      </c>
      <c r="T361" s="231">
        <v>24</v>
      </c>
      <c r="U361" s="231">
        <v>13300</v>
      </c>
      <c r="V361" s="231">
        <v>0</v>
      </c>
      <c r="W361" s="231">
        <v>13300.000000000002</v>
      </c>
      <c r="X361" s="231">
        <v>1734.7826086956525</v>
      </c>
      <c r="Y361" s="231">
        <v>11565.21739130435</v>
      </c>
      <c r="Z361" s="206" t="s">
        <v>882</v>
      </c>
      <c r="AA361" s="206" t="s">
        <v>50</v>
      </c>
      <c r="AB361" s="206" t="s">
        <v>1170</v>
      </c>
      <c r="AC361" s="230" t="s">
        <v>50</v>
      </c>
      <c r="AD361" s="206" t="s">
        <v>1320</v>
      </c>
      <c r="AE361" s="206" t="str">
        <f>IFERROR(VLOOKUP(Primary_Order[[#This Row],[AM]],SP!$E$19:$F$23,2,0),Primary_Order[[#This Row],[AM]])</f>
        <v>Central</v>
      </c>
      <c r="AF361" s="206" t="str">
        <f>VLOOKUP(Primary_Order[[#This Row],[Product ID]],SKU[],10,0)</f>
        <v>Mineral</v>
      </c>
      <c r="AG361" s="206" t="str">
        <f>VLOOKUP(Primary_Order[[#This Row],[Product ID]],SKU[],9,0)</f>
        <v>MCO</v>
      </c>
      <c r="AH361" s="206" t="str">
        <f>VLOOKUP(Primary_Order[[#This Row],[Product ID]],SKU[],12,0)</f>
        <v>20W40</v>
      </c>
      <c r="AI361" s="206" t="str">
        <f>VLOOKUP(Primary_Order[[#This Row],[Product ID]],SKU[],13,0)</f>
        <v>3000</v>
      </c>
      <c r="AJ361" s="233">
        <f>VLOOKUP(Primary_Order[[#This Row],[Product ID]],SKU[[SKU ID]:[Bottle Size(Ltr)]],6,0)*Primary_Order[[#This Row],[Free Quantity]]</f>
        <v>0</v>
      </c>
      <c r="AK361" s="206" t="str">
        <f>VLOOKUP(Primary_Order[[#This Row],[Product ID]],SKU[[SKU ID]:[Bottle Size(Ltr)]],4,0)</f>
        <v>20x1.2L</v>
      </c>
      <c r="AL361" s="231">
        <f>VLOOKUP(Primary_Order[[#This Row],[Product ID]],SKU[],14,0)*Primary_Order[[#This Row],[Total Qty]]</f>
        <v>9397.9559070121941</v>
      </c>
      <c r="AM361" s="231">
        <f>IF(Primary_Order[[#This Row],[Cost]]=0,0,Primary_Order[[#This Row],[Net Total(-15%)]]-Primary_Order[[#This Row],[Cost]])</f>
        <v>2167.2614842921557</v>
      </c>
      <c r="AN361" s="206" t="str">
        <f>"O-"&amp;Primary_Order[[#This Row],[Date]]&amp;"-"&amp;Primary_Order[[#This Row],[MMD ID]]</f>
        <v>O-47847-D-0006</v>
      </c>
      <c r="AO361" s="206" t="str" cm="1">
        <f t="array" ref="AO36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2" spans="1:41" x14ac:dyDescent="0.5">
      <c r="A362" s="206" t="s">
        <v>1307</v>
      </c>
      <c r="B362" s="230">
        <f>'Stock Report'!$B$83</f>
        <v>47847</v>
      </c>
      <c r="C362" s="206" t="s">
        <v>90</v>
      </c>
      <c r="D362" s="206" t="s">
        <v>1308</v>
      </c>
      <c r="E362" s="206" t="s">
        <v>700</v>
      </c>
      <c r="F362" s="206" t="s">
        <v>50</v>
      </c>
      <c r="G362" s="206" t="s">
        <v>39</v>
      </c>
      <c r="H362" s="206" t="s">
        <v>40</v>
      </c>
      <c r="I362" s="206" t="s">
        <v>91</v>
      </c>
      <c r="J362" s="206" t="s">
        <v>93</v>
      </c>
      <c r="K362" s="206" t="s">
        <v>36</v>
      </c>
      <c r="L362" s="206" t="str">
        <f>VLOOKUP(Primary_Order[[#This Row],[Product ID]],SKU[],3,0)</f>
        <v>51004T 10W40 ESTER</v>
      </c>
      <c r="M362" s="231">
        <v>24</v>
      </c>
      <c r="N362" s="231">
        <v>870</v>
      </c>
      <c r="O362" s="231">
        <v>24</v>
      </c>
      <c r="P362" s="232">
        <v>0</v>
      </c>
      <c r="Q362" s="231">
        <v>0</v>
      </c>
      <c r="R362" s="231">
        <v>870</v>
      </c>
      <c r="S362" s="231">
        <v>24</v>
      </c>
      <c r="T362" s="231">
        <v>24</v>
      </c>
      <c r="U362" s="231">
        <v>20880</v>
      </c>
      <c r="V362" s="231">
        <v>0</v>
      </c>
      <c r="W362" s="231">
        <v>20880</v>
      </c>
      <c r="X362" s="231">
        <v>2723.478260869565</v>
      </c>
      <c r="Y362" s="231">
        <v>18156.521739130436</v>
      </c>
      <c r="Z362" s="206" t="s">
        <v>882</v>
      </c>
      <c r="AA362" s="206" t="s">
        <v>50</v>
      </c>
      <c r="AB362" s="206" t="s">
        <v>1170</v>
      </c>
      <c r="AC362" s="230" t="s">
        <v>50</v>
      </c>
      <c r="AD362" s="206" t="s">
        <v>1320</v>
      </c>
      <c r="AE362" s="206" t="str">
        <f>IFERROR(VLOOKUP(Primary_Order[[#This Row],[AM]],SP!$E$19:$F$23,2,0),Primary_Order[[#This Row],[AM]])</f>
        <v>Central</v>
      </c>
      <c r="AF362" s="206" t="str">
        <f>VLOOKUP(Primary_Order[[#This Row],[Product ID]],SKU[],10,0)</f>
        <v>Technosynthese</v>
      </c>
      <c r="AG362" s="206" t="str">
        <f>VLOOKUP(Primary_Order[[#This Row],[Product ID]],SKU[],9,0)</f>
        <v>MCO</v>
      </c>
      <c r="AH362" s="206" t="str">
        <f>VLOOKUP(Primary_Order[[#This Row],[Product ID]],SKU[],12,0)</f>
        <v>10W40</v>
      </c>
      <c r="AI362" s="206" t="str">
        <f>VLOOKUP(Primary_Order[[#This Row],[Product ID]],SKU[],13,0)</f>
        <v>5100</v>
      </c>
      <c r="AJ362" s="233">
        <f>VLOOKUP(Primary_Order[[#This Row],[Product ID]],SKU[[SKU ID]:[Bottle Size(Ltr)]],6,0)*Primary_Order[[#This Row],[Free Quantity]]</f>
        <v>0</v>
      </c>
      <c r="AK362" s="206" t="str">
        <f>VLOOKUP(Primary_Order[[#This Row],[Product ID]],SKU[[SKU ID]:[Bottle Size(Ltr)]],4,0)</f>
        <v>12x1L</v>
      </c>
      <c r="AL362" s="231">
        <f>VLOOKUP(Primary_Order[[#This Row],[Product ID]],SKU[],14,0)*Primary_Order[[#This Row],[Total Qty]]</f>
        <v>14599.920000000002</v>
      </c>
      <c r="AM362" s="231">
        <f>IF(Primary_Order[[#This Row],[Cost]]=0,0,Primary_Order[[#This Row],[Net Total(-15%)]]-Primary_Order[[#This Row],[Cost]])</f>
        <v>3556.601739130434</v>
      </c>
      <c r="AN362" s="206" t="str">
        <f>"O-"&amp;Primary_Order[[#This Row],[Date]]&amp;"-"&amp;Primary_Order[[#This Row],[MMD ID]]</f>
        <v>O-47847-D-0006</v>
      </c>
      <c r="AO362" s="206" t="str" cm="1">
        <f t="array" ref="AO36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3" spans="1:41" x14ac:dyDescent="0.5">
      <c r="A363" s="206" t="s">
        <v>1307</v>
      </c>
      <c r="B363" s="230">
        <f>'Stock Report'!$B$83</f>
        <v>47847</v>
      </c>
      <c r="C363" s="206" t="s">
        <v>90</v>
      </c>
      <c r="D363" s="206" t="s">
        <v>1308</v>
      </c>
      <c r="E363" s="206" t="s">
        <v>700</v>
      </c>
      <c r="F363" s="206" t="s">
        <v>50</v>
      </c>
      <c r="G363" s="206" t="s">
        <v>39</v>
      </c>
      <c r="H363" s="206" t="s">
        <v>40</v>
      </c>
      <c r="I363" s="206" t="s">
        <v>91</v>
      </c>
      <c r="J363" s="206" t="s">
        <v>93</v>
      </c>
      <c r="K363" s="206" t="s">
        <v>56</v>
      </c>
      <c r="L363" s="206" t="str">
        <f>VLOOKUP(Primary_Order[[#This Row],[Product ID]],SKU[],3,0)</f>
        <v>7100 4T 10W30 ESTER CORE®</v>
      </c>
      <c r="M363" s="231">
        <v>24</v>
      </c>
      <c r="N363" s="231">
        <v>1080</v>
      </c>
      <c r="O363" s="231">
        <v>24</v>
      </c>
      <c r="P363" s="232">
        <v>0</v>
      </c>
      <c r="Q363" s="231">
        <v>0</v>
      </c>
      <c r="R363" s="231">
        <v>1080</v>
      </c>
      <c r="S363" s="231">
        <v>24</v>
      </c>
      <c r="T363" s="231">
        <v>24</v>
      </c>
      <c r="U363" s="231">
        <v>25920</v>
      </c>
      <c r="V363" s="231">
        <v>0</v>
      </c>
      <c r="W363" s="231">
        <v>25920</v>
      </c>
      <c r="X363" s="231">
        <v>3380.8695652173915</v>
      </c>
      <c r="Y363" s="231">
        <v>22539.130434782608</v>
      </c>
      <c r="Z363" s="206" t="s">
        <v>882</v>
      </c>
      <c r="AA363" s="206" t="s">
        <v>50</v>
      </c>
      <c r="AB363" s="206" t="s">
        <v>1170</v>
      </c>
      <c r="AC363" s="230" t="s">
        <v>50</v>
      </c>
      <c r="AD363" s="206" t="s">
        <v>1320</v>
      </c>
      <c r="AE363" s="206" t="str">
        <f>IFERROR(VLOOKUP(Primary_Order[[#This Row],[AM]],SP!$E$19:$F$23,2,0),Primary_Order[[#This Row],[AM]])</f>
        <v>Central</v>
      </c>
      <c r="AF363" s="206" t="str">
        <f>VLOOKUP(Primary_Order[[#This Row],[Product ID]],SKU[],10,0)</f>
        <v>Synthetic</v>
      </c>
      <c r="AG363" s="206" t="str">
        <f>VLOOKUP(Primary_Order[[#This Row],[Product ID]],SKU[],9,0)</f>
        <v>MCO</v>
      </c>
      <c r="AH363" s="206" t="str">
        <f>VLOOKUP(Primary_Order[[#This Row],[Product ID]],SKU[],12,0)</f>
        <v>10W30</v>
      </c>
      <c r="AI363" s="206" t="str">
        <f>VLOOKUP(Primary_Order[[#This Row],[Product ID]],SKU[],13,0)</f>
        <v>7100</v>
      </c>
      <c r="AJ363" s="233">
        <f>VLOOKUP(Primary_Order[[#This Row],[Product ID]],SKU[[SKU ID]:[Bottle Size(Ltr)]],6,0)*Primary_Order[[#This Row],[Free Quantity]]</f>
        <v>0</v>
      </c>
      <c r="AK363" s="206" t="str">
        <f>VLOOKUP(Primary_Order[[#This Row],[Product ID]],SKU[[SKU ID]:[Bottle Size(Ltr)]],4,0)</f>
        <v>12x1L</v>
      </c>
      <c r="AL363" s="231">
        <f>VLOOKUP(Primary_Order[[#This Row],[Product ID]],SKU[],14,0)*Primary_Order[[#This Row],[Total Qty]]</f>
        <v>16556.64</v>
      </c>
      <c r="AM363" s="231">
        <f>IF(Primary_Order[[#This Row],[Cost]]=0,0,Primary_Order[[#This Row],[Net Total(-15%)]]-Primary_Order[[#This Row],[Cost]])</f>
        <v>5982.4904347826086</v>
      </c>
      <c r="AN363" s="206" t="str">
        <f>"O-"&amp;Primary_Order[[#This Row],[Date]]&amp;"-"&amp;Primary_Order[[#This Row],[MMD ID]]</f>
        <v>O-47847-D-0006</v>
      </c>
      <c r="AO363" s="206" t="str" cm="1">
        <f t="array" ref="AO36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4" spans="1:41" x14ac:dyDescent="0.5">
      <c r="A364" s="206" t="s">
        <v>1307</v>
      </c>
      <c r="B364" s="230">
        <f>'Stock Report'!$B$83</f>
        <v>47847</v>
      </c>
      <c r="C364" s="206" t="s">
        <v>90</v>
      </c>
      <c r="D364" s="206" t="s">
        <v>1308</v>
      </c>
      <c r="E364" s="206" t="s">
        <v>700</v>
      </c>
      <c r="F364" s="206" t="s">
        <v>50</v>
      </c>
      <c r="G364" s="206" t="s">
        <v>39</v>
      </c>
      <c r="H364" s="206" t="s">
        <v>40</v>
      </c>
      <c r="I364" s="206" t="s">
        <v>91</v>
      </c>
      <c r="J364" s="206" t="s">
        <v>93</v>
      </c>
      <c r="K364" s="206" t="s">
        <v>58</v>
      </c>
      <c r="L364" s="206" t="str">
        <f>VLOOKUP(Primary_Order[[#This Row],[Product ID]],SKU[],3,0)</f>
        <v>7100 4T 20W50 ESTER CORE®</v>
      </c>
      <c r="M364" s="231">
        <v>36</v>
      </c>
      <c r="N364" s="231">
        <v>1080</v>
      </c>
      <c r="O364" s="231">
        <v>36</v>
      </c>
      <c r="P364" s="232">
        <v>0</v>
      </c>
      <c r="Q364" s="231">
        <v>0</v>
      </c>
      <c r="R364" s="231">
        <v>1080</v>
      </c>
      <c r="S364" s="231">
        <v>36</v>
      </c>
      <c r="T364" s="231">
        <v>36</v>
      </c>
      <c r="U364" s="231">
        <v>38880</v>
      </c>
      <c r="V364" s="231">
        <v>0</v>
      </c>
      <c r="W364" s="231">
        <v>38880</v>
      </c>
      <c r="X364" s="231">
        <v>5071.304347826087</v>
      </c>
      <c r="Y364" s="231">
        <v>33808.695652173912</v>
      </c>
      <c r="Z364" s="206" t="s">
        <v>882</v>
      </c>
      <c r="AA364" s="206" t="s">
        <v>50</v>
      </c>
      <c r="AB364" s="206" t="s">
        <v>1170</v>
      </c>
      <c r="AC364" s="230" t="s">
        <v>50</v>
      </c>
      <c r="AD364" s="206" t="s">
        <v>1320</v>
      </c>
      <c r="AE364" s="206" t="str">
        <f>IFERROR(VLOOKUP(Primary_Order[[#This Row],[AM]],SP!$E$19:$F$23,2,0),Primary_Order[[#This Row],[AM]])</f>
        <v>Central</v>
      </c>
      <c r="AF364" s="206" t="str">
        <f>VLOOKUP(Primary_Order[[#This Row],[Product ID]],SKU[],10,0)</f>
        <v>Synthetic</v>
      </c>
      <c r="AG364" s="206" t="str">
        <f>VLOOKUP(Primary_Order[[#This Row],[Product ID]],SKU[],9,0)</f>
        <v>MCO</v>
      </c>
      <c r="AH364" s="206" t="str">
        <f>VLOOKUP(Primary_Order[[#This Row],[Product ID]],SKU[],12,0)</f>
        <v>20W50</v>
      </c>
      <c r="AI364" s="206" t="str">
        <f>VLOOKUP(Primary_Order[[#This Row],[Product ID]],SKU[],13,0)</f>
        <v>7100</v>
      </c>
      <c r="AJ364" s="233">
        <f>VLOOKUP(Primary_Order[[#This Row],[Product ID]],SKU[[SKU ID]:[Bottle Size(Ltr)]],6,0)*Primary_Order[[#This Row],[Free Quantity]]</f>
        <v>0</v>
      </c>
      <c r="AK364" s="206" t="str">
        <f>VLOOKUP(Primary_Order[[#This Row],[Product ID]],SKU[[SKU ID]:[Bottle Size(Ltr)]],4,0)</f>
        <v>12x1L</v>
      </c>
      <c r="AL364" s="231">
        <f>VLOOKUP(Primary_Order[[#This Row],[Product ID]],SKU[],14,0)*Primary_Order[[#This Row],[Total Qty]]</f>
        <v>27493.142400000001</v>
      </c>
      <c r="AM364" s="231">
        <f>IF(Primary_Order[[#This Row],[Cost]]=0,0,Primary_Order[[#This Row],[Net Total(-15%)]]-Primary_Order[[#This Row],[Cost]])</f>
        <v>6315.5532521739115</v>
      </c>
      <c r="AN364" s="206" t="str">
        <f>"O-"&amp;Primary_Order[[#This Row],[Date]]&amp;"-"&amp;Primary_Order[[#This Row],[MMD ID]]</f>
        <v>O-47847-D-0006</v>
      </c>
      <c r="AO364" s="206" t="str" cm="1">
        <f t="array" ref="AO36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5" spans="1:41" x14ac:dyDescent="0.5">
      <c r="A365" s="206" t="s">
        <v>1307</v>
      </c>
      <c r="B365" s="230">
        <f>'Stock Report'!$B$83</f>
        <v>47847</v>
      </c>
      <c r="C365" s="206" t="s">
        <v>90</v>
      </c>
      <c r="D365" s="206" t="s">
        <v>1308</v>
      </c>
      <c r="E365" s="206" t="s">
        <v>700</v>
      </c>
      <c r="F365" s="206" t="s">
        <v>50</v>
      </c>
      <c r="G365" s="206" t="s">
        <v>39</v>
      </c>
      <c r="H365" s="206" t="s">
        <v>40</v>
      </c>
      <c r="I365" s="206" t="s">
        <v>91</v>
      </c>
      <c r="J365" s="206" t="s">
        <v>93</v>
      </c>
      <c r="K365" s="206" t="s">
        <v>99</v>
      </c>
      <c r="L365" s="206" t="str">
        <f>VLOOKUP(Primary_Order[[#This Row],[Product ID]],SKU[],3,0)</f>
        <v>3000 4T 20W50</v>
      </c>
      <c r="M365" s="231">
        <v>40</v>
      </c>
      <c r="N365" s="231">
        <v>595</v>
      </c>
      <c r="O365" s="231">
        <v>48</v>
      </c>
      <c r="P365" s="232">
        <v>0</v>
      </c>
      <c r="Q365" s="231">
        <v>0</v>
      </c>
      <c r="R365" s="231">
        <v>595</v>
      </c>
      <c r="S365" s="231">
        <v>40</v>
      </c>
      <c r="T365" s="231">
        <v>48</v>
      </c>
      <c r="U365" s="231">
        <v>23800</v>
      </c>
      <c r="V365" s="231">
        <v>0</v>
      </c>
      <c r="W365" s="231">
        <v>23800</v>
      </c>
      <c r="X365" s="231">
        <v>3104.3478260869565</v>
      </c>
      <c r="Y365" s="231">
        <v>20695.652173913044</v>
      </c>
      <c r="Z365" s="206" t="s">
        <v>882</v>
      </c>
      <c r="AA365" s="206" t="s">
        <v>50</v>
      </c>
      <c r="AB365" s="206" t="s">
        <v>1170</v>
      </c>
      <c r="AC365" s="230" t="s">
        <v>50</v>
      </c>
      <c r="AD365" s="206" t="s">
        <v>1320</v>
      </c>
      <c r="AE365" s="206" t="str">
        <f>IFERROR(VLOOKUP(Primary_Order[[#This Row],[AM]],SP!$E$19:$F$23,2,0),Primary_Order[[#This Row],[AM]])</f>
        <v>Central</v>
      </c>
      <c r="AF365" s="206" t="str">
        <f>VLOOKUP(Primary_Order[[#This Row],[Product ID]],SKU[],10,0)</f>
        <v>Mineral</v>
      </c>
      <c r="AG365" s="206" t="str">
        <f>VLOOKUP(Primary_Order[[#This Row],[Product ID]],SKU[],9,0)</f>
        <v>MCO</v>
      </c>
      <c r="AH365" s="206" t="str">
        <f>VLOOKUP(Primary_Order[[#This Row],[Product ID]],SKU[],12,0)</f>
        <v>20W50</v>
      </c>
      <c r="AI365" s="206" t="str">
        <f>VLOOKUP(Primary_Order[[#This Row],[Product ID]],SKU[],13,0)</f>
        <v>3000</v>
      </c>
      <c r="AJ365" s="233">
        <f>VLOOKUP(Primary_Order[[#This Row],[Product ID]],SKU[[SKU ID]:[Bottle Size(Ltr)]],6,0)*Primary_Order[[#This Row],[Free Quantity]]</f>
        <v>0</v>
      </c>
      <c r="AK365" s="206" t="str">
        <f>VLOOKUP(Primary_Order[[#This Row],[Product ID]],SKU[[SKU ID]:[Bottle Size(Ltr)]],4,0)</f>
        <v>20x1.2L</v>
      </c>
      <c r="AL365" s="231">
        <f>VLOOKUP(Primary_Order[[#This Row],[Product ID]],SKU[],14,0)*Primary_Order[[#This Row],[Total Qty]]</f>
        <v>17384.400000000001</v>
      </c>
      <c r="AM365" s="231">
        <f>IF(Primary_Order[[#This Row],[Cost]]=0,0,Primary_Order[[#This Row],[Net Total(-15%)]]-Primary_Order[[#This Row],[Cost]])</f>
        <v>3311.2521739130425</v>
      </c>
      <c r="AN365" s="206" t="str">
        <f>"O-"&amp;Primary_Order[[#This Row],[Date]]&amp;"-"&amp;Primary_Order[[#This Row],[MMD ID]]</f>
        <v>O-47847-D-0006</v>
      </c>
      <c r="AO365" s="206" t="str" cm="1">
        <f t="array" ref="AO36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66" spans="1:41" x14ac:dyDescent="0.5">
      <c r="A366" s="206" t="s">
        <v>1309</v>
      </c>
      <c r="B366" s="230">
        <v>45721</v>
      </c>
      <c r="C366" s="206" t="s">
        <v>102</v>
      </c>
      <c r="D366" s="206" t="s">
        <v>973</v>
      </c>
      <c r="E366" s="206" t="s">
        <v>974</v>
      </c>
      <c r="F366" s="206" t="s">
        <v>975</v>
      </c>
      <c r="G366" s="206" t="s">
        <v>45</v>
      </c>
      <c r="H366" s="206" t="s">
        <v>28</v>
      </c>
      <c r="I366" s="206" t="s">
        <v>46</v>
      </c>
      <c r="J366" s="206" t="s">
        <v>47</v>
      </c>
      <c r="K366" s="206" t="s">
        <v>31</v>
      </c>
      <c r="L366" s="206" t="str">
        <f>VLOOKUP(Primary_Order[[#This Row],[Product ID]],SKU[],3,0)</f>
        <v>3000 4T PLUS 10W30</v>
      </c>
      <c r="M366" s="231">
        <v>20</v>
      </c>
      <c r="N366" s="231">
        <v>535</v>
      </c>
      <c r="O366" s="231">
        <v>20</v>
      </c>
      <c r="P366" s="232">
        <v>0</v>
      </c>
      <c r="Q366" s="231">
        <v>0</v>
      </c>
      <c r="R366" s="231">
        <v>535</v>
      </c>
      <c r="S366" s="231">
        <v>20</v>
      </c>
      <c r="T366" s="231">
        <v>20</v>
      </c>
      <c r="U366" s="231">
        <v>10700</v>
      </c>
      <c r="V366" s="231">
        <v>0</v>
      </c>
      <c r="W366" s="231">
        <v>10700</v>
      </c>
      <c r="X366" s="231">
        <v>1395.6521739130435</v>
      </c>
      <c r="Y366" s="231">
        <v>9304.347826086956</v>
      </c>
      <c r="Z366" s="206" t="s">
        <v>882</v>
      </c>
      <c r="AA366" s="206">
        <v>666</v>
      </c>
      <c r="AB366" s="206" t="s">
        <v>641</v>
      </c>
      <c r="AC366" s="230">
        <v>45722</v>
      </c>
      <c r="AD366" s="206" t="s">
        <v>50</v>
      </c>
      <c r="AE366" s="206" t="str">
        <f>IFERROR(VLOOKUP(Primary_Order[[#This Row],[AM]],SP!$E$19:$F$23,2,0),Primary_Order[[#This Row],[AM]])</f>
        <v>Eastern</v>
      </c>
      <c r="AF366" s="206" t="str">
        <f>VLOOKUP(Primary_Order[[#This Row],[Product ID]],SKU[],10,0)</f>
        <v>Mineral</v>
      </c>
      <c r="AG366" s="206" t="str">
        <f>VLOOKUP(Primary_Order[[#This Row],[Product ID]],SKU[],9,0)</f>
        <v>MCO</v>
      </c>
      <c r="AH366" s="206" t="str">
        <f>VLOOKUP(Primary_Order[[#This Row],[Product ID]],SKU[],12,0)</f>
        <v>10W30</v>
      </c>
      <c r="AI366" s="206" t="str">
        <f>VLOOKUP(Primary_Order[[#This Row],[Product ID]],SKU[],13,0)</f>
        <v>3000</v>
      </c>
      <c r="AJ366" s="233">
        <f>VLOOKUP(Primary_Order[[#This Row],[Product ID]],SKU[[SKU ID]:[Bottle Size(Ltr)]],6,0)*Primary_Order[[#This Row],[Free Quantity]]</f>
        <v>0</v>
      </c>
      <c r="AK366" s="206" t="str">
        <f>VLOOKUP(Primary_Order[[#This Row],[Product ID]],SKU[[SKU ID]:[Bottle Size(Ltr)]],4,0)</f>
        <v>20x1L</v>
      </c>
      <c r="AL366" s="231">
        <f>VLOOKUP(Primary_Order[[#This Row],[Product ID]],SKU[],14,0)*Primary_Order[[#This Row],[Total Qty]]</f>
        <v>7586.5999999999995</v>
      </c>
      <c r="AM366" s="231">
        <f>IF(Primary_Order[[#This Row],[Cost]]=0,0,Primary_Order[[#This Row],[Net Total(-15%)]]-Primary_Order[[#This Row],[Cost]])</f>
        <v>1717.7478260869566</v>
      </c>
      <c r="AN366" s="206" t="str">
        <f>"O-"&amp;Primary_Order[[#This Row],[Date]]&amp;"-"&amp;Primary_Order[[#This Row],[MMD ID]]</f>
        <v>O-45721-D-0003</v>
      </c>
      <c r="AO366" s="206" t="str" cm="1">
        <f t="array" ref="AO36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67" spans="1:41" x14ac:dyDescent="0.5">
      <c r="A367" s="206" t="s">
        <v>1309</v>
      </c>
      <c r="B367" s="230">
        <v>45721</v>
      </c>
      <c r="C367" s="206" t="s">
        <v>102</v>
      </c>
      <c r="D367" s="206" t="s">
        <v>973</v>
      </c>
      <c r="E367" s="206" t="s">
        <v>974</v>
      </c>
      <c r="F367" s="206" t="s">
        <v>975</v>
      </c>
      <c r="G367" s="206" t="s">
        <v>45</v>
      </c>
      <c r="H367" s="206" t="s">
        <v>28</v>
      </c>
      <c r="I367" s="206" t="s">
        <v>46</v>
      </c>
      <c r="J367" s="206" t="s">
        <v>47</v>
      </c>
      <c r="K367" s="206" t="s">
        <v>54</v>
      </c>
      <c r="L367" s="206" t="str">
        <f>VLOOKUP(Primary_Order[[#This Row],[Product ID]],SKU[],3,0)</f>
        <v>3000 4T PLUS 10W40</v>
      </c>
      <c r="M367" s="231">
        <v>100</v>
      </c>
      <c r="N367" s="231">
        <v>535</v>
      </c>
      <c r="O367" s="231">
        <v>100</v>
      </c>
      <c r="P367" s="232">
        <v>0</v>
      </c>
      <c r="Q367" s="231">
        <v>0</v>
      </c>
      <c r="R367" s="231">
        <v>535</v>
      </c>
      <c r="S367" s="231">
        <v>100</v>
      </c>
      <c r="T367" s="231">
        <v>100</v>
      </c>
      <c r="U367" s="231">
        <v>53500</v>
      </c>
      <c r="V367" s="231">
        <v>0</v>
      </c>
      <c r="W367" s="231">
        <v>53500</v>
      </c>
      <c r="X367" s="231">
        <v>6978.260869565217</v>
      </c>
      <c r="Y367" s="231">
        <v>46521.739130434784</v>
      </c>
      <c r="Z367" s="206" t="s">
        <v>882</v>
      </c>
      <c r="AA367" s="206">
        <v>666</v>
      </c>
      <c r="AB367" s="206" t="s">
        <v>641</v>
      </c>
      <c r="AC367" s="230">
        <v>45722</v>
      </c>
      <c r="AD367" s="206" t="s">
        <v>50</v>
      </c>
      <c r="AE367" s="206" t="str">
        <f>IFERROR(VLOOKUP(Primary_Order[[#This Row],[AM]],SP!$E$19:$F$23,2,0),Primary_Order[[#This Row],[AM]])</f>
        <v>Eastern</v>
      </c>
      <c r="AF367" s="206" t="str">
        <f>VLOOKUP(Primary_Order[[#This Row],[Product ID]],SKU[],10,0)</f>
        <v>Mineral</v>
      </c>
      <c r="AG367" s="206" t="str">
        <f>VLOOKUP(Primary_Order[[#This Row],[Product ID]],SKU[],9,0)</f>
        <v>MCO</v>
      </c>
      <c r="AH367" s="206" t="str">
        <f>VLOOKUP(Primary_Order[[#This Row],[Product ID]],SKU[],12,0)</f>
        <v>10W40</v>
      </c>
      <c r="AI367" s="206" t="str">
        <f>VLOOKUP(Primary_Order[[#This Row],[Product ID]],SKU[],13,0)</f>
        <v>3000</v>
      </c>
      <c r="AJ367" s="233">
        <f>VLOOKUP(Primary_Order[[#This Row],[Product ID]],SKU[[SKU ID]:[Bottle Size(Ltr)]],6,0)*Primary_Order[[#This Row],[Free Quantity]]</f>
        <v>0</v>
      </c>
      <c r="AK367" s="206" t="str">
        <f>VLOOKUP(Primary_Order[[#This Row],[Product ID]],SKU[[SKU ID]:[Bottle Size(Ltr)]],4,0)</f>
        <v>20x1L</v>
      </c>
      <c r="AL367" s="231">
        <f>VLOOKUP(Primary_Order[[#This Row],[Product ID]],SKU[],14,0)*Primary_Order[[#This Row],[Total Qty]]</f>
        <v>38485</v>
      </c>
      <c r="AM367" s="231">
        <f>IF(Primary_Order[[#This Row],[Cost]]=0,0,Primary_Order[[#This Row],[Net Total(-15%)]]-Primary_Order[[#This Row],[Cost]])</f>
        <v>8036.7391304347839</v>
      </c>
      <c r="AN367" s="206" t="str">
        <f>"O-"&amp;Primary_Order[[#This Row],[Date]]&amp;"-"&amp;Primary_Order[[#This Row],[MMD ID]]</f>
        <v>O-45721-D-0003</v>
      </c>
      <c r="AO367" s="206" t="str" cm="1">
        <f t="array" ref="AO36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68" spans="1:41" x14ac:dyDescent="0.5">
      <c r="A368" s="206" t="s">
        <v>1309</v>
      </c>
      <c r="B368" s="230">
        <v>45721</v>
      </c>
      <c r="C368" s="206" t="s">
        <v>102</v>
      </c>
      <c r="D368" s="206" t="s">
        <v>973</v>
      </c>
      <c r="E368" s="206" t="s">
        <v>974</v>
      </c>
      <c r="F368" s="206" t="s">
        <v>975</v>
      </c>
      <c r="G368" s="206" t="s">
        <v>45</v>
      </c>
      <c r="H368" s="206" t="s">
        <v>28</v>
      </c>
      <c r="I368" s="206" t="s">
        <v>46</v>
      </c>
      <c r="J368" s="206" t="s">
        <v>47</v>
      </c>
      <c r="K368" s="206" t="s">
        <v>43</v>
      </c>
      <c r="L368" s="206" t="str">
        <f>VLOOKUP(Primary_Order[[#This Row],[Product ID]],SKU[],3,0)</f>
        <v>7100 4T 10W30 ESTER CORE®</v>
      </c>
      <c r="M368" s="231">
        <v>20</v>
      </c>
      <c r="N368" s="231">
        <v>1270</v>
      </c>
      <c r="O368" s="231">
        <v>24</v>
      </c>
      <c r="P368" s="232">
        <v>0</v>
      </c>
      <c r="Q368" s="231">
        <v>0</v>
      </c>
      <c r="R368" s="231">
        <v>1270</v>
      </c>
      <c r="S368" s="231">
        <v>20</v>
      </c>
      <c r="T368" s="231">
        <v>24</v>
      </c>
      <c r="U368" s="231">
        <v>25400</v>
      </c>
      <c r="V368" s="231">
        <v>0</v>
      </c>
      <c r="W368" s="231">
        <v>25400</v>
      </c>
      <c r="X368" s="231">
        <v>3313.0434782608695</v>
      </c>
      <c r="Y368" s="231">
        <v>22086.956521739132</v>
      </c>
      <c r="Z368" s="206" t="s">
        <v>882</v>
      </c>
      <c r="AA368" s="206">
        <v>666</v>
      </c>
      <c r="AB368" s="206" t="s">
        <v>641</v>
      </c>
      <c r="AC368" s="230">
        <v>45722</v>
      </c>
      <c r="AD368" s="206" t="s">
        <v>50</v>
      </c>
      <c r="AE368" s="206" t="str">
        <f>IFERROR(VLOOKUP(Primary_Order[[#This Row],[AM]],SP!$E$19:$F$23,2,0),Primary_Order[[#This Row],[AM]])</f>
        <v>Eastern</v>
      </c>
      <c r="AF368" s="206" t="str">
        <f>VLOOKUP(Primary_Order[[#This Row],[Product ID]],SKU[],10,0)</f>
        <v>Synthetic</v>
      </c>
      <c r="AG368" s="206" t="str">
        <f>VLOOKUP(Primary_Order[[#This Row],[Product ID]],SKU[],9,0)</f>
        <v>MCO</v>
      </c>
      <c r="AH368" s="206" t="str">
        <f>VLOOKUP(Primary_Order[[#This Row],[Product ID]],SKU[],12,0)</f>
        <v>10W30</v>
      </c>
      <c r="AI368" s="206" t="str">
        <f>VLOOKUP(Primary_Order[[#This Row],[Product ID]],SKU[],13,0)</f>
        <v>7100</v>
      </c>
      <c r="AJ368" s="233">
        <f>VLOOKUP(Primary_Order[[#This Row],[Product ID]],SKU[[SKU ID]:[Bottle Size(Ltr)]],6,0)*Primary_Order[[#This Row],[Free Quantity]]</f>
        <v>0</v>
      </c>
      <c r="AK368" s="206" t="str">
        <f>VLOOKUP(Primary_Order[[#This Row],[Product ID]],SKU[[SKU ID]:[Bottle Size(Ltr)]],4,0)</f>
        <v>20x1.2L</v>
      </c>
      <c r="AL368" s="231">
        <f>VLOOKUP(Primary_Order[[#This Row],[Product ID]],SKU[],14,0)*Primary_Order[[#This Row],[Total Qty]]</f>
        <v>15546</v>
      </c>
      <c r="AM368" s="231">
        <f>IF(Primary_Order[[#This Row],[Cost]]=0,0,Primary_Order[[#This Row],[Net Total(-15%)]]-Primary_Order[[#This Row],[Cost]])</f>
        <v>6540.9565217391319</v>
      </c>
      <c r="AN368" s="206" t="str">
        <f>"O-"&amp;Primary_Order[[#This Row],[Date]]&amp;"-"&amp;Primary_Order[[#This Row],[MMD ID]]</f>
        <v>O-45721-D-0003</v>
      </c>
      <c r="AO368" s="206" t="str" cm="1">
        <f t="array" ref="AO36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69" spans="1:41" x14ac:dyDescent="0.5">
      <c r="A369" s="206" t="s">
        <v>1310</v>
      </c>
      <c r="B369" s="230">
        <v>45721</v>
      </c>
      <c r="C369" s="206" t="s">
        <v>102</v>
      </c>
      <c r="D369" s="206" t="s">
        <v>886</v>
      </c>
      <c r="E369" s="206" t="s">
        <v>887</v>
      </c>
      <c r="F369" s="206" t="s">
        <v>888</v>
      </c>
      <c r="G369" s="206" t="s">
        <v>45</v>
      </c>
      <c r="H369" s="206" t="s">
        <v>28</v>
      </c>
      <c r="I369" s="206" t="s">
        <v>46</v>
      </c>
      <c r="J369" s="206" t="s">
        <v>47</v>
      </c>
      <c r="K369" s="206" t="s">
        <v>54</v>
      </c>
      <c r="L369" s="206" t="str">
        <f>VLOOKUP(Primary_Order[[#This Row],[Product ID]],SKU[],3,0)</f>
        <v>3000 4T PLUS 10W40</v>
      </c>
      <c r="M369" s="231">
        <v>80</v>
      </c>
      <c r="N369" s="231">
        <v>530</v>
      </c>
      <c r="O369" s="231">
        <v>80</v>
      </c>
      <c r="P369" s="232">
        <v>0</v>
      </c>
      <c r="Q369" s="231">
        <v>0</v>
      </c>
      <c r="R369" s="231">
        <v>530</v>
      </c>
      <c r="S369" s="231">
        <v>80</v>
      </c>
      <c r="T369" s="231">
        <v>80</v>
      </c>
      <c r="U369" s="231">
        <v>42400</v>
      </c>
      <c r="V369" s="231">
        <v>0</v>
      </c>
      <c r="W369" s="231">
        <v>42400</v>
      </c>
      <c r="X369" s="231">
        <v>5530.434782608696</v>
      </c>
      <c r="Y369" s="231">
        <v>36869.565217391304</v>
      </c>
      <c r="Z369" s="206" t="s">
        <v>882</v>
      </c>
      <c r="AA369" s="206">
        <v>665</v>
      </c>
      <c r="AB369" s="206" t="s">
        <v>749</v>
      </c>
      <c r="AC369" s="230">
        <v>45722</v>
      </c>
      <c r="AD369" s="206" t="s">
        <v>50</v>
      </c>
      <c r="AE369" s="206" t="str">
        <f>IFERROR(VLOOKUP(Primary_Order[[#This Row],[AM]],SP!$E$19:$F$23,2,0),Primary_Order[[#This Row],[AM]])</f>
        <v>Eastern</v>
      </c>
      <c r="AF369" s="206" t="str">
        <f>VLOOKUP(Primary_Order[[#This Row],[Product ID]],SKU[],10,0)</f>
        <v>Mineral</v>
      </c>
      <c r="AG369" s="206" t="str">
        <f>VLOOKUP(Primary_Order[[#This Row],[Product ID]],SKU[],9,0)</f>
        <v>MCO</v>
      </c>
      <c r="AH369" s="206" t="str">
        <f>VLOOKUP(Primary_Order[[#This Row],[Product ID]],SKU[],12,0)</f>
        <v>10W40</v>
      </c>
      <c r="AI369" s="206" t="str">
        <f>VLOOKUP(Primary_Order[[#This Row],[Product ID]],SKU[],13,0)</f>
        <v>3000</v>
      </c>
      <c r="AJ369" s="233">
        <f>VLOOKUP(Primary_Order[[#This Row],[Product ID]],SKU[[SKU ID]:[Bottle Size(Ltr)]],6,0)*Primary_Order[[#This Row],[Free Quantity]]</f>
        <v>0</v>
      </c>
      <c r="AK369" s="206" t="str">
        <f>VLOOKUP(Primary_Order[[#This Row],[Product ID]],SKU[[SKU ID]:[Bottle Size(Ltr)]],4,0)</f>
        <v>20x1L</v>
      </c>
      <c r="AL369" s="231">
        <f>VLOOKUP(Primary_Order[[#This Row],[Product ID]],SKU[],14,0)*Primary_Order[[#This Row],[Total Qty]]</f>
        <v>30788</v>
      </c>
      <c r="AM369" s="231">
        <f>IF(Primary_Order[[#This Row],[Cost]]=0,0,Primary_Order[[#This Row],[Net Total(-15%)]]-Primary_Order[[#This Row],[Cost]])</f>
        <v>6081.565217391304</v>
      </c>
      <c r="AN369" s="206" t="str">
        <f>"O-"&amp;Primary_Order[[#This Row],[Date]]&amp;"-"&amp;Primary_Order[[#This Row],[MMD ID]]</f>
        <v>O-45721-D-0003</v>
      </c>
      <c r="AO369" s="206" t="str" cm="1">
        <f t="array" ref="AO36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0" spans="1:41" x14ac:dyDescent="0.5">
      <c r="A370" s="206" t="s">
        <v>1310</v>
      </c>
      <c r="B370" s="230">
        <v>45721</v>
      </c>
      <c r="C370" s="206" t="s">
        <v>102</v>
      </c>
      <c r="D370" s="206" t="s">
        <v>886</v>
      </c>
      <c r="E370" s="206" t="s">
        <v>887</v>
      </c>
      <c r="F370" s="206" t="s">
        <v>888</v>
      </c>
      <c r="G370" s="206" t="s">
        <v>45</v>
      </c>
      <c r="H370" s="206" t="s">
        <v>28</v>
      </c>
      <c r="I370" s="206" t="s">
        <v>46</v>
      </c>
      <c r="J370" s="206" t="s">
        <v>47</v>
      </c>
      <c r="K370" s="206" t="s">
        <v>81</v>
      </c>
      <c r="L370" s="206" t="str">
        <f>VLOOKUP(Primary_Order[[#This Row],[Product ID]],SKU[],3,0)</f>
        <v>3000 4T 20W50</v>
      </c>
      <c r="M370" s="231">
        <v>20</v>
      </c>
      <c r="N370" s="231">
        <v>470</v>
      </c>
      <c r="O370" s="231">
        <v>20</v>
      </c>
      <c r="P370" s="232">
        <v>0</v>
      </c>
      <c r="Q370" s="231">
        <v>0</v>
      </c>
      <c r="R370" s="231">
        <v>470</v>
      </c>
      <c r="S370" s="231">
        <v>20</v>
      </c>
      <c r="T370" s="231">
        <v>20</v>
      </c>
      <c r="U370" s="231">
        <v>9400</v>
      </c>
      <c r="V370" s="231">
        <v>0</v>
      </c>
      <c r="W370" s="231">
        <v>9400</v>
      </c>
      <c r="X370" s="231">
        <v>1226.0869565217392</v>
      </c>
      <c r="Y370" s="231">
        <v>8173.913043478261</v>
      </c>
      <c r="Z370" s="206" t="s">
        <v>882</v>
      </c>
      <c r="AA370" s="206">
        <v>665</v>
      </c>
      <c r="AB370" s="206" t="s">
        <v>749</v>
      </c>
      <c r="AC370" s="230">
        <v>45722</v>
      </c>
      <c r="AD370" s="206" t="s">
        <v>50</v>
      </c>
      <c r="AE370" s="206" t="str">
        <f>IFERROR(VLOOKUP(Primary_Order[[#This Row],[AM]],SP!$E$19:$F$23,2,0),Primary_Order[[#This Row],[AM]])</f>
        <v>Eastern</v>
      </c>
      <c r="AF370" s="206" t="str">
        <f>VLOOKUP(Primary_Order[[#This Row],[Product ID]],SKU[],10,0)</f>
        <v>Mineral</v>
      </c>
      <c r="AG370" s="206" t="str">
        <f>VLOOKUP(Primary_Order[[#This Row],[Product ID]],SKU[],9,0)</f>
        <v>MCO</v>
      </c>
      <c r="AH370" s="206" t="str">
        <f>VLOOKUP(Primary_Order[[#This Row],[Product ID]],SKU[],12,0)</f>
        <v>20W50</v>
      </c>
      <c r="AI370" s="206" t="str">
        <f>VLOOKUP(Primary_Order[[#This Row],[Product ID]],SKU[],13,0)</f>
        <v>3000</v>
      </c>
      <c r="AJ370" s="233">
        <f>VLOOKUP(Primary_Order[[#This Row],[Product ID]],SKU[[SKU ID]:[Bottle Size(Ltr)]],6,0)*Primary_Order[[#This Row],[Free Quantity]]</f>
        <v>0</v>
      </c>
      <c r="AK370" s="206" t="str">
        <f>VLOOKUP(Primary_Order[[#This Row],[Product ID]],SKU[[SKU ID]:[Bottle Size(Ltr)]],4,0)</f>
        <v>20x1L</v>
      </c>
      <c r="AL370" s="231">
        <f>VLOOKUP(Primary_Order[[#This Row],[Product ID]],SKU[],14,0)*Primary_Order[[#This Row],[Total Qty]]</f>
        <v>7298.4000000000005</v>
      </c>
      <c r="AM370" s="231">
        <f>IF(Primary_Order[[#This Row],[Cost]]=0,0,Primary_Order[[#This Row],[Net Total(-15%)]]-Primary_Order[[#This Row],[Cost]])</f>
        <v>875.51304347826044</v>
      </c>
      <c r="AN370" s="206" t="str">
        <f>"O-"&amp;Primary_Order[[#This Row],[Date]]&amp;"-"&amp;Primary_Order[[#This Row],[MMD ID]]</f>
        <v>O-45721-D-0003</v>
      </c>
      <c r="AO370" s="206" t="str" cm="1">
        <f t="array" ref="AO37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1" spans="1:41" x14ac:dyDescent="0.5">
      <c r="A371" s="206" t="s">
        <v>1337</v>
      </c>
      <c r="B371" s="230">
        <f>'Stock Report'!$B$82</f>
        <v>47848</v>
      </c>
      <c r="C371" s="206" t="s">
        <v>133</v>
      </c>
      <c r="D371" s="206" t="s">
        <v>134</v>
      </c>
      <c r="E371" s="206" t="s">
        <v>50</v>
      </c>
      <c r="F371" s="206" t="s">
        <v>50</v>
      </c>
      <c r="G371" s="206" t="s">
        <v>87</v>
      </c>
      <c r="H371" s="206" t="s">
        <v>87</v>
      </c>
      <c r="I371" s="206" t="s">
        <v>134</v>
      </c>
      <c r="J371" s="206" t="s">
        <v>52</v>
      </c>
      <c r="K371" s="206" t="s">
        <v>135</v>
      </c>
      <c r="L371" s="206" t="str">
        <f>VLOOKUP(Primary_Order[[#This Row],[Product ID]],SKU[],3,0)</f>
        <v>Agri Super 15W40</v>
      </c>
      <c r="M371" s="231">
        <v>214</v>
      </c>
      <c r="N371" s="231">
        <v>660</v>
      </c>
      <c r="O371" s="231">
        <v>214</v>
      </c>
      <c r="P371" s="232">
        <v>0.22727272727272729</v>
      </c>
      <c r="Q371" s="231">
        <v>0</v>
      </c>
      <c r="R371" s="231">
        <v>510</v>
      </c>
      <c r="S371" s="231">
        <v>214</v>
      </c>
      <c r="T371" s="231">
        <v>214</v>
      </c>
      <c r="U371" s="231">
        <v>141240</v>
      </c>
      <c r="V371" s="231">
        <v>0</v>
      </c>
      <c r="W371" s="231">
        <v>109140</v>
      </c>
      <c r="X371" s="231">
        <v>14235.652173913044</v>
      </c>
      <c r="Y371" s="231">
        <v>94904.34782608696</v>
      </c>
      <c r="Z371" s="206" t="s">
        <v>882</v>
      </c>
      <c r="AA371" s="206" t="s">
        <v>50</v>
      </c>
      <c r="AB371" s="206" t="s">
        <v>1170</v>
      </c>
      <c r="AC371" s="230" t="s">
        <v>50</v>
      </c>
      <c r="AD371" s="206" t="s">
        <v>1336</v>
      </c>
      <c r="AE371" s="206" t="str">
        <f>IFERROR(VLOOKUP(Primary_Order[[#This Row],[AM]],SP!$E$19:$F$23,2,0),Primary_Order[[#This Row],[AM]])</f>
        <v>Captive Sales</v>
      </c>
      <c r="AF371" s="206" t="str">
        <f>VLOOKUP(Primary_Order[[#This Row],[Product ID]],SKU[],10,0)</f>
        <v>Mineral</v>
      </c>
      <c r="AG371" s="206" t="str">
        <f>VLOOKUP(Primary_Order[[#This Row],[Product ID]],SKU[],9,0)</f>
        <v>Agri</v>
      </c>
      <c r="AH371" s="206" t="str">
        <f>VLOOKUP(Primary_Order[[#This Row],[Product ID]],SKU[],12,0)</f>
        <v>15W40</v>
      </c>
      <c r="AI371" s="206" t="str">
        <f>VLOOKUP(Primary_Order[[#This Row],[Product ID]],SKU[],13,0)</f>
        <v>Agri</v>
      </c>
      <c r="AJ371" s="233">
        <f>VLOOKUP(Primary_Order[[#This Row],[Product ID]],SKU[[SKU ID]:[Bottle Size(Ltr)]],6,0)*Primary_Order[[#This Row],[Free Quantity]]</f>
        <v>0</v>
      </c>
      <c r="AK371" s="206" t="str">
        <f>VLOOKUP(Primary_Order[[#This Row],[Product ID]],SKU[[SKU ID]:[Bottle Size(Ltr)]],4,0)</f>
        <v>20x1L</v>
      </c>
      <c r="AL371" s="231">
        <f>VLOOKUP(Primary_Order[[#This Row],[Product ID]],SKU[],14,0)*Primary_Order[[#This Row],[Total Qty]]</f>
        <v>85219.08</v>
      </c>
      <c r="AM371" s="231">
        <f>IF(Primary_Order[[#This Row],[Cost]]=0,0,Primary_Order[[#This Row],[Net Total(-15%)]]-Primary_Order[[#This Row],[Cost]])</f>
        <v>9685.2678260869579</v>
      </c>
      <c r="AN371" s="206" t="str">
        <f>"O-"&amp;Primary_Order[[#This Row],[Date]]&amp;"-"&amp;Primary_Order[[#This Row],[MMD ID]]</f>
        <v>O-47848-D-0028</v>
      </c>
      <c r="AO371" s="206" t="str" cm="1">
        <f t="array" ref="AO37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72" spans="1:41" x14ac:dyDescent="0.5">
      <c r="A372" s="206" t="s">
        <v>1338</v>
      </c>
      <c r="B372" s="230">
        <f>'Stock Report'!$B$82</f>
        <v>47848</v>
      </c>
      <c r="C372" s="206" t="s">
        <v>133</v>
      </c>
      <c r="D372" s="206" t="s">
        <v>134</v>
      </c>
      <c r="E372" s="206" t="s">
        <v>50</v>
      </c>
      <c r="F372" s="206" t="s">
        <v>50</v>
      </c>
      <c r="G372" s="206" t="s">
        <v>87</v>
      </c>
      <c r="H372" s="206" t="s">
        <v>87</v>
      </c>
      <c r="I372" s="206" t="s">
        <v>134</v>
      </c>
      <c r="J372" s="206" t="s">
        <v>52</v>
      </c>
      <c r="K372" s="206" t="s">
        <v>135</v>
      </c>
      <c r="L372" s="206" t="str">
        <f>VLOOKUP(Primary_Order[[#This Row],[Product ID]],SKU[],3,0)</f>
        <v>Agri Super 15W40</v>
      </c>
      <c r="M372" s="231">
        <v>227</v>
      </c>
      <c r="N372" s="231">
        <v>660</v>
      </c>
      <c r="O372" s="231">
        <v>227</v>
      </c>
      <c r="P372" s="232">
        <v>0.22727272727272729</v>
      </c>
      <c r="Q372" s="231">
        <v>0</v>
      </c>
      <c r="R372" s="231">
        <v>510</v>
      </c>
      <c r="S372" s="231">
        <v>227</v>
      </c>
      <c r="T372" s="231">
        <v>227</v>
      </c>
      <c r="U372" s="231">
        <v>149820</v>
      </c>
      <c r="V372" s="231">
        <v>0</v>
      </c>
      <c r="W372" s="231">
        <v>115770</v>
      </c>
      <c r="X372" s="231">
        <v>15100.434782608696</v>
      </c>
      <c r="Y372" s="231">
        <v>100669.56521739131</v>
      </c>
      <c r="Z372" s="206" t="s">
        <v>882</v>
      </c>
      <c r="AA372" s="206" t="s">
        <v>50</v>
      </c>
      <c r="AB372" s="206" t="s">
        <v>1170</v>
      </c>
      <c r="AC372" s="230" t="s">
        <v>50</v>
      </c>
      <c r="AD372" s="206" t="s">
        <v>1336</v>
      </c>
      <c r="AE372" s="206" t="str">
        <f>IFERROR(VLOOKUP(Primary_Order[[#This Row],[AM]],SP!$E$19:$F$23,2,0),Primary_Order[[#This Row],[AM]])</f>
        <v>Captive Sales</v>
      </c>
      <c r="AF372" s="206" t="str">
        <f>VLOOKUP(Primary_Order[[#This Row],[Product ID]],SKU[],10,0)</f>
        <v>Mineral</v>
      </c>
      <c r="AG372" s="206" t="str">
        <f>VLOOKUP(Primary_Order[[#This Row],[Product ID]],SKU[],9,0)</f>
        <v>Agri</v>
      </c>
      <c r="AH372" s="206" t="str">
        <f>VLOOKUP(Primary_Order[[#This Row],[Product ID]],SKU[],12,0)</f>
        <v>15W40</v>
      </c>
      <c r="AI372" s="206" t="str">
        <f>VLOOKUP(Primary_Order[[#This Row],[Product ID]],SKU[],13,0)</f>
        <v>Agri</v>
      </c>
      <c r="AJ372" s="233">
        <f>VLOOKUP(Primary_Order[[#This Row],[Product ID]],SKU[[SKU ID]:[Bottle Size(Ltr)]],6,0)*Primary_Order[[#This Row],[Free Quantity]]</f>
        <v>0</v>
      </c>
      <c r="AK372" s="206" t="str">
        <f>VLOOKUP(Primary_Order[[#This Row],[Product ID]],SKU[[SKU ID]:[Bottle Size(Ltr)]],4,0)</f>
        <v>20x1L</v>
      </c>
      <c r="AL372" s="231">
        <f>VLOOKUP(Primary_Order[[#This Row],[Product ID]],SKU[],14,0)*Primary_Order[[#This Row],[Total Qty]]</f>
        <v>90395.94</v>
      </c>
      <c r="AM372" s="231">
        <f>IF(Primary_Order[[#This Row],[Cost]]=0,0,Primary_Order[[#This Row],[Net Total(-15%)]]-Primary_Order[[#This Row],[Cost]])</f>
        <v>10273.625217391309</v>
      </c>
      <c r="AN372" s="206" t="str">
        <f>"O-"&amp;Primary_Order[[#This Row],[Date]]&amp;"-"&amp;Primary_Order[[#This Row],[MMD ID]]</f>
        <v>O-47848-D-0028</v>
      </c>
      <c r="AO372" s="206" t="str" cm="1">
        <f t="array" ref="AO37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73" spans="1:41" x14ac:dyDescent="0.5">
      <c r="A373" s="206" t="s">
        <v>1338</v>
      </c>
      <c r="B373" s="230">
        <f>'Stock Report'!$B$82</f>
        <v>47848</v>
      </c>
      <c r="C373" s="206" t="s">
        <v>133</v>
      </c>
      <c r="D373" s="206" t="s">
        <v>134</v>
      </c>
      <c r="E373" s="206" t="s">
        <v>50</v>
      </c>
      <c r="F373" s="206" t="s">
        <v>50</v>
      </c>
      <c r="G373" s="206" t="s">
        <v>87</v>
      </c>
      <c r="H373" s="206" t="s">
        <v>87</v>
      </c>
      <c r="I373" s="206" t="s">
        <v>134</v>
      </c>
      <c r="J373" s="206" t="s">
        <v>52</v>
      </c>
      <c r="K373" s="206" t="s">
        <v>136</v>
      </c>
      <c r="L373" s="206" t="str">
        <f>VLOOKUP(Primary_Order[[#This Row],[Product ID]],SKU[],3,0)</f>
        <v>Agri Super 15W40</v>
      </c>
      <c r="M373" s="231">
        <v>2</v>
      </c>
      <c r="N373" s="231">
        <v>3100</v>
      </c>
      <c r="O373" s="231">
        <v>10</v>
      </c>
      <c r="P373" s="232">
        <v>0.1806451612903226</v>
      </c>
      <c r="Q373" s="231">
        <v>0</v>
      </c>
      <c r="R373" s="231">
        <v>2540</v>
      </c>
      <c r="S373" s="231">
        <v>2</v>
      </c>
      <c r="T373" s="231">
        <v>10</v>
      </c>
      <c r="U373" s="231">
        <v>6200</v>
      </c>
      <c r="V373" s="231">
        <v>0</v>
      </c>
      <c r="W373" s="231">
        <v>5080</v>
      </c>
      <c r="X373" s="231">
        <v>662.60869565217388</v>
      </c>
      <c r="Y373" s="231">
        <v>4417.391304347826</v>
      </c>
      <c r="Z373" s="206" t="s">
        <v>882</v>
      </c>
      <c r="AA373" s="206" t="s">
        <v>50</v>
      </c>
      <c r="AB373" s="206" t="s">
        <v>1170</v>
      </c>
      <c r="AC373" s="230" t="s">
        <v>50</v>
      </c>
      <c r="AD373" s="206" t="s">
        <v>1336</v>
      </c>
      <c r="AE373" s="206" t="str">
        <f>IFERROR(VLOOKUP(Primary_Order[[#This Row],[AM]],SP!$E$19:$F$23,2,0),Primary_Order[[#This Row],[AM]])</f>
        <v>Captive Sales</v>
      </c>
      <c r="AF373" s="206" t="str">
        <f>VLOOKUP(Primary_Order[[#This Row],[Product ID]],SKU[],10,0)</f>
        <v>Mineral</v>
      </c>
      <c r="AG373" s="206" t="str">
        <f>VLOOKUP(Primary_Order[[#This Row],[Product ID]],SKU[],9,0)</f>
        <v>Agri</v>
      </c>
      <c r="AH373" s="206" t="str">
        <f>VLOOKUP(Primary_Order[[#This Row],[Product ID]],SKU[],12,0)</f>
        <v>15W40</v>
      </c>
      <c r="AI373" s="206" t="str">
        <f>VLOOKUP(Primary_Order[[#This Row],[Product ID]],SKU[],13,0)</f>
        <v>Agri</v>
      </c>
      <c r="AJ373" s="233">
        <f>VLOOKUP(Primary_Order[[#This Row],[Product ID]],SKU[[SKU ID]:[Bottle Size(Ltr)]],6,0)*Primary_Order[[#This Row],[Free Quantity]]</f>
        <v>0</v>
      </c>
      <c r="AK373" s="206" t="str">
        <f>VLOOKUP(Primary_Order[[#This Row],[Product ID]],SKU[[SKU ID]:[Bottle Size(Ltr)]],4,0)</f>
        <v>4x5L</v>
      </c>
      <c r="AL373" s="231">
        <f>VLOOKUP(Primary_Order[[#This Row],[Product ID]],SKU[],14,0)*Primary_Order[[#This Row],[Total Qty]]</f>
        <v>3917.38</v>
      </c>
      <c r="AM373" s="231">
        <f>IF(Primary_Order[[#This Row],[Cost]]=0,0,Primary_Order[[#This Row],[Net Total(-15%)]]-Primary_Order[[#This Row],[Cost]])</f>
        <v>500.0113043478259</v>
      </c>
      <c r="AN373" s="206" t="str">
        <f>"O-"&amp;Primary_Order[[#This Row],[Date]]&amp;"-"&amp;Primary_Order[[#This Row],[MMD ID]]</f>
        <v>O-47848-D-0028</v>
      </c>
      <c r="AO373" s="206" t="str" cm="1">
        <f t="array" ref="AO37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374" spans="1:41" x14ac:dyDescent="0.5">
      <c r="A374" s="206" t="s">
        <v>1341</v>
      </c>
      <c r="B374" s="230">
        <v>45726</v>
      </c>
      <c r="C374" s="206" t="s">
        <v>115</v>
      </c>
      <c r="D374" s="206" t="s">
        <v>70</v>
      </c>
      <c r="E374" s="206" t="s">
        <v>1342</v>
      </c>
      <c r="F374" s="206" t="s">
        <v>1316</v>
      </c>
      <c r="G374" s="206" t="s">
        <v>79</v>
      </c>
      <c r="H374" s="206" t="s">
        <v>40</v>
      </c>
      <c r="I374" s="206" t="s">
        <v>70</v>
      </c>
      <c r="J374" s="206" t="s">
        <v>80</v>
      </c>
      <c r="K374" s="206" t="s">
        <v>31</v>
      </c>
      <c r="L374" s="206" t="str">
        <f>VLOOKUP(Primary_Order[[#This Row],[Product ID]],SKU[],3,0)</f>
        <v>3000 4T PLUS 10W30</v>
      </c>
      <c r="M374" s="231">
        <v>300</v>
      </c>
      <c r="N374" s="231">
        <v>540</v>
      </c>
      <c r="O374" s="231">
        <v>300</v>
      </c>
      <c r="P374" s="232">
        <v>3.7518195050946224E-2</v>
      </c>
      <c r="Q374" s="231">
        <v>0</v>
      </c>
      <c r="R374" s="231">
        <v>519.74017467248905</v>
      </c>
      <c r="S374" s="231">
        <v>300</v>
      </c>
      <c r="T374" s="231">
        <v>300</v>
      </c>
      <c r="U374" s="231">
        <v>162000</v>
      </c>
      <c r="V374" s="231">
        <v>0</v>
      </c>
      <c r="W374" s="231">
        <v>155922.05240174671</v>
      </c>
      <c r="X374" s="231">
        <v>20337.659008923485</v>
      </c>
      <c r="Y374" s="231">
        <v>135584.39339282323</v>
      </c>
      <c r="Z374" s="206" t="s">
        <v>882</v>
      </c>
      <c r="AA374" s="206">
        <v>668</v>
      </c>
      <c r="AB374" s="206" t="s">
        <v>641</v>
      </c>
      <c r="AC374" s="230">
        <v>45727</v>
      </c>
      <c r="AD374" s="206" t="s">
        <v>1317</v>
      </c>
      <c r="AE374" s="206" t="str">
        <f>IFERROR(VLOOKUP(Primary_Order[[#This Row],[AM]],SP!$E$19:$F$23,2,0),Primary_Order[[#This Row],[AM]])</f>
        <v>Central</v>
      </c>
      <c r="AF374" s="206" t="str">
        <f>VLOOKUP(Primary_Order[[#This Row],[Product ID]],SKU[],10,0)</f>
        <v>Mineral</v>
      </c>
      <c r="AG374" s="206" t="str">
        <f>VLOOKUP(Primary_Order[[#This Row],[Product ID]],SKU[],9,0)</f>
        <v>MCO</v>
      </c>
      <c r="AH374" s="206" t="str">
        <f>VLOOKUP(Primary_Order[[#This Row],[Product ID]],SKU[],12,0)</f>
        <v>10W30</v>
      </c>
      <c r="AI374" s="206" t="str">
        <f>VLOOKUP(Primary_Order[[#This Row],[Product ID]],SKU[],13,0)</f>
        <v>3000</v>
      </c>
      <c r="AJ374" s="233">
        <f>VLOOKUP(Primary_Order[[#This Row],[Product ID]],SKU[[SKU ID]:[Bottle Size(Ltr)]],6,0)*Primary_Order[[#This Row],[Free Quantity]]</f>
        <v>0</v>
      </c>
      <c r="AK374" s="206" t="str">
        <f>VLOOKUP(Primary_Order[[#This Row],[Product ID]],SKU[[SKU ID]:[Bottle Size(Ltr)]],4,0)</f>
        <v>20x1L</v>
      </c>
      <c r="AL374" s="231">
        <f>VLOOKUP(Primary_Order[[#This Row],[Product ID]],SKU[],14,0)*Primary_Order[[#This Row],[Total Qty]]</f>
        <v>113799</v>
      </c>
      <c r="AM374" s="231">
        <f>IF(Primary_Order[[#This Row],[Cost]]=0,0,Primary_Order[[#This Row],[Net Total(-15%)]]-Primary_Order[[#This Row],[Cost]])</f>
        <v>21785.393392823229</v>
      </c>
      <c r="AN374" s="206" t="str">
        <f>"O-"&amp;Primary_Order[[#This Row],[Date]]&amp;"-"&amp;Primary_Order[[#This Row],[MMD ID]]</f>
        <v>O-45726-D-0013</v>
      </c>
      <c r="AO374" s="206" t="str" cm="1">
        <f t="array" ref="AO37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5" spans="1:41" x14ac:dyDescent="0.5">
      <c r="A375" s="206" t="s">
        <v>1341</v>
      </c>
      <c r="B375" s="230">
        <v>45726</v>
      </c>
      <c r="C375" s="206" t="s">
        <v>115</v>
      </c>
      <c r="D375" s="206" t="s">
        <v>70</v>
      </c>
      <c r="E375" s="206" t="s">
        <v>1342</v>
      </c>
      <c r="F375" s="206" t="s">
        <v>1316</v>
      </c>
      <c r="G375" s="206" t="s">
        <v>79</v>
      </c>
      <c r="H375" s="206" t="s">
        <v>40</v>
      </c>
      <c r="I375" s="206" t="s">
        <v>70</v>
      </c>
      <c r="J375" s="206" t="s">
        <v>80</v>
      </c>
      <c r="K375" s="206" t="s">
        <v>53</v>
      </c>
      <c r="L375" s="206" t="str">
        <f>VLOOKUP(Primary_Order[[#This Row],[Product ID]],SKU[],3,0)</f>
        <v>3000 4T PLUS 20W40</v>
      </c>
      <c r="M375" s="231">
        <v>500</v>
      </c>
      <c r="N375" s="231">
        <v>535</v>
      </c>
      <c r="O375" s="231">
        <v>500</v>
      </c>
      <c r="P375" s="232">
        <v>3.7868832387870976E-2</v>
      </c>
      <c r="Q375" s="231">
        <v>0</v>
      </c>
      <c r="R375" s="231">
        <v>514.74017467248905</v>
      </c>
      <c r="S375" s="231">
        <v>500</v>
      </c>
      <c r="T375" s="231">
        <v>500</v>
      </c>
      <c r="U375" s="231">
        <v>267500</v>
      </c>
      <c r="V375" s="231">
        <v>0</v>
      </c>
      <c r="W375" s="231">
        <v>257370.08733624453</v>
      </c>
      <c r="X375" s="231">
        <v>33570.011391684071</v>
      </c>
      <c r="Y375" s="231">
        <v>223800.07594456043</v>
      </c>
      <c r="Z375" s="206" t="s">
        <v>882</v>
      </c>
      <c r="AA375" s="206">
        <v>668</v>
      </c>
      <c r="AB375" s="206" t="s">
        <v>641</v>
      </c>
      <c r="AC375" s="230">
        <v>45727</v>
      </c>
      <c r="AD375" s="206" t="s">
        <v>1317</v>
      </c>
      <c r="AE375" s="206" t="str">
        <f>IFERROR(VLOOKUP(Primary_Order[[#This Row],[AM]],SP!$E$19:$F$23,2,0),Primary_Order[[#This Row],[AM]])</f>
        <v>Central</v>
      </c>
      <c r="AF375" s="206" t="str">
        <f>VLOOKUP(Primary_Order[[#This Row],[Product ID]],SKU[],10,0)</f>
        <v>Mineral</v>
      </c>
      <c r="AG375" s="206" t="str">
        <f>VLOOKUP(Primary_Order[[#This Row],[Product ID]],SKU[],9,0)</f>
        <v>MCO</v>
      </c>
      <c r="AH375" s="206" t="str">
        <f>VLOOKUP(Primary_Order[[#This Row],[Product ID]],SKU[],12,0)</f>
        <v>20W40</v>
      </c>
      <c r="AI375" s="206" t="str">
        <f>VLOOKUP(Primary_Order[[#This Row],[Product ID]],SKU[],13,0)</f>
        <v>3000</v>
      </c>
      <c r="AJ375" s="233">
        <f>VLOOKUP(Primary_Order[[#This Row],[Product ID]],SKU[[SKU ID]:[Bottle Size(Ltr)]],6,0)*Primary_Order[[#This Row],[Free Quantity]]</f>
        <v>0</v>
      </c>
      <c r="AK375" s="206" t="str">
        <f>VLOOKUP(Primary_Order[[#This Row],[Product ID]],SKU[[SKU ID]:[Bottle Size(Ltr)]],4,0)</f>
        <v>20x1L</v>
      </c>
      <c r="AL375" s="231">
        <f>VLOOKUP(Primary_Order[[#This Row],[Product ID]],SKU[],14,0)*Primary_Order[[#This Row],[Total Qty]]</f>
        <v>206380</v>
      </c>
      <c r="AM375" s="231">
        <f>IF(Primary_Order[[#This Row],[Cost]]=0,0,Primary_Order[[#This Row],[Net Total(-15%)]]-Primary_Order[[#This Row],[Cost]])</f>
        <v>17420.075944560434</v>
      </c>
      <c r="AN375" s="206" t="str">
        <f>"O-"&amp;Primary_Order[[#This Row],[Date]]&amp;"-"&amp;Primary_Order[[#This Row],[MMD ID]]</f>
        <v>O-45726-D-0013</v>
      </c>
      <c r="AO375" s="206" t="str" cm="1">
        <f t="array" ref="AO37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6" spans="1:41" x14ac:dyDescent="0.5">
      <c r="A376" s="206" t="s">
        <v>1341</v>
      </c>
      <c r="B376" s="230">
        <v>45726</v>
      </c>
      <c r="C376" s="206" t="s">
        <v>115</v>
      </c>
      <c r="D376" s="206" t="s">
        <v>70</v>
      </c>
      <c r="E376" s="206" t="s">
        <v>1342</v>
      </c>
      <c r="F376" s="206" t="s">
        <v>1316</v>
      </c>
      <c r="G376" s="206" t="s">
        <v>79</v>
      </c>
      <c r="H376" s="206" t="s">
        <v>40</v>
      </c>
      <c r="I376" s="206" t="s">
        <v>70</v>
      </c>
      <c r="J376" s="206" t="s">
        <v>80</v>
      </c>
      <c r="K376" s="206" t="s">
        <v>54</v>
      </c>
      <c r="L376" s="206" t="str">
        <f>VLOOKUP(Primary_Order[[#This Row],[Product ID]],SKU[],3,0)</f>
        <v>3000 4T PLUS 10W40</v>
      </c>
      <c r="M376" s="231">
        <v>400</v>
      </c>
      <c r="N376" s="231">
        <v>550</v>
      </c>
      <c r="O376" s="231">
        <v>400</v>
      </c>
      <c r="P376" s="232">
        <v>3.6836046050019888E-2</v>
      </c>
      <c r="Q376" s="231">
        <v>0</v>
      </c>
      <c r="R376" s="231">
        <v>529.74017467248905</v>
      </c>
      <c r="S376" s="231">
        <v>400</v>
      </c>
      <c r="T376" s="231">
        <v>400</v>
      </c>
      <c r="U376" s="231">
        <v>220000</v>
      </c>
      <c r="V376" s="231">
        <v>0</v>
      </c>
      <c r="W376" s="231">
        <v>211896.06986899563</v>
      </c>
      <c r="X376" s="231">
        <v>27638.617808999428</v>
      </c>
      <c r="Y376" s="231">
        <v>184257.4520599962</v>
      </c>
      <c r="Z376" s="206" t="s">
        <v>882</v>
      </c>
      <c r="AA376" s="206">
        <v>668</v>
      </c>
      <c r="AB376" s="206" t="s">
        <v>641</v>
      </c>
      <c r="AC376" s="230">
        <v>45727</v>
      </c>
      <c r="AD376" s="206" t="s">
        <v>1317</v>
      </c>
      <c r="AE376" s="206" t="str">
        <f>IFERROR(VLOOKUP(Primary_Order[[#This Row],[AM]],SP!$E$19:$F$23,2,0),Primary_Order[[#This Row],[AM]])</f>
        <v>Central</v>
      </c>
      <c r="AF376" s="206" t="str">
        <f>VLOOKUP(Primary_Order[[#This Row],[Product ID]],SKU[],10,0)</f>
        <v>Mineral</v>
      </c>
      <c r="AG376" s="206" t="str">
        <f>VLOOKUP(Primary_Order[[#This Row],[Product ID]],SKU[],9,0)</f>
        <v>MCO</v>
      </c>
      <c r="AH376" s="206" t="str">
        <f>VLOOKUP(Primary_Order[[#This Row],[Product ID]],SKU[],12,0)</f>
        <v>10W40</v>
      </c>
      <c r="AI376" s="206" t="str">
        <f>VLOOKUP(Primary_Order[[#This Row],[Product ID]],SKU[],13,0)</f>
        <v>3000</v>
      </c>
      <c r="AJ376" s="233">
        <f>VLOOKUP(Primary_Order[[#This Row],[Product ID]],SKU[[SKU ID]:[Bottle Size(Ltr)]],6,0)*Primary_Order[[#This Row],[Free Quantity]]</f>
        <v>0</v>
      </c>
      <c r="AK376" s="206" t="str">
        <f>VLOOKUP(Primary_Order[[#This Row],[Product ID]],SKU[[SKU ID]:[Bottle Size(Ltr)]],4,0)</f>
        <v>20x1L</v>
      </c>
      <c r="AL376" s="231">
        <f>VLOOKUP(Primary_Order[[#This Row],[Product ID]],SKU[],14,0)*Primary_Order[[#This Row],[Total Qty]]</f>
        <v>153940</v>
      </c>
      <c r="AM376" s="231">
        <f>IF(Primary_Order[[#This Row],[Cost]]=0,0,Primary_Order[[#This Row],[Net Total(-15%)]]-Primary_Order[[#This Row],[Cost]])</f>
        <v>30317.452059996198</v>
      </c>
      <c r="AN376" s="206" t="str">
        <f>"O-"&amp;Primary_Order[[#This Row],[Date]]&amp;"-"&amp;Primary_Order[[#This Row],[MMD ID]]</f>
        <v>O-45726-D-0013</v>
      </c>
      <c r="AO376" s="206" t="str" cm="1">
        <f t="array" ref="AO37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7" spans="1:41" x14ac:dyDescent="0.5">
      <c r="A377" s="206" t="s">
        <v>1341</v>
      </c>
      <c r="B377" s="230">
        <v>45726</v>
      </c>
      <c r="C377" s="206" t="s">
        <v>115</v>
      </c>
      <c r="D377" s="206" t="s">
        <v>70</v>
      </c>
      <c r="E377" s="206" t="s">
        <v>1342</v>
      </c>
      <c r="F377" s="206" t="s">
        <v>1316</v>
      </c>
      <c r="G377" s="206" t="s">
        <v>79</v>
      </c>
      <c r="H377" s="206" t="s">
        <v>40</v>
      </c>
      <c r="I377" s="206" t="s">
        <v>70</v>
      </c>
      <c r="J377" s="206" t="s">
        <v>80</v>
      </c>
      <c r="K377" s="206" t="s">
        <v>33</v>
      </c>
      <c r="L377" s="206" t="str">
        <f>VLOOKUP(Primary_Order[[#This Row],[Product ID]],SKU[],3,0)</f>
        <v>3000 4T PLUS 20W40</v>
      </c>
      <c r="M377" s="231">
        <v>200</v>
      </c>
      <c r="N377" s="231">
        <v>645</v>
      </c>
      <c r="O377" s="231">
        <v>240</v>
      </c>
      <c r="P377" s="232">
        <v>3.141058190311774E-2</v>
      </c>
      <c r="Q377" s="231">
        <v>0</v>
      </c>
      <c r="R377" s="231">
        <v>624.74017467248905</v>
      </c>
      <c r="S377" s="231">
        <v>200</v>
      </c>
      <c r="T377" s="231">
        <v>240</v>
      </c>
      <c r="U377" s="231">
        <v>129000</v>
      </c>
      <c r="V377" s="231">
        <v>0</v>
      </c>
      <c r="W377" s="231">
        <v>124948.03493449782</v>
      </c>
      <c r="X377" s="231">
        <v>16297.569774064932</v>
      </c>
      <c r="Y377" s="231">
        <v>108650.46516043288</v>
      </c>
      <c r="Z377" s="206" t="s">
        <v>882</v>
      </c>
      <c r="AA377" s="206">
        <v>668</v>
      </c>
      <c r="AB377" s="206" t="s">
        <v>641</v>
      </c>
      <c r="AC377" s="230">
        <v>45727</v>
      </c>
      <c r="AD377" s="206" t="s">
        <v>1317</v>
      </c>
      <c r="AE377" s="206" t="str">
        <f>IFERROR(VLOOKUP(Primary_Order[[#This Row],[AM]],SP!$E$19:$F$23,2,0),Primary_Order[[#This Row],[AM]])</f>
        <v>Central</v>
      </c>
      <c r="AF377" s="206" t="str">
        <f>VLOOKUP(Primary_Order[[#This Row],[Product ID]],SKU[],10,0)</f>
        <v>Mineral</v>
      </c>
      <c r="AG377" s="206" t="str">
        <f>VLOOKUP(Primary_Order[[#This Row],[Product ID]],SKU[],9,0)</f>
        <v>MCO</v>
      </c>
      <c r="AH377" s="206" t="str">
        <f>VLOOKUP(Primary_Order[[#This Row],[Product ID]],SKU[],12,0)</f>
        <v>20W40</v>
      </c>
      <c r="AI377" s="206" t="str">
        <f>VLOOKUP(Primary_Order[[#This Row],[Product ID]],SKU[],13,0)</f>
        <v>3000</v>
      </c>
      <c r="AJ377" s="233">
        <f>VLOOKUP(Primary_Order[[#This Row],[Product ID]],SKU[[SKU ID]:[Bottle Size(Ltr)]],6,0)*Primary_Order[[#This Row],[Free Quantity]]</f>
        <v>0</v>
      </c>
      <c r="AK377" s="206" t="str">
        <f>VLOOKUP(Primary_Order[[#This Row],[Product ID]],SKU[[SKU ID]:[Bottle Size(Ltr)]],4,0)</f>
        <v>20x1.2L</v>
      </c>
      <c r="AL377" s="231">
        <f>VLOOKUP(Primary_Order[[#This Row],[Product ID]],SKU[],14,0)*Primary_Order[[#This Row],[Total Qty]]</f>
        <v>93979.559070121948</v>
      </c>
      <c r="AM377" s="231">
        <f>IF(Primary_Order[[#This Row],[Cost]]=0,0,Primary_Order[[#This Row],[Net Total(-15%)]]-Primary_Order[[#This Row],[Cost]])</f>
        <v>14670.906090310935</v>
      </c>
      <c r="AN377" s="206" t="str">
        <f>"O-"&amp;Primary_Order[[#This Row],[Date]]&amp;"-"&amp;Primary_Order[[#This Row],[MMD ID]]</f>
        <v>O-45726-D-0013</v>
      </c>
      <c r="AO377" s="206" t="str" cm="1">
        <f t="array" ref="AO37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8" spans="1:41" x14ac:dyDescent="0.5">
      <c r="A378" s="206" t="s">
        <v>1341</v>
      </c>
      <c r="B378" s="230">
        <v>45726</v>
      </c>
      <c r="C378" s="206" t="s">
        <v>115</v>
      </c>
      <c r="D378" s="206" t="s">
        <v>70</v>
      </c>
      <c r="E378" s="206" t="s">
        <v>1342</v>
      </c>
      <c r="F378" s="206" t="s">
        <v>1316</v>
      </c>
      <c r="G378" s="206" t="s">
        <v>79</v>
      </c>
      <c r="H378" s="206" t="s">
        <v>40</v>
      </c>
      <c r="I378" s="206" t="s">
        <v>70</v>
      </c>
      <c r="J378" s="206" t="s">
        <v>80</v>
      </c>
      <c r="K378" s="206" t="s">
        <v>75</v>
      </c>
      <c r="L378" s="206" t="str">
        <f>VLOOKUP(Primary_Order[[#This Row],[Product ID]],SKU[],3,0)</f>
        <v>31004T GOLD 20W50</v>
      </c>
      <c r="M378" s="231">
        <v>100</v>
      </c>
      <c r="N378" s="231">
        <v>600</v>
      </c>
      <c r="O378" s="231">
        <v>100</v>
      </c>
      <c r="P378" s="232">
        <v>3.376637554585149E-2</v>
      </c>
      <c r="Q378" s="231">
        <v>0</v>
      </c>
      <c r="R378" s="231">
        <v>579.74017467248905</v>
      </c>
      <c r="S378" s="231">
        <v>100</v>
      </c>
      <c r="T378" s="231">
        <v>100</v>
      </c>
      <c r="U378" s="231">
        <v>60000</v>
      </c>
      <c r="V378" s="231">
        <v>0</v>
      </c>
      <c r="W378" s="231">
        <v>57974.017467248908</v>
      </c>
      <c r="X378" s="231">
        <v>7561.8283652933351</v>
      </c>
      <c r="Y378" s="231">
        <v>50412.18910195557</v>
      </c>
      <c r="Z378" s="206" t="s">
        <v>882</v>
      </c>
      <c r="AA378" s="206">
        <v>668</v>
      </c>
      <c r="AB378" s="206" t="s">
        <v>641</v>
      </c>
      <c r="AC378" s="230">
        <v>45727</v>
      </c>
      <c r="AD378" s="206" t="s">
        <v>1317</v>
      </c>
      <c r="AE378" s="206" t="str">
        <f>IFERROR(VLOOKUP(Primary_Order[[#This Row],[AM]],SP!$E$19:$F$23,2,0),Primary_Order[[#This Row],[AM]])</f>
        <v>Central</v>
      </c>
      <c r="AF378" s="206" t="str">
        <f>VLOOKUP(Primary_Order[[#This Row],[Product ID]],SKU[],10,0)</f>
        <v>Technosynthese</v>
      </c>
      <c r="AG378" s="206" t="str">
        <f>VLOOKUP(Primary_Order[[#This Row],[Product ID]],SKU[],9,0)</f>
        <v>MCO</v>
      </c>
      <c r="AH378" s="206" t="str">
        <f>VLOOKUP(Primary_Order[[#This Row],[Product ID]],SKU[],12,0)</f>
        <v>20W50</v>
      </c>
      <c r="AI378" s="206" t="str">
        <f>VLOOKUP(Primary_Order[[#This Row],[Product ID]],SKU[],13,0)</f>
        <v>3100</v>
      </c>
      <c r="AJ378" s="233">
        <f>VLOOKUP(Primary_Order[[#This Row],[Product ID]],SKU[[SKU ID]:[Bottle Size(Ltr)]],6,0)*Primary_Order[[#This Row],[Free Quantity]]</f>
        <v>0</v>
      </c>
      <c r="AK378" s="206" t="str">
        <f>VLOOKUP(Primary_Order[[#This Row],[Product ID]],SKU[[SKU ID]:[Bottle Size(Ltr)]],4,0)</f>
        <v>20x1L</v>
      </c>
      <c r="AL378" s="231">
        <f>VLOOKUP(Primary_Order[[#This Row],[Product ID]],SKU[],14,0)*Primary_Order[[#This Row],[Total Qty]]</f>
        <v>46939</v>
      </c>
      <c r="AM378" s="231">
        <f>IF(Primary_Order[[#This Row],[Cost]]=0,0,Primary_Order[[#This Row],[Net Total(-15%)]]-Primary_Order[[#This Row],[Cost]])</f>
        <v>3473.1891019555696</v>
      </c>
      <c r="AN378" s="206" t="str">
        <f>"O-"&amp;Primary_Order[[#This Row],[Date]]&amp;"-"&amp;Primary_Order[[#This Row],[MMD ID]]</f>
        <v>O-45726-D-0013</v>
      </c>
      <c r="AO378" s="206" t="str" cm="1">
        <f t="array" ref="AO37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79" spans="1:41" x14ac:dyDescent="0.5">
      <c r="A379" s="206" t="s">
        <v>1341</v>
      </c>
      <c r="B379" s="230">
        <v>45726</v>
      </c>
      <c r="C379" s="206" t="s">
        <v>115</v>
      </c>
      <c r="D379" s="206" t="s">
        <v>70</v>
      </c>
      <c r="E379" s="206" t="s">
        <v>1342</v>
      </c>
      <c r="F379" s="206" t="s">
        <v>1316</v>
      </c>
      <c r="G379" s="206" t="s">
        <v>79</v>
      </c>
      <c r="H379" s="206" t="s">
        <v>40</v>
      </c>
      <c r="I379" s="206" t="s">
        <v>70</v>
      </c>
      <c r="J379" s="206" t="s">
        <v>80</v>
      </c>
      <c r="K379" s="206" t="s">
        <v>77</v>
      </c>
      <c r="L379" s="206" t="str">
        <f>VLOOKUP(Primary_Order[[#This Row],[Product ID]],SKU[],3,0)</f>
        <v>31004T GOLD 10W30</v>
      </c>
      <c r="M379" s="231">
        <v>60</v>
      </c>
      <c r="N379" s="231">
        <v>600</v>
      </c>
      <c r="O379" s="231">
        <v>60</v>
      </c>
      <c r="P379" s="232">
        <v>3.3766375545851712E-2</v>
      </c>
      <c r="Q379" s="231">
        <v>0</v>
      </c>
      <c r="R379" s="231">
        <v>579.74017467248905</v>
      </c>
      <c r="S379" s="231">
        <v>60</v>
      </c>
      <c r="T379" s="231">
        <v>60</v>
      </c>
      <c r="U379" s="231">
        <v>36000</v>
      </c>
      <c r="V379" s="231">
        <v>0</v>
      </c>
      <c r="W379" s="231">
        <v>34784.410480349339</v>
      </c>
      <c r="X379" s="231">
        <v>4537.0970191760007</v>
      </c>
      <c r="Y379" s="231">
        <v>30247.313461173337</v>
      </c>
      <c r="Z379" s="206" t="s">
        <v>882</v>
      </c>
      <c r="AA379" s="206">
        <v>668</v>
      </c>
      <c r="AB379" s="206" t="s">
        <v>641</v>
      </c>
      <c r="AC379" s="230">
        <v>45727</v>
      </c>
      <c r="AD379" s="206" t="s">
        <v>1317</v>
      </c>
      <c r="AE379" s="206" t="str">
        <f>IFERROR(VLOOKUP(Primary_Order[[#This Row],[AM]],SP!$E$19:$F$23,2,0),Primary_Order[[#This Row],[AM]])</f>
        <v>Central</v>
      </c>
      <c r="AF379" s="206" t="str">
        <f>VLOOKUP(Primary_Order[[#This Row],[Product ID]],SKU[],10,0)</f>
        <v>Technosynthese</v>
      </c>
      <c r="AG379" s="206" t="str">
        <f>VLOOKUP(Primary_Order[[#This Row],[Product ID]],SKU[],9,0)</f>
        <v>MCO</v>
      </c>
      <c r="AH379" s="206" t="str">
        <f>VLOOKUP(Primary_Order[[#This Row],[Product ID]],SKU[],12,0)</f>
        <v>10W30</v>
      </c>
      <c r="AI379" s="206" t="str">
        <f>VLOOKUP(Primary_Order[[#This Row],[Product ID]],SKU[],13,0)</f>
        <v>3100</v>
      </c>
      <c r="AJ379" s="233">
        <f>VLOOKUP(Primary_Order[[#This Row],[Product ID]],SKU[[SKU ID]:[Bottle Size(Ltr)]],6,0)*Primary_Order[[#This Row],[Free Quantity]]</f>
        <v>0</v>
      </c>
      <c r="AK379" s="206" t="str">
        <f>VLOOKUP(Primary_Order[[#This Row],[Product ID]],SKU[[SKU ID]:[Bottle Size(Ltr)]],4,0)</f>
        <v>20x1L</v>
      </c>
      <c r="AL379" s="231">
        <f>VLOOKUP(Primary_Order[[#This Row],[Product ID]],SKU[],14,0)*Primary_Order[[#This Row],[Total Qty]]</f>
        <v>25506</v>
      </c>
      <c r="AM379" s="231">
        <f>IF(Primary_Order[[#This Row],[Cost]]=0,0,Primary_Order[[#This Row],[Net Total(-15%)]]-Primary_Order[[#This Row],[Cost]])</f>
        <v>4741.3134611733367</v>
      </c>
      <c r="AN379" s="206" t="str">
        <f>"O-"&amp;Primary_Order[[#This Row],[Date]]&amp;"-"&amp;Primary_Order[[#This Row],[MMD ID]]</f>
        <v>O-45726-D-0013</v>
      </c>
      <c r="AO379" s="206" t="str" cm="1">
        <f t="array" ref="AO37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0" spans="1:41" x14ac:dyDescent="0.5">
      <c r="A380" s="206" t="s">
        <v>1341</v>
      </c>
      <c r="B380" s="230">
        <v>45726</v>
      </c>
      <c r="C380" s="206" t="s">
        <v>115</v>
      </c>
      <c r="D380" s="206" t="s">
        <v>70</v>
      </c>
      <c r="E380" s="206" t="s">
        <v>1342</v>
      </c>
      <c r="F380" s="206" t="s">
        <v>1316</v>
      </c>
      <c r="G380" s="206" t="s">
        <v>79</v>
      </c>
      <c r="H380" s="206" t="s">
        <v>40</v>
      </c>
      <c r="I380" s="206" t="s">
        <v>70</v>
      </c>
      <c r="J380" s="206" t="s">
        <v>80</v>
      </c>
      <c r="K380" s="206" t="s">
        <v>35</v>
      </c>
      <c r="L380" s="206" t="str">
        <f>VLOOKUP(Primary_Order[[#This Row],[Product ID]],SKU[],3,0)</f>
        <v>51004T 10W30 ESTER</v>
      </c>
      <c r="M380" s="231">
        <v>36</v>
      </c>
      <c r="N380" s="231">
        <v>860</v>
      </c>
      <c r="O380" s="231">
        <v>36</v>
      </c>
      <c r="P380" s="232">
        <v>2.3557936427338277E-2</v>
      </c>
      <c r="Q380" s="231">
        <v>0</v>
      </c>
      <c r="R380" s="231">
        <v>839.74017467248905</v>
      </c>
      <c r="S380" s="231">
        <v>36</v>
      </c>
      <c r="T380" s="231">
        <v>36</v>
      </c>
      <c r="U380" s="231">
        <v>30960</v>
      </c>
      <c r="V380" s="231">
        <v>0</v>
      </c>
      <c r="W380" s="231">
        <v>30230.646288209606</v>
      </c>
      <c r="X380" s="231">
        <v>3943.1277767229922</v>
      </c>
      <c r="Y380" s="231">
        <v>26287.518511486611</v>
      </c>
      <c r="Z380" s="206" t="s">
        <v>882</v>
      </c>
      <c r="AA380" s="206">
        <v>668</v>
      </c>
      <c r="AB380" s="206" t="s">
        <v>641</v>
      </c>
      <c r="AC380" s="230">
        <v>45727</v>
      </c>
      <c r="AD380" s="206" t="s">
        <v>1317</v>
      </c>
      <c r="AE380" s="206" t="str">
        <f>IFERROR(VLOOKUP(Primary_Order[[#This Row],[AM]],SP!$E$19:$F$23,2,0),Primary_Order[[#This Row],[AM]])</f>
        <v>Central</v>
      </c>
      <c r="AF380" s="206" t="str">
        <f>VLOOKUP(Primary_Order[[#This Row],[Product ID]],SKU[],10,0)</f>
        <v>Technosynthese</v>
      </c>
      <c r="AG380" s="206" t="str">
        <f>VLOOKUP(Primary_Order[[#This Row],[Product ID]],SKU[],9,0)</f>
        <v>MCO</v>
      </c>
      <c r="AH380" s="206" t="str">
        <f>VLOOKUP(Primary_Order[[#This Row],[Product ID]],SKU[],12,0)</f>
        <v>10W30</v>
      </c>
      <c r="AI380" s="206" t="str">
        <f>VLOOKUP(Primary_Order[[#This Row],[Product ID]],SKU[],13,0)</f>
        <v>5100</v>
      </c>
      <c r="AJ380" s="233">
        <f>VLOOKUP(Primary_Order[[#This Row],[Product ID]],SKU[[SKU ID]:[Bottle Size(Ltr)]],6,0)*Primary_Order[[#This Row],[Free Quantity]]</f>
        <v>0</v>
      </c>
      <c r="AK380" s="206" t="str">
        <f>VLOOKUP(Primary_Order[[#This Row],[Product ID]],SKU[[SKU ID]:[Bottle Size(Ltr)]],4,0)</f>
        <v>12x1L</v>
      </c>
      <c r="AL380" s="231">
        <f>VLOOKUP(Primary_Order[[#This Row],[Product ID]],SKU[],14,0)*Primary_Order[[#This Row],[Total Qty]]</f>
        <v>21695.040000000001</v>
      </c>
      <c r="AM380" s="231">
        <f>IF(Primary_Order[[#This Row],[Cost]]=0,0,Primary_Order[[#This Row],[Net Total(-15%)]]-Primary_Order[[#This Row],[Cost]])</f>
        <v>4592.4785114866099</v>
      </c>
      <c r="AN380" s="206" t="str">
        <f>"O-"&amp;Primary_Order[[#This Row],[Date]]&amp;"-"&amp;Primary_Order[[#This Row],[MMD ID]]</f>
        <v>O-45726-D-0013</v>
      </c>
      <c r="AO380" s="206" t="str" cm="1">
        <f t="array" ref="AO38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1" spans="1:41" x14ac:dyDescent="0.5">
      <c r="A381" s="206" t="s">
        <v>1341</v>
      </c>
      <c r="B381" s="230">
        <v>45726</v>
      </c>
      <c r="C381" s="206" t="s">
        <v>115</v>
      </c>
      <c r="D381" s="206" t="s">
        <v>70</v>
      </c>
      <c r="E381" s="206" t="s">
        <v>1342</v>
      </c>
      <c r="F381" s="206" t="s">
        <v>1316</v>
      </c>
      <c r="G381" s="206" t="s">
        <v>79</v>
      </c>
      <c r="H381" s="206" t="s">
        <v>40</v>
      </c>
      <c r="I381" s="206" t="s">
        <v>70</v>
      </c>
      <c r="J381" s="206" t="s">
        <v>80</v>
      </c>
      <c r="K381" s="206" t="s">
        <v>36</v>
      </c>
      <c r="L381" s="206" t="str">
        <f>VLOOKUP(Primary_Order[[#This Row],[Product ID]],SKU[],3,0)</f>
        <v>51004T 10W40 ESTER</v>
      </c>
      <c r="M381" s="231">
        <v>120</v>
      </c>
      <c r="N381" s="231">
        <v>860</v>
      </c>
      <c r="O381" s="231">
        <v>120</v>
      </c>
      <c r="P381" s="232">
        <v>2.3557936427338388E-2</v>
      </c>
      <c r="Q381" s="231">
        <v>0</v>
      </c>
      <c r="R381" s="231">
        <v>839.74017467248905</v>
      </c>
      <c r="S381" s="231">
        <v>120</v>
      </c>
      <c r="T381" s="231">
        <v>120</v>
      </c>
      <c r="U381" s="231">
        <v>103200</v>
      </c>
      <c r="V381" s="231">
        <v>0</v>
      </c>
      <c r="W381" s="231">
        <v>100768.82096069868</v>
      </c>
      <c r="X381" s="231">
        <v>13143.759255743305</v>
      </c>
      <c r="Y381" s="231">
        <v>87625.061704955384</v>
      </c>
      <c r="Z381" s="206" t="s">
        <v>882</v>
      </c>
      <c r="AA381" s="206">
        <v>668</v>
      </c>
      <c r="AB381" s="206" t="s">
        <v>641</v>
      </c>
      <c r="AC381" s="230">
        <v>45727</v>
      </c>
      <c r="AD381" s="206" t="s">
        <v>1317</v>
      </c>
      <c r="AE381" s="206" t="str">
        <f>IFERROR(VLOOKUP(Primary_Order[[#This Row],[AM]],SP!$E$19:$F$23,2,0),Primary_Order[[#This Row],[AM]])</f>
        <v>Central</v>
      </c>
      <c r="AF381" s="206" t="str">
        <f>VLOOKUP(Primary_Order[[#This Row],[Product ID]],SKU[],10,0)</f>
        <v>Technosynthese</v>
      </c>
      <c r="AG381" s="206" t="str">
        <f>VLOOKUP(Primary_Order[[#This Row],[Product ID]],SKU[],9,0)</f>
        <v>MCO</v>
      </c>
      <c r="AH381" s="206" t="str">
        <f>VLOOKUP(Primary_Order[[#This Row],[Product ID]],SKU[],12,0)</f>
        <v>10W40</v>
      </c>
      <c r="AI381" s="206" t="str">
        <f>VLOOKUP(Primary_Order[[#This Row],[Product ID]],SKU[],13,0)</f>
        <v>5100</v>
      </c>
      <c r="AJ381" s="233">
        <f>VLOOKUP(Primary_Order[[#This Row],[Product ID]],SKU[[SKU ID]:[Bottle Size(Ltr)]],6,0)*Primary_Order[[#This Row],[Free Quantity]]</f>
        <v>0</v>
      </c>
      <c r="AK381" s="206" t="str">
        <f>VLOOKUP(Primary_Order[[#This Row],[Product ID]],SKU[[SKU ID]:[Bottle Size(Ltr)]],4,0)</f>
        <v>12x1L</v>
      </c>
      <c r="AL381" s="231">
        <f>VLOOKUP(Primary_Order[[#This Row],[Product ID]],SKU[],14,0)*Primary_Order[[#This Row],[Total Qty]]</f>
        <v>72999.600000000006</v>
      </c>
      <c r="AM381" s="231">
        <f>IF(Primary_Order[[#This Row],[Cost]]=0,0,Primary_Order[[#This Row],[Net Total(-15%)]]-Primary_Order[[#This Row],[Cost]])</f>
        <v>14625.461704955378</v>
      </c>
      <c r="AN381" s="206" t="str">
        <f>"O-"&amp;Primary_Order[[#This Row],[Date]]&amp;"-"&amp;Primary_Order[[#This Row],[MMD ID]]</f>
        <v>O-45726-D-0013</v>
      </c>
      <c r="AO381" s="206" t="str" cm="1">
        <f t="array" ref="AO38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2" spans="1:41" x14ac:dyDescent="0.5">
      <c r="A382" s="206" t="s">
        <v>1341</v>
      </c>
      <c r="B382" s="230">
        <v>45726</v>
      </c>
      <c r="C382" s="206" t="s">
        <v>115</v>
      </c>
      <c r="D382" s="206" t="s">
        <v>70</v>
      </c>
      <c r="E382" s="206" t="s">
        <v>1342</v>
      </c>
      <c r="F382" s="206" t="s">
        <v>1316</v>
      </c>
      <c r="G382" s="206" t="s">
        <v>79</v>
      </c>
      <c r="H382" s="206" t="s">
        <v>40</v>
      </c>
      <c r="I382" s="206" t="s">
        <v>70</v>
      </c>
      <c r="J382" s="206" t="s">
        <v>80</v>
      </c>
      <c r="K382" s="206" t="s">
        <v>56</v>
      </c>
      <c r="L382" s="206" t="str">
        <f>VLOOKUP(Primary_Order[[#This Row],[Product ID]],SKU[],3,0)</f>
        <v>7100 4T 10W30 ESTER CORE®</v>
      </c>
      <c r="M382" s="231">
        <v>120</v>
      </c>
      <c r="N382" s="231">
        <v>1080</v>
      </c>
      <c r="O382" s="231">
        <v>120</v>
      </c>
      <c r="P382" s="232">
        <v>1.8759097525473112E-2</v>
      </c>
      <c r="Q382" s="231">
        <v>0</v>
      </c>
      <c r="R382" s="231">
        <v>1059.740174672489</v>
      </c>
      <c r="S382" s="231">
        <v>120</v>
      </c>
      <c r="T382" s="231">
        <v>120</v>
      </c>
      <c r="U382" s="231">
        <v>129600</v>
      </c>
      <c r="V382" s="231">
        <v>0</v>
      </c>
      <c r="W382" s="231">
        <v>127168.82096069868</v>
      </c>
      <c r="X382" s="231">
        <v>16587.237516612873</v>
      </c>
      <c r="Y382" s="231">
        <v>110581.58344408582</v>
      </c>
      <c r="Z382" s="206" t="s">
        <v>882</v>
      </c>
      <c r="AA382" s="206">
        <v>668</v>
      </c>
      <c r="AB382" s="206" t="s">
        <v>641</v>
      </c>
      <c r="AC382" s="230">
        <v>45727</v>
      </c>
      <c r="AD382" s="206" t="s">
        <v>1317</v>
      </c>
      <c r="AE382" s="206" t="str">
        <f>IFERROR(VLOOKUP(Primary_Order[[#This Row],[AM]],SP!$E$19:$F$23,2,0),Primary_Order[[#This Row],[AM]])</f>
        <v>Central</v>
      </c>
      <c r="AF382" s="206" t="str">
        <f>VLOOKUP(Primary_Order[[#This Row],[Product ID]],SKU[],10,0)</f>
        <v>Synthetic</v>
      </c>
      <c r="AG382" s="206" t="str">
        <f>VLOOKUP(Primary_Order[[#This Row],[Product ID]],SKU[],9,0)</f>
        <v>MCO</v>
      </c>
      <c r="AH382" s="206" t="str">
        <f>VLOOKUP(Primary_Order[[#This Row],[Product ID]],SKU[],12,0)</f>
        <v>10W30</v>
      </c>
      <c r="AI382" s="206" t="str">
        <f>VLOOKUP(Primary_Order[[#This Row],[Product ID]],SKU[],13,0)</f>
        <v>7100</v>
      </c>
      <c r="AJ382" s="233">
        <f>VLOOKUP(Primary_Order[[#This Row],[Product ID]],SKU[[SKU ID]:[Bottle Size(Ltr)]],6,0)*Primary_Order[[#This Row],[Free Quantity]]</f>
        <v>0</v>
      </c>
      <c r="AK382" s="206" t="str">
        <f>VLOOKUP(Primary_Order[[#This Row],[Product ID]],SKU[[SKU ID]:[Bottle Size(Ltr)]],4,0)</f>
        <v>12x1L</v>
      </c>
      <c r="AL382" s="231">
        <f>VLOOKUP(Primary_Order[[#This Row],[Product ID]],SKU[],14,0)*Primary_Order[[#This Row],[Total Qty]]</f>
        <v>82783.199999999997</v>
      </c>
      <c r="AM382" s="231">
        <f>IF(Primary_Order[[#This Row],[Cost]]=0,0,Primary_Order[[#This Row],[Net Total(-15%)]]-Primary_Order[[#This Row],[Cost]])</f>
        <v>27798.383444085819</v>
      </c>
      <c r="AN382" s="206" t="str">
        <f>"O-"&amp;Primary_Order[[#This Row],[Date]]&amp;"-"&amp;Primary_Order[[#This Row],[MMD ID]]</f>
        <v>O-45726-D-0013</v>
      </c>
      <c r="AO382" s="206" t="str" cm="1">
        <f t="array" ref="AO38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3" spans="1:41" x14ac:dyDescent="0.5">
      <c r="A383" s="206" t="s">
        <v>1341</v>
      </c>
      <c r="B383" s="230">
        <v>45726</v>
      </c>
      <c r="C383" s="206" t="s">
        <v>115</v>
      </c>
      <c r="D383" s="206" t="s">
        <v>70</v>
      </c>
      <c r="E383" s="206" t="s">
        <v>1342</v>
      </c>
      <c r="F383" s="206" t="s">
        <v>1316</v>
      </c>
      <c r="G383" s="206" t="s">
        <v>79</v>
      </c>
      <c r="H383" s="206" t="s">
        <v>40</v>
      </c>
      <c r="I383" s="206" t="s">
        <v>70</v>
      </c>
      <c r="J383" s="206" t="s">
        <v>80</v>
      </c>
      <c r="K383" s="206" t="s">
        <v>43</v>
      </c>
      <c r="L383" s="206" t="str">
        <f>VLOOKUP(Primary_Order[[#This Row],[Product ID]],SKU[],3,0)</f>
        <v>7100 4T 10W30 ESTER CORE®</v>
      </c>
      <c r="M383" s="231">
        <v>100</v>
      </c>
      <c r="N383" s="231">
        <v>1295</v>
      </c>
      <c r="O383" s="231">
        <v>120</v>
      </c>
      <c r="P383" s="232">
        <v>1.5644652762556666E-2</v>
      </c>
      <c r="Q383" s="231">
        <v>0</v>
      </c>
      <c r="R383" s="231">
        <v>1274.740174672489</v>
      </c>
      <c r="S383" s="231">
        <v>100</v>
      </c>
      <c r="T383" s="231">
        <v>120</v>
      </c>
      <c r="U383" s="231">
        <v>129500</v>
      </c>
      <c r="V383" s="231">
        <v>0</v>
      </c>
      <c r="W383" s="231">
        <v>127474.01746724891</v>
      </c>
      <c r="X383" s="231">
        <v>16627.045756597683</v>
      </c>
      <c r="Y383" s="231">
        <v>110846.97171065123</v>
      </c>
      <c r="Z383" s="206" t="s">
        <v>882</v>
      </c>
      <c r="AA383" s="206">
        <v>668</v>
      </c>
      <c r="AB383" s="206" t="s">
        <v>641</v>
      </c>
      <c r="AC383" s="230">
        <v>45727</v>
      </c>
      <c r="AD383" s="206" t="s">
        <v>1317</v>
      </c>
      <c r="AE383" s="206" t="str">
        <f>IFERROR(VLOOKUP(Primary_Order[[#This Row],[AM]],SP!$E$19:$F$23,2,0),Primary_Order[[#This Row],[AM]])</f>
        <v>Central</v>
      </c>
      <c r="AF383" s="206" t="str">
        <f>VLOOKUP(Primary_Order[[#This Row],[Product ID]],SKU[],10,0)</f>
        <v>Synthetic</v>
      </c>
      <c r="AG383" s="206" t="str">
        <f>VLOOKUP(Primary_Order[[#This Row],[Product ID]],SKU[],9,0)</f>
        <v>MCO</v>
      </c>
      <c r="AH383" s="206" t="str">
        <f>VLOOKUP(Primary_Order[[#This Row],[Product ID]],SKU[],12,0)</f>
        <v>10W30</v>
      </c>
      <c r="AI383" s="206" t="str">
        <f>VLOOKUP(Primary_Order[[#This Row],[Product ID]],SKU[],13,0)</f>
        <v>7100</v>
      </c>
      <c r="AJ383" s="233">
        <f>VLOOKUP(Primary_Order[[#This Row],[Product ID]],SKU[[SKU ID]:[Bottle Size(Ltr)]],6,0)*Primary_Order[[#This Row],[Free Quantity]]</f>
        <v>0</v>
      </c>
      <c r="AK383" s="206" t="str">
        <f>VLOOKUP(Primary_Order[[#This Row],[Product ID]],SKU[[SKU ID]:[Bottle Size(Ltr)]],4,0)</f>
        <v>20x1.2L</v>
      </c>
      <c r="AL383" s="231">
        <f>VLOOKUP(Primary_Order[[#This Row],[Product ID]],SKU[],14,0)*Primary_Order[[#This Row],[Total Qty]]</f>
        <v>77730</v>
      </c>
      <c r="AM383" s="231">
        <f>IF(Primary_Order[[#This Row],[Cost]]=0,0,Primary_Order[[#This Row],[Net Total(-15%)]]-Primary_Order[[#This Row],[Cost]])</f>
        <v>33116.971710651225</v>
      </c>
      <c r="AN383" s="206" t="str">
        <f>"O-"&amp;Primary_Order[[#This Row],[Date]]&amp;"-"&amp;Primary_Order[[#This Row],[MMD ID]]</f>
        <v>O-45726-D-0013</v>
      </c>
      <c r="AO383" s="206" t="str" cm="1">
        <f t="array" ref="AO38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4" spans="1:41" x14ac:dyDescent="0.5">
      <c r="A384" s="206" t="s">
        <v>1341</v>
      </c>
      <c r="B384" s="230">
        <v>45726</v>
      </c>
      <c r="C384" s="206" t="s">
        <v>115</v>
      </c>
      <c r="D384" s="206" t="s">
        <v>70</v>
      </c>
      <c r="E384" s="206" t="s">
        <v>1342</v>
      </c>
      <c r="F384" s="206" t="s">
        <v>1316</v>
      </c>
      <c r="G384" s="206" t="s">
        <v>79</v>
      </c>
      <c r="H384" s="206" t="s">
        <v>40</v>
      </c>
      <c r="I384" s="206" t="s">
        <v>70</v>
      </c>
      <c r="J384" s="206" t="s">
        <v>80</v>
      </c>
      <c r="K384" s="206" t="s">
        <v>107</v>
      </c>
      <c r="L384" s="206" t="str">
        <f>VLOOKUP(Primary_Order[[#This Row],[Product ID]],SKU[],3,0)</f>
        <v>Brake Fluid DOT 4</v>
      </c>
      <c r="M384" s="231">
        <v>154</v>
      </c>
      <c r="N384" s="231">
        <v>127.5</v>
      </c>
      <c r="O384" s="231">
        <v>15.4</v>
      </c>
      <c r="P384" s="232">
        <v>0.1589005908040072</v>
      </c>
      <c r="Q384" s="231">
        <v>0</v>
      </c>
      <c r="R384" s="231">
        <v>107.24017467248908</v>
      </c>
      <c r="S384" s="231">
        <v>154</v>
      </c>
      <c r="T384" s="231">
        <v>15.4</v>
      </c>
      <c r="U384" s="231">
        <v>19635</v>
      </c>
      <c r="V384" s="231">
        <v>0</v>
      </c>
      <c r="W384" s="231">
        <v>16514.986899563319</v>
      </c>
      <c r="X384" s="231">
        <v>2154.1287260299982</v>
      </c>
      <c r="Y384" s="231">
        <v>14360.858173533321</v>
      </c>
      <c r="Z384" s="206" t="s">
        <v>882</v>
      </c>
      <c r="AA384" s="206">
        <v>668</v>
      </c>
      <c r="AB384" s="206" t="s">
        <v>641</v>
      </c>
      <c r="AC384" s="230">
        <v>45727</v>
      </c>
      <c r="AD384" s="206" t="s">
        <v>1317</v>
      </c>
      <c r="AE384" s="206" t="str">
        <f>IFERROR(VLOOKUP(Primary_Order[[#This Row],[AM]],SP!$E$19:$F$23,2,0),Primary_Order[[#This Row],[AM]])</f>
        <v>Central</v>
      </c>
      <c r="AF384" s="206" t="str">
        <f>VLOOKUP(Primary_Order[[#This Row],[Product ID]],SKU[],10,0)</f>
        <v>Care Products</v>
      </c>
      <c r="AG384" s="206" t="str">
        <f>VLOOKUP(Primary_Order[[#This Row],[Product ID]],SKU[],9,0)</f>
        <v>Care Products</v>
      </c>
      <c r="AH384" s="206" t="str">
        <f>VLOOKUP(Primary_Order[[#This Row],[Product ID]],SKU[],12,0)</f>
        <v>Care Products</v>
      </c>
      <c r="AI384" s="206" t="str">
        <f>VLOOKUP(Primary_Order[[#This Row],[Product ID]],SKU[],13,0)</f>
        <v>Brake</v>
      </c>
      <c r="AJ384" s="233">
        <f>VLOOKUP(Primary_Order[[#This Row],[Product ID]],SKU[[SKU ID]:[Bottle Size(Ltr)]],6,0)*Primary_Order[[#This Row],[Free Quantity]]</f>
        <v>0</v>
      </c>
      <c r="AK384" s="206" t="str">
        <f>VLOOKUP(Primary_Order[[#This Row],[Product ID]],SKU[[SKU ID]:[Bottle Size(Ltr)]],4,0)</f>
        <v>40x0.1L</v>
      </c>
      <c r="AL384" s="231">
        <f>VLOOKUP(Primary_Order[[#This Row],[Product ID]],SKU[],14,0)*Primary_Order[[#This Row],[Total Qty]]</f>
        <v>11141.9</v>
      </c>
      <c r="AM384" s="231">
        <f>IF(Primary_Order[[#This Row],[Cost]]=0,0,Primary_Order[[#This Row],[Net Total(-15%)]]-Primary_Order[[#This Row],[Cost]])</f>
        <v>3218.9581735333213</v>
      </c>
      <c r="AN384" s="206" t="str">
        <f>"O-"&amp;Primary_Order[[#This Row],[Date]]&amp;"-"&amp;Primary_Order[[#This Row],[MMD ID]]</f>
        <v>O-45726-D-0013</v>
      </c>
      <c r="AO384" s="206" t="str" cm="1">
        <f t="array" ref="AO38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5" spans="1:41" x14ac:dyDescent="0.5">
      <c r="A385" s="206" t="s">
        <v>1341</v>
      </c>
      <c r="B385" s="230">
        <v>45726</v>
      </c>
      <c r="C385" s="206" t="s">
        <v>115</v>
      </c>
      <c r="D385" s="206" t="s">
        <v>70</v>
      </c>
      <c r="E385" s="206" t="s">
        <v>1342</v>
      </c>
      <c r="F385" s="206" t="s">
        <v>1316</v>
      </c>
      <c r="G385" s="206" t="s">
        <v>79</v>
      </c>
      <c r="H385" s="206" t="s">
        <v>40</v>
      </c>
      <c r="I385" s="206" t="s">
        <v>70</v>
      </c>
      <c r="J385" s="206" t="s">
        <v>80</v>
      </c>
      <c r="K385" s="206" t="s">
        <v>81</v>
      </c>
      <c r="L385" s="206" t="str">
        <f>VLOOKUP(Primary_Order[[#This Row],[Product ID]],SKU[],3,0)</f>
        <v>3000 4T 20W50</v>
      </c>
      <c r="M385" s="231">
        <v>100</v>
      </c>
      <c r="N385" s="231">
        <v>495</v>
      </c>
      <c r="O385" s="231">
        <v>100</v>
      </c>
      <c r="P385" s="232">
        <v>4.0928940055577567E-2</v>
      </c>
      <c r="Q385" s="231">
        <v>0</v>
      </c>
      <c r="R385" s="231">
        <v>474.7401746724891</v>
      </c>
      <c r="S385" s="231">
        <v>100</v>
      </c>
      <c r="T385" s="231">
        <v>100</v>
      </c>
      <c r="U385" s="231">
        <v>49500</v>
      </c>
      <c r="V385" s="231">
        <v>0</v>
      </c>
      <c r="W385" s="231">
        <v>47474.017467248908</v>
      </c>
      <c r="X385" s="231">
        <v>6192.2631479020311</v>
      </c>
      <c r="Y385" s="231">
        <v>41281.754319346874</v>
      </c>
      <c r="Z385" s="206" t="s">
        <v>882</v>
      </c>
      <c r="AA385" s="206">
        <v>668</v>
      </c>
      <c r="AB385" s="206" t="s">
        <v>641</v>
      </c>
      <c r="AC385" s="230">
        <v>45727</v>
      </c>
      <c r="AD385" s="206" t="s">
        <v>1317</v>
      </c>
      <c r="AE385" s="206" t="str">
        <f>IFERROR(VLOOKUP(Primary_Order[[#This Row],[AM]],SP!$E$19:$F$23,2,0),Primary_Order[[#This Row],[AM]])</f>
        <v>Central</v>
      </c>
      <c r="AF385" s="206" t="str">
        <f>VLOOKUP(Primary_Order[[#This Row],[Product ID]],SKU[],10,0)</f>
        <v>Mineral</v>
      </c>
      <c r="AG385" s="206" t="str">
        <f>VLOOKUP(Primary_Order[[#This Row],[Product ID]],SKU[],9,0)</f>
        <v>MCO</v>
      </c>
      <c r="AH385" s="206" t="str">
        <f>VLOOKUP(Primary_Order[[#This Row],[Product ID]],SKU[],12,0)</f>
        <v>20W50</v>
      </c>
      <c r="AI385" s="206" t="str">
        <f>VLOOKUP(Primary_Order[[#This Row],[Product ID]],SKU[],13,0)</f>
        <v>3000</v>
      </c>
      <c r="AJ385" s="233">
        <f>VLOOKUP(Primary_Order[[#This Row],[Product ID]],SKU[[SKU ID]:[Bottle Size(Ltr)]],6,0)*Primary_Order[[#This Row],[Free Quantity]]</f>
        <v>0</v>
      </c>
      <c r="AK385" s="206" t="str">
        <f>VLOOKUP(Primary_Order[[#This Row],[Product ID]],SKU[[SKU ID]:[Bottle Size(Ltr)]],4,0)</f>
        <v>20x1L</v>
      </c>
      <c r="AL385" s="231">
        <f>VLOOKUP(Primary_Order[[#This Row],[Product ID]],SKU[],14,0)*Primary_Order[[#This Row],[Total Qty]]</f>
        <v>36492</v>
      </c>
      <c r="AM385" s="231">
        <f>IF(Primary_Order[[#This Row],[Cost]]=0,0,Primary_Order[[#This Row],[Net Total(-15%)]]-Primary_Order[[#This Row],[Cost]])</f>
        <v>4789.7543193468737</v>
      </c>
      <c r="AN385" s="206" t="str">
        <f>"O-"&amp;Primary_Order[[#This Row],[Date]]&amp;"-"&amp;Primary_Order[[#This Row],[MMD ID]]</f>
        <v>O-45726-D-0013</v>
      </c>
      <c r="AO385" s="206" t="str" cm="1">
        <f t="array" ref="AO38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6" spans="1:41" x14ac:dyDescent="0.5">
      <c r="A386" s="206" t="s">
        <v>1341</v>
      </c>
      <c r="B386" s="230">
        <v>45726</v>
      </c>
      <c r="C386" s="206" t="s">
        <v>115</v>
      </c>
      <c r="D386" s="206" t="s">
        <v>70</v>
      </c>
      <c r="E386" s="206" t="s">
        <v>1342</v>
      </c>
      <c r="F386" s="206" t="s">
        <v>1316</v>
      </c>
      <c r="G386" s="206" t="s">
        <v>79</v>
      </c>
      <c r="H386" s="206" t="s">
        <v>40</v>
      </c>
      <c r="I386" s="206" t="s">
        <v>70</v>
      </c>
      <c r="J386" s="206" t="s">
        <v>80</v>
      </c>
      <c r="K386" s="206" t="s">
        <v>99</v>
      </c>
      <c r="L386" s="206" t="str">
        <f>VLOOKUP(Primary_Order[[#This Row],[Product ID]],SKU[],3,0)</f>
        <v>3000 4T 20W50</v>
      </c>
      <c r="M386" s="231">
        <v>100</v>
      </c>
      <c r="N386" s="231">
        <v>595</v>
      </c>
      <c r="O386" s="231">
        <v>120</v>
      </c>
      <c r="P386" s="232">
        <v>3.405012660085871E-2</v>
      </c>
      <c r="Q386" s="231">
        <v>0</v>
      </c>
      <c r="R386" s="231">
        <v>574.74017467248905</v>
      </c>
      <c r="S386" s="231">
        <v>100</v>
      </c>
      <c r="T386" s="231">
        <v>120</v>
      </c>
      <c r="U386" s="231">
        <v>59500</v>
      </c>
      <c r="V386" s="231">
        <v>0</v>
      </c>
      <c r="W386" s="231">
        <v>57474.017467248908</v>
      </c>
      <c r="X386" s="231">
        <v>7496.610973988988</v>
      </c>
      <c r="Y386" s="231">
        <v>49977.406493259921</v>
      </c>
      <c r="Z386" s="206" t="s">
        <v>882</v>
      </c>
      <c r="AA386" s="206">
        <v>668</v>
      </c>
      <c r="AB386" s="206" t="s">
        <v>641</v>
      </c>
      <c r="AC386" s="230">
        <v>45727</v>
      </c>
      <c r="AD386" s="206" t="s">
        <v>1317</v>
      </c>
      <c r="AE386" s="206" t="str">
        <f>IFERROR(VLOOKUP(Primary_Order[[#This Row],[AM]],SP!$E$19:$F$23,2,0),Primary_Order[[#This Row],[AM]])</f>
        <v>Central</v>
      </c>
      <c r="AF386" s="206" t="str">
        <f>VLOOKUP(Primary_Order[[#This Row],[Product ID]],SKU[],10,0)</f>
        <v>Mineral</v>
      </c>
      <c r="AG386" s="206" t="str">
        <f>VLOOKUP(Primary_Order[[#This Row],[Product ID]],SKU[],9,0)</f>
        <v>MCO</v>
      </c>
      <c r="AH386" s="206" t="str">
        <f>VLOOKUP(Primary_Order[[#This Row],[Product ID]],SKU[],12,0)</f>
        <v>20W50</v>
      </c>
      <c r="AI386" s="206" t="str">
        <f>VLOOKUP(Primary_Order[[#This Row],[Product ID]],SKU[],13,0)</f>
        <v>3000</v>
      </c>
      <c r="AJ386" s="233">
        <f>VLOOKUP(Primary_Order[[#This Row],[Product ID]],SKU[[SKU ID]:[Bottle Size(Ltr)]],6,0)*Primary_Order[[#This Row],[Free Quantity]]</f>
        <v>0</v>
      </c>
      <c r="AK386" s="206" t="str">
        <f>VLOOKUP(Primary_Order[[#This Row],[Product ID]],SKU[[SKU ID]:[Bottle Size(Ltr)]],4,0)</f>
        <v>20x1.2L</v>
      </c>
      <c r="AL386" s="231">
        <f>VLOOKUP(Primary_Order[[#This Row],[Product ID]],SKU[],14,0)*Primary_Order[[#This Row],[Total Qty]]</f>
        <v>43461</v>
      </c>
      <c r="AM386" s="231">
        <f>IF(Primary_Order[[#This Row],[Cost]]=0,0,Primary_Order[[#This Row],[Net Total(-15%)]]-Primary_Order[[#This Row],[Cost]])</f>
        <v>6516.4064932599213</v>
      </c>
      <c r="AN386" s="206" t="str">
        <f>"O-"&amp;Primary_Order[[#This Row],[Date]]&amp;"-"&amp;Primary_Order[[#This Row],[MMD ID]]</f>
        <v>O-45726-D-0013</v>
      </c>
      <c r="AO386" s="206" t="str" cm="1">
        <f t="array" ref="AO38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7" spans="1:41" x14ac:dyDescent="0.5">
      <c r="A387" s="206" t="s">
        <v>1343</v>
      </c>
      <c r="B387" s="230">
        <v>45722</v>
      </c>
      <c r="C387" s="206" t="s">
        <v>108</v>
      </c>
      <c r="D387" s="206" t="s">
        <v>1305</v>
      </c>
      <c r="E387" s="206" t="s">
        <v>1306</v>
      </c>
      <c r="F387" s="206">
        <v>1732538253</v>
      </c>
      <c r="G387" s="206" t="s">
        <v>280</v>
      </c>
      <c r="H387" s="206" t="s">
        <v>84</v>
      </c>
      <c r="I387" s="206" t="s">
        <v>109</v>
      </c>
      <c r="J387" s="206" t="s">
        <v>282</v>
      </c>
      <c r="K387" s="206" t="s">
        <v>31</v>
      </c>
      <c r="L387" s="206" t="str">
        <f>VLOOKUP(Primary_Order[[#This Row],[Product ID]],SKU[],3,0)</f>
        <v>3000 4T PLUS 10W30</v>
      </c>
      <c r="M387" s="231">
        <v>60</v>
      </c>
      <c r="N387" s="231">
        <v>540</v>
      </c>
      <c r="O387" s="231">
        <v>60</v>
      </c>
      <c r="P387" s="232">
        <v>0</v>
      </c>
      <c r="Q387" s="231">
        <v>0</v>
      </c>
      <c r="R387" s="231">
        <v>540</v>
      </c>
      <c r="S387" s="231">
        <v>60</v>
      </c>
      <c r="T387" s="231">
        <v>60</v>
      </c>
      <c r="U387" s="231">
        <v>32400</v>
      </c>
      <c r="V387" s="231">
        <v>0</v>
      </c>
      <c r="W387" s="231">
        <v>32400</v>
      </c>
      <c r="X387" s="231">
        <v>4226.086956521739</v>
      </c>
      <c r="Y387" s="231">
        <v>28173.91304347826</v>
      </c>
      <c r="Z387" s="206" t="s">
        <v>882</v>
      </c>
      <c r="AA387" s="206">
        <v>667</v>
      </c>
      <c r="AB387" s="206" t="s">
        <v>749</v>
      </c>
      <c r="AC387" s="230">
        <v>45727</v>
      </c>
      <c r="AD387" s="206" t="s">
        <v>50</v>
      </c>
      <c r="AE387" s="206" t="str">
        <f>IFERROR(VLOOKUP(Primary_Order[[#This Row],[AM]],SP!$E$19:$F$23,2,0),Primary_Order[[#This Row],[AM]])</f>
        <v>Northern</v>
      </c>
      <c r="AF387" s="206" t="str">
        <f>VLOOKUP(Primary_Order[[#This Row],[Product ID]],SKU[],10,0)</f>
        <v>Mineral</v>
      </c>
      <c r="AG387" s="206" t="str">
        <f>VLOOKUP(Primary_Order[[#This Row],[Product ID]],SKU[],9,0)</f>
        <v>MCO</v>
      </c>
      <c r="AH387" s="206" t="str">
        <f>VLOOKUP(Primary_Order[[#This Row],[Product ID]],SKU[],12,0)</f>
        <v>10W30</v>
      </c>
      <c r="AI387" s="206" t="str">
        <f>VLOOKUP(Primary_Order[[#This Row],[Product ID]],SKU[],13,0)</f>
        <v>3000</v>
      </c>
      <c r="AJ387" s="233">
        <f>VLOOKUP(Primary_Order[[#This Row],[Product ID]],SKU[[SKU ID]:[Bottle Size(Ltr)]],6,0)*Primary_Order[[#This Row],[Free Quantity]]</f>
        <v>0</v>
      </c>
      <c r="AK387" s="206" t="str">
        <f>VLOOKUP(Primary_Order[[#This Row],[Product ID]],SKU[[SKU ID]:[Bottle Size(Ltr)]],4,0)</f>
        <v>20x1L</v>
      </c>
      <c r="AL387" s="231">
        <f>VLOOKUP(Primary_Order[[#This Row],[Product ID]],SKU[],14,0)*Primary_Order[[#This Row],[Total Qty]]</f>
        <v>22759.8</v>
      </c>
      <c r="AM387" s="231">
        <f>IF(Primary_Order[[#This Row],[Cost]]=0,0,Primary_Order[[#This Row],[Net Total(-15%)]]-Primary_Order[[#This Row],[Cost]])</f>
        <v>5414.1130434782608</v>
      </c>
      <c r="AN387" s="206" t="str">
        <f>"O-"&amp;Primary_Order[[#This Row],[Date]]&amp;"-"&amp;Primary_Order[[#This Row],[MMD ID]]</f>
        <v>O-45722-D-0023</v>
      </c>
      <c r="AO387" s="206" t="str" cm="1">
        <f t="array" ref="AO38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8" spans="1:41" x14ac:dyDescent="0.5">
      <c r="A388" s="206" t="s">
        <v>1343</v>
      </c>
      <c r="B388" s="230">
        <v>45722</v>
      </c>
      <c r="C388" s="206" t="s">
        <v>108</v>
      </c>
      <c r="D388" s="206" t="s">
        <v>1305</v>
      </c>
      <c r="E388" s="206" t="s">
        <v>1306</v>
      </c>
      <c r="F388" s="206">
        <v>1732538253</v>
      </c>
      <c r="G388" s="206" t="s">
        <v>280</v>
      </c>
      <c r="H388" s="206" t="s">
        <v>84</v>
      </c>
      <c r="I388" s="206" t="s">
        <v>109</v>
      </c>
      <c r="J388" s="206" t="s">
        <v>282</v>
      </c>
      <c r="K388" s="206" t="s">
        <v>54</v>
      </c>
      <c r="L388" s="206" t="str">
        <f>VLOOKUP(Primary_Order[[#This Row],[Product ID]],SKU[],3,0)</f>
        <v>3000 4T PLUS 10W40</v>
      </c>
      <c r="M388" s="231">
        <v>60</v>
      </c>
      <c r="N388" s="231">
        <v>540</v>
      </c>
      <c r="O388" s="231">
        <v>60</v>
      </c>
      <c r="P388" s="232">
        <v>0</v>
      </c>
      <c r="Q388" s="231">
        <v>0</v>
      </c>
      <c r="R388" s="231">
        <v>540</v>
      </c>
      <c r="S388" s="231">
        <v>60</v>
      </c>
      <c r="T388" s="231">
        <v>60</v>
      </c>
      <c r="U388" s="231">
        <v>32400</v>
      </c>
      <c r="V388" s="231">
        <v>0</v>
      </c>
      <c r="W388" s="231">
        <v>32400</v>
      </c>
      <c r="X388" s="231">
        <v>4226.086956521739</v>
      </c>
      <c r="Y388" s="231">
        <v>28173.91304347826</v>
      </c>
      <c r="Z388" s="206" t="s">
        <v>882</v>
      </c>
      <c r="AA388" s="206">
        <v>667</v>
      </c>
      <c r="AB388" s="206" t="s">
        <v>749</v>
      </c>
      <c r="AC388" s="230">
        <v>45727</v>
      </c>
      <c r="AD388" s="206" t="s">
        <v>50</v>
      </c>
      <c r="AE388" s="206" t="str">
        <f>IFERROR(VLOOKUP(Primary_Order[[#This Row],[AM]],SP!$E$19:$F$23,2,0),Primary_Order[[#This Row],[AM]])</f>
        <v>Northern</v>
      </c>
      <c r="AF388" s="206" t="str">
        <f>VLOOKUP(Primary_Order[[#This Row],[Product ID]],SKU[],10,0)</f>
        <v>Mineral</v>
      </c>
      <c r="AG388" s="206" t="str">
        <f>VLOOKUP(Primary_Order[[#This Row],[Product ID]],SKU[],9,0)</f>
        <v>MCO</v>
      </c>
      <c r="AH388" s="206" t="str">
        <f>VLOOKUP(Primary_Order[[#This Row],[Product ID]],SKU[],12,0)</f>
        <v>10W40</v>
      </c>
      <c r="AI388" s="206" t="str">
        <f>VLOOKUP(Primary_Order[[#This Row],[Product ID]],SKU[],13,0)</f>
        <v>3000</v>
      </c>
      <c r="AJ388" s="233">
        <f>VLOOKUP(Primary_Order[[#This Row],[Product ID]],SKU[[SKU ID]:[Bottle Size(Ltr)]],6,0)*Primary_Order[[#This Row],[Free Quantity]]</f>
        <v>0</v>
      </c>
      <c r="AK388" s="206" t="str">
        <f>VLOOKUP(Primary_Order[[#This Row],[Product ID]],SKU[[SKU ID]:[Bottle Size(Ltr)]],4,0)</f>
        <v>20x1L</v>
      </c>
      <c r="AL388" s="231">
        <f>VLOOKUP(Primary_Order[[#This Row],[Product ID]],SKU[],14,0)*Primary_Order[[#This Row],[Total Qty]]</f>
        <v>23091</v>
      </c>
      <c r="AM388" s="231">
        <f>IF(Primary_Order[[#This Row],[Cost]]=0,0,Primary_Order[[#This Row],[Net Total(-15%)]]-Primary_Order[[#This Row],[Cost]])</f>
        <v>5082.9130434782601</v>
      </c>
      <c r="AN388" s="206" t="str">
        <f>"O-"&amp;Primary_Order[[#This Row],[Date]]&amp;"-"&amp;Primary_Order[[#This Row],[MMD ID]]</f>
        <v>O-45722-D-0023</v>
      </c>
      <c r="AO388" s="206" t="str" cm="1">
        <f t="array" ref="AO38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89" spans="1:41" x14ac:dyDescent="0.5">
      <c r="A389" s="206" t="s">
        <v>1343</v>
      </c>
      <c r="B389" s="230">
        <v>45722</v>
      </c>
      <c r="C389" s="206" t="s">
        <v>108</v>
      </c>
      <c r="D389" s="206" t="s">
        <v>1305</v>
      </c>
      <c r="E389" s="206" t="s">
        <v>1306</v>
      </c>
      <c r="F389" s="206">
        <v>1732538253</v>
      </c>
      <c r="G389" s="206" t="s">
        <v>280</v>
      </c>
      <c r="H389" s="206" t="s">
        <v>84</v>
      </c>
      <c r="I389" s="206" t="s">
        <v>109</v>
      </c>
      <c r="J389" s="206" t="s">
        <v>282</v>
      </c>
      <c r="K389" s="206" t="s">
        <v>56</v>
      </c>
      <c r="L389" s="206" t="str">
        <f>VLOOKUP(Primary_Order[[#This Row],[Product ID]],SKU[],3,0)</f>
        <v>7100 4T 10W30 ESTER CORE®</v>
      </c>
      <c r="M389" s="231">
        <v>12</v>
      </c>
      <c r="N389" s="231">
        <v>1080</v>
      </c>
      <c r="O389" s="231">
        <v>12</v>
      </c>
      <c r="P389" s="232">
        <v>0</v>
      </c>
      <c r="Q389" s="231">
        <v>0</v>
      </c>
      <c r="R389" s="231">
        <v>1080</v>
      </c>
      <c r="S389" s="231">
        <v>12</v>
      </c>
      <c r="T389" s="231">
        <v>12</v>
      </c>
      <c r="U389" s="231">
        <v>12960</v>
      </c>
      <c r="V389" s="231">
        <v>0</v>
      </c>
      <c r="W389" s="231">
        <v>12960</v>
      </c>
      <c r="X389" s="231">
        <v>1690.4347826086957</v>
      </c>
      <c r="Y389" s="231">
        <v>11269.565217391304</v>
      </c>
      <c r="Z389" s="206" t="s">
        <v>882</v>
      </c>
      <c r="AA389" s="206">
        <v>667</v>
      </c>
      <c r="AB389" s="206" t="s">
        <v>749</v>
      </c>
      <c r="AC389" s="230">
        <v>45727</v>
      </c>
      <c r="AD389" s="206" t="s">
        <v>50</v>
      </c>
      <c r="AE389" s="206" t="str">
        <f>IFERROR(VLOOKUP(Primary_Order[[#This Row],[AM]],SP!$E$19:$F$23,2,0),Primary_Order[[#This Row],[AM]])</f>
        <v>Northern</v>
      </c>
      <c r="AF389" s="206" t="str">
        <f>VLOOKUP(Primary_Order[[#This Row],[Product ID]],SKU[],10,0)</f>
        <v>Synthetic</v>
      </c>
      <c r="AG389" s="206" t="str">
        <f>VLOOKUP(Primary_Order[[#This Row],[Product ID]],SKU[],9,0)</f>
        <v>MCO</v>
      </c>
      <c r="AH389" s="206" t="str">
        <f>VLOOKUP(Primary_Order[[#This Row],[Product ID]],SKU[],12,0)</f>
        <v>10W30</v>
      </c>
      <c r="AI389" s="206" t="str">
        <f>VLOOKUP(Primary_Order[[#This Row],[Product ID]],SKU[],13,0)</f>
        <v>7100</v>
      </c>
      <c r="AJ389" s="233">
        <f>VLOOKUP(Primary_Order[[#This Row],[Product ID]],SKU[[SKU ID]:[Bottle Size(Ltr)]],6,0)*Primary_Order[[#This Row],[Free Quantity]]</f>
        <v>0</v>
      </c>
      <c r="AK389" s="206" t="str">
        <f>VLOOKUP(Primary_Order[[#This Row],[Product ID]],SKU[[SKU ID]:[Bottle Size(Ltr)]],4,0)</f>
        <v>12x1L</v>
      </c>
      <c r="AL389" s="231">
        <f>VLOOKUP(Primary_Order[[#This Row],[Product ID]],SKU[],14,0)*Primary_Order[[#This Row],[Total Qty]]</f>
        <v>8278.32</v>
      </c>
      <c r="AM389" s="231">
        <f>IF(Primary_Order[[#This Row],[Cost]]=0,0,Primary_Order[[#This Row],[Net Total(-15%)]]-Primary_Order[[#This Row],[Cost]])</f>
        <v>2991.2452173913043</v>
      </c>
      <c r="AN389" s="206" t="str">
        <f>"O-"&amp;Primary_Order[[#This Row],[Date]]&amp;"-"&amp;Primary_Order[[#This Row],[MMD ID]]</f>
        <v>O-45722-D-0023</v>
      </c>
      <c r="AO389" s="206" t="str" cm="1">
        <f t="array" ref="AO38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0" spans="1:41" x14ac:dyDescent="0.5">
      <c r="A390" s="206" t="s">
        <v>1344</v>
      </c>
      <c r="B390" s="230">
        <v>45721</v>
      </c>
      <c r="C390" s="206" t="s">
        <v>132</v>
      </c>
      <c r="D390" s="206" t="s">
        <v>1321</v>
      </c>
      <c r="E390" s="206" t="s">
        <v>1333</v>
      </c>
      <c r="F390" s="206" t="s">
        <v>1334</v>
      </c>
      <c r="G390" s="206" t="s">
        <v>64</v>
      </c>
      <c r="H390" s="206" t="s">
        <v>40</v>
      </c>
      <c r="I390" s="206" t="s">
        <v>65</v>
      </c>
      <c r="J390" s="206" t="s">
        <v>66</v>
      </c>
      <c r="K390" s="206" t="s">
        <v>31</v>
      </c>
      <c r="L390" s="206" t="str">
        <f>VLOOKUP(Primary_Order[[#This Row],[Product ID]],SKU[],3,0)</f>
        <v>3000 4T PLUS 10W30</v>
      </c>
      <c r="M390" s="231">
        <v>40</v>
      </c>
      <c r="N390" s="231">
        <v>540</v>
      </c>
      <c r="O390" s="231">
        <v>40</v>
      </c>
      <c r="P390" s="232">
        <v>3.240740740740744E-2</v>
      </c>
      <c r="Q390" s="231">
        <v>0</v>
      </c>
      <c r="R390" s="231">
        <v>522.5</v>
      </c>
      <c r="S390" s="231">
        <v>40</v>
      </c>
      <c r="T390" s="231">
        <v>40</v>
      </c>
      <c r="U390" s="231">
        <v>21600</v>
      </c>
      <c r="V390" s="231">
        <v>0</v>
      </c>
      <c r="W390" s="231">
        <v>20900</v>
      </c>
      <c r="X390" s="231">
        <v>2726.086956521739</v>
      </c>
      <c r="Y390" s="231">
        <v>18173.91304347826</v>
      </c>
      <c r="Z390" s="206" t="s">
        <v>882</v>
      </c>
      <c r="AA390" s="206">
        <v>669</v>
      </c>
      <c r="AB390" s="206" t="s">
        <v>641</v>
      </c>
      <c r="AC390" s="230">
        <v>45727</v>
      </c>
      <c r="AD390" s="206" t="s">
        <v>1335</v>
      </c>
      <c r="AE390" s="206" t="str">
        <f>IFERROR(VLOOKUP(Primary_Order[[#This Row],[AM]],SP!$E$19:$F$23,2,0),Primary_Order[[#This Row],[AM]])</f>
        <v>Central</v>
      </c>
      <c r="AF390" s="206" t="str">
        <f>VLOOKUP(Primary_Order[[#This Row],[Product ID]],SKU[],10,0)</f>
        <v>Mineral</v>
      </c>
      <c r="AG390" s="206" t="str">
        <f>VLOOKUP(Primary_Order[[#This Row],[Product ID]],SKU[],9,0)</f>
        <v>MCO</v>
      </c>
      <c r="AH390" s="206" t="str">
        <f>VLOOKUP(Primary_Order[[#This Row],[Product ID]],SKU[],12,0)</f>
        <v>10W30</v>
      </c>
      <c r="AI390" s="206" t="str">
        <f>VLOOKUP(Primary_Order[[#This Row],[Product ID]],SKU[],13,0)</f>
        <v>3000</v>
      </c>
      <c r="AJ390" s="233">
        <f>VLOOKUP(Primary_Order[[#This Row],[Product ID]],SKU[[SKU ID]:[Bottle Size(Ltr)]],6,0)*Primary_Order[[#This Row],[Free Quantity]]</f>
        <v>0</v>
      </c>
      <c r="AK390" s="206" t="str">
        <f>VLOOKUP(Primary_Order[[#This Row],[Product ID]],SKU[[SKU ID]:[Bottle Size(Ltr)]],4,0)</f>
        <v>20x1L</v>
      </c>
      <c r="AL390" s="231">
        <f>VLOOKUP(Primary_Order[[#This Row],[Product ID]],SKU[],14,0)*Primary_Order[[#This Row],[Total Qty]]</f>
        <v>15173.199999999999</v>
      </c>
      <c r="AM390" s="231">
        <f>IF(Primary_Order[[#This Row],[Cost]]=0,0,Primary_Order[[#This Row],[Net Total(-15%)]]-Primary_Order[[#This Row],[Cost]])</f>
        <v>3000.7130434782612</v>
      </c>
      <c r="AN390" s="206" t="str">
        <f>"O-"&amp;Primary_Order[[#This Row],[Date]]&amp;"-"&amp;Primary_Order[[#This Row],[MMD ID]]</f>
        <v>O-45721-D-0021</v>
      </c>
      <c r="AO390" s="206" t="str" cm="1">
        <f t="array" ref="AO39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1" spans="1:41" x14ac:dyDescent="0.5">
      <c r="A391" s="206" t="s">
        <v>1344</v>
      </c>
      <c r="B391" s="230">
        <v>45721</v>
      </c>
      <c r="C391" s="206" t="s">
        <v>132</v>
      </c>
      <c r="D391" s="206" t="s">
        <v>1321</v>
      </c>
      <c r="E391" s="206" t="s">
        <v>1333</v>
      </c>
      <c r="F391" s="206" t="s">
        <v>1334</v>
      </c>
      <c r="G391" s="206" t="s">
        <v>64</v>
      </c>
      <c r="H391" s="206" t="s">
        <v>40</v>
      </c>
      <c r="I391" s="206" t="s">
        <v>65</v>
      </c>
      <c r="J391" s="206" t="s">
        <v>66</v>
      </c>
      <c r="K391" s="206" t="s">
        <v>53</v>
      </c>
      <c r="L391" s="206" t="str">
        <f>VLOOKUP(Primary_Order[[#This Row],[Product ID]],SKU[],3,0)</f>
        <v>3000 4T PLUS 20W40</v>
      </c>
      <c r="M391" s="231">
        <v>40</v>
      </c>
      <c r="N391" s="231">
        <v>535</v>
      </c>
      <c r="O391" s="231">
        <v>40</v>
      </c>
      <c r="P391" s="232">
        <v>3.2710280373831724E-2</v>
      </c>
      <c r="Q391" s="231">
        <v>0</v>
      </c>
      <c r="R391" s="231">
        <v>517.5</v>
      </c>
      <c r="S391" s="231">
        <v>40</v>
      </c>
      <c r="T391" s="231">
        <v>40</v>
      </c>
      <c r="U391" s="231">
        <v>21400</v>
      </c>
      <c r="V391" s="231">
        <v>0</v>
      </c>
      <c r="W391" s="231">
        <v>20700</v>
      </c>
      <c r="X391" s="231">
        <v>2700</v>
      </c>
      <c r="Y391" s="231">
        <v>18000</v>
      </c>
      <c r="Z391" s="206" t="s">
        <v>882</v>
      </c>
      <c r="AA391" s="206">
        <v>669</v>
      </c>
      <c r="AB391" s="206" t="s">
        <v>641</v>
      </c>
      <c r="AC391" s="230">
        <v>45727</v>
      </c>
      <c r="AD391" s="206" t="s">
        <v>1335</v>
      </c>
      <c r="AE391" s="206" t="str">
        <f>IFERROR(VLOOKUP(Primary_Order[[#This Row],[AM]],SP!$E$19:$F$23,2,0),Primary_Order[[#This Row],[AM]])</f>
        <v>Central</v>
      </c>
      <c r="AF391" s="206" t="str">
        <f>VLOOKUP(Primary_Order[[#This Row],[Product ID]],SKU[],10,0)</f>
        <v>Mineral</v>
      </c>
      <c r="AG391" s="206" t="str">
        <f>VLOOKUP(Primary_Order[[#This Row],[Product ID]],SKU[],9,0)</f>
        <v>MCO</v>
      </c>
      <c r="AH391" s="206" t="str">
        <f>VLOOKUP(Primary_Order[[#This Row],[Product ID]],SKU[],12,0)</f>
        <v>20W40</v>
      </c>
      <c r="AI391" s="206" t="str">
        <f>VLOOKUP(Primary_Order[[#This Row],[Product ID]],SKU[],13,0)</f>
        <v>3000</v>
      </c>
      <c r="AJ391" s="233">
        <f>VLOOKUP(Primary_Order[[#This Row],[Product ID]],SKU[[SKU ID]:[Bottle Size(Ltr)]],6,0)*Primary_Order[[#This Row],[Free Quantity]]</f>
        <v>0</v>
      </c>
      <c r="AK391" s="206" t="str">
        <f>VLOOKUP(Primary_Order[[#This Row],[Product ID]],SKU[[SKU ID]:[Bottle Size(Ltr)]],4,0)</f>
        <v>20x1L</v>
      </c>
      <c r="AL391" s="231">
        <f>VLOOKUP(Primary_Order[[#This Row],[Product ID]],SKU[],14,0)*Primary_Order[[#This Row],[Total Qty]]</f>
        <v>16510.400000000001</v>
      </c>
      <c r="AM391" s="231">
        <f>IF(Primary_Order[[#This Row],[Cost]]=0,0,Primary_Order[[#This Row],[Net Total(-15%)]]-Primary_Order[[#This Row],[Cost]])</f>
        <v>1489.5999999999985</v>
      </c>
      <c r="AN391" s="206" t="str">
        <f>"O-"&amp;Primary_Order[[#This Row],[Date]]&amp;"-"&amp;Primary_Order[[#This Row],[MMD ID]]</f>
        <v>O-45721-D-0021</v>
      </c>
      <c r="AO391" s="206" t="str" cm="1">
        <f t="array" ref="AO39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2" spans="1:41" x14ac:dyDescent="0.5">
      <c r="A392" s="206" t="s">
        <v>1344</v>
      </c>
      <c r="B392" s="230">
        <v>45721</v>
      </c>
      <c r="C392" s="206" t="s">
        <v>132</v>
      </c>
      <c r="D392" s="206" t="s">
        <v>1321</v>
      </c>
      <c r="E392" s="206" t="s">
        <v>1333</v>
      </c>
      <c r="F392" s="206" t="s">
        <v>1334</v>
      </c>
      <c r="G392" s="206" t="s">
        <v>64</v>
      </c>
      <c r="H392" s="206" t="s">
        <v>40</v>
      </c>
      <c r="I392" s="206" t="s">
        <v>65</v>
      </c>
      <c r="J392" s="206" t="s">
        <v>66</v>
      </c>
      <c r="K392" s="206" t="s">
        <v>54</v>
      </c>
      <c r="L392" s="206" t="str">
        <f>VLOOKUP(Primary_Order[[#This Row],[Product ID]],SKU[],3,0)</f>
        <v>3000 4T PLUS 10W40</v>
      </c>
      <c r="M392" s="231">
        <v>120</v>
      </c>
      <c r="N392" s="231">
        <v>550</v>
      </c>
      <c r="O392" s="231">
        <v>120</v>
      </c>
      <c r="P392" s="232">
        <v>3.1818181818181857E-2</v>
      </c>
      <c r="Q392" s="231">
        <v>0</v>
      </c>
      <c r="R392" s="231">
        <v>532.5</v>
      </c>
      <c r="S392" s="231">
        <v>120</v>
      </c>
      <c r="T392" s="231">
        <v>120</v>
      </c>
      <c r="U392" s="231">
        <v>66000</v>
      </c>
      <c r="V392" s="231">
        <v>0</v>
      </c>
      <c r="W392" s="231">
        <v>63900</v>
      </c>
      <c r="X392" s="231">
        <v>8334.782608695652</v>
      </c>
      <c r="Y392" s="231">
        <v>55565.217391304344</v>
      </c>
      <c r="Z392" s="206" t="s">
        <v>882</v>
      </c>
      <c r="AA392" s="206">
        <v>669</v>
      </c>
      <c r="AB392" s="206" t="s">
        <v>641</v>
      </c>
      <c r="AC392" s="230">
        <v>45727</v>
      </c>
      <c r="AD392" s="206" t="s">
        <v>1335</v>
      </c>
      <c r="AE392" s="206" t="str">
        <f>IFERROR(VLOOKUP(Primary_Order[[#This Row],[AM]],SP!$E$19:$F$23,2,0),Primary_Order[[#This Row],[AM]])</f>
        <v>Central</v>
      </c>
      <c r="AF392" s="206" t="str">
        <f>VLOOKUP(Primary_Order[[#This Row],[Product ID]],SKU[],10,0)</f>
        <v>Mineral</v>
      </c>
      <c r="AG392" s="206" t="str">
        <f>VLOOKUP(Primary_Order[[#This Row],[Product ID]],SKU[],9,0)</f>
        <v>MCO</v>
      </c>
      <c r="AH392" s="206" t="str">
        <f>VLOOKUP(Primary_Order[[#This Row],[Product ID]],SKU[],12,0)</f>
        <v>10W40</v>
      </c>
      <c r="AI392" s="206" t="str">
        <f>VLOOKUP(Primary_Order[[#This Row],[Product ID]],SKU[],13,0)</f>
        <v>3000</v>
      </c>
      <c r="AJ392" s="233">
        <f>VLOOKUP(Primary_Order[[#This Row],[Product ID]],SKU[[SKU ID]:[Bottle Size(Ltr)]],6,0)*Primary_Order[[#This Row],[Free Quantity]]</f>
        <v>0</v>
      </c>
      <c r="AK392" s="206" t="str">
        <f>VLOOKUP(Primary_Order[[#This Row],[Product ID]],SKU[[SKU ID]:[Bottle Size(Ltr)]],4,0)</f>
        <v>20x1L</v>
      </c>
      <c r="AL392" s="231">
        <f>VLOOKUP(Primary_Order[[#This Row],[Product ID]],SKU[],14,0)*Primary_Order[[#This Row],[Total Qty]]</f>
        <v>46182</v>
      </c>
      <c r="AM392" s="231">
        <f>IF(Primary_Order[[#This Row],[Cost]]=0,0,Primary_Order[[#This Row],[Net Total(-15%)]]-Primary_Order[[#This Row],[Cost]])</f>
        <v>9383.2173913043443</v>
      </c>
      <c r="AN392" s="206" t="str">
        <f>"O-"&amp;Primary_Order[[#This Row],[Date]]&amp;"-"&amp;Primary_Order[[#This Row],[MMD ID]]</f>
        <v>O-45721-D-0021</v>
      </c>
      <c r="AO392" s="206" t="str" cm="1">
        <f t="array" ref="AO39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3" spans="1:41" x14ac:dyDescent="0.5">
      <c r="A393" s="206" t="s">
        <v>1345</v>
      </c>
      <c r="B393" s="230">
        <v>45727</v>
      </c>
      <c r="C393" s="206" t="s">
        <v>102</v>
      </c>
      <c r="D393" s="206" t="s">
        <v>1329</v>
      </c>
      <c r="E393" s="206" t="s">
        <v>1330</v>
      </c>
      <c r="F393" s="206" t="s">
        <v>1331</v>
      </c>
      <c r="G393" s="206" t="s">
        <v>45</v>
      </c>
      <c r="H393" s="206" t="s">
        <v>28</v>
      </c>
      <c r="I393" s="206" t="s">
        <v>46</v>
      </c>
      <c r="J393" s="206" t="s">
        <v>47</v>
      </c>
      <c r="K393" s="206" t="s">
        <v>31</v>
      </c>
      <c r="L393" s="206" t="str">
        <f>VLOOKUP(Primary_Order[[#This Row],[Product ID]],SKU[],3,0)</f>
        <v>3000 4T PLUS 10W30</v>
      </c>
      <c r="M393" s="231">
        <v>20</v>
      </c>
      <c r="N393" s="231">
        <v>540</v>
      </c>
      <c r="O393" s="231">
        <v>20</v>
      </c>
      <c r="P393" s="232">
        <v>0</v>
      </c>
      <c r="Q393" s="231">
        <v>0</v>
      </c>
      <c r="R393" s="231">
        <v>540</v>
      </c>
      <c r="S393" s="231">
        <v>20</v>
      </c>
      <c r="T393" s="231">
        <v>20</v>
      </c>
      <c r="U393" s="231">
        <v>10800</v>
      </c>
      <c r="V393" s="231">
        <v>0</v>
      </c>
      <c r="W393" s="231">
        <v>10800</v>
      </c>
      <c r="X393" s="231">
        <v>1408.695652173913</v>
      </c>
      <c r="Y393" s="231">
        <v>9391.3043478260861</v>
      </c>
      <c r="Z393" s="206" t="s">
        <v>882</v>
      </c>
      <c r="AA393" s="206">
        <v>672</v>
      </c>
      <c r="AB393" s="206" t="s">
        <v>749</v>
      </c>
      <c r="AC393" s="230">
        <v>45728</v>
      </c>
      <c r="AD393" s="206" t="s">
        <v>1332</v>
      </c>
      <c r="AE393" s="206" t="str">
        <f>IFERROR(VLOOKUP(Primary_Order[[#This Row],[AM]],SP!$E$19:$F$23,2,0),Primary_Order[[#This Row],[AM]])</f>
        <v>Eastern</v>
      </c>
      <c r="AF393" s="206" t="str">
        <f>VLOOKUP(Primary_Order[[#This Row],[Product ID]],SKU[],10,0)</f>
        <v>Mineral</v>
      </c>
      <c r="AG393" s="206" t="str">
        <f>VLOOKUP(Primary_Order[[#This Row],[Product ID]],SKU[],9,0)</f>
        <v>MCO</v>
      </c>
      <c r="AH393" s="206" t="str">
        <f>VLOOKUP(Primary_Order[[#This Row],[Product ID]],SKU[],12,0)</f>
        <v>10W30</v>
      </c>
      <c r="AI393" s="206" t="str">
        <f>VLOOKUP(Primary_Order[[#This Row],[Product ID]],SKU[],13,0)</f>
        <v>3000</v>
      </c>
      <c r="AJ393" s="233">
        <f>VLOOKUP(Primary_Order[[#This Row],[Product ID]],SKU[[SKU ID]:[Bottle Size(Ltr)]],6,0)*Primary_Order[[#This Row],[Free Quantity]]</f>
        <v>0</v>
      </c>
      <c r="AK393" s="206" t="str">
        <f>VLOOKUP(Primary_Order[[#This Row],[Product ID]],SKU[[SKU ID]:[Bottle Size(Ltr)]],4,0)</f>
        <v>20x1L</v>
      </c>
      <c r="AL393" s="231">
        <f>VLOOKUP(Primary_Order[[#This Row],[Product ID]],SKU[],14,0)*Primary_Order[[#This Row],[Total Qty]]</f>
        <v>7586.5999999999995</v>
      </c>
      <c r="AM393" s="231">
        <f>IF(Primary_Order[[#This Row],[Cost]]=0,0,Primary_Order[[#This Row],[Net Total(-15%)]]-Primary_Order[[#This Row],[Cost]])</f>
        <v>1804.7043478260866</v>
      </c>
      <c r="AN393" s="206" t="str">
        <f>"O-"&amp;Primary_Order[[#This Row],[Date]]&amp;"-"&amp;Primary_Order[[#This Row],[MMD ID]]</f>
        <v>O-45727-D-0003</v>
      </c>
      <c r="AO393" s="206" t="str" cm="1">
        <f t="array" ref="AO39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4" spans="1:41" x14ac:dyDescent="0.5">
      <c r="A394" s="206" t="s">
        <v>1345</v>
      </c>
      <c r="B394" s="230">
        <v>45727</v>
      </c>
      <c r="C394" s="206" t="s">
        <v>102</v>
      </c>
      <c r="D394" s="206" t="s">
        <v>1329</v>
      </c>
      <c r="E394" s="206" t="s">
        <v>1330</v>
      </c>
      <c r="F394" s="206" t="s">
        <v>1331</v>
      </c>
      <c r="G394" s="206" t="s">
        <v>45</v>
      </c>
      <c r="H394" s="206" t="s">
        <v>28</v>
      </c>
      <c r="I394" s="206" t="s">
        <v>46</v>
      </c>
      <c r="J394" s="206" t="s">
        <v>47</v>
      </c>
      <c r="K394" s="206" t="s">
        <v>54</v>
      </c>
      <c r="L394" s="206" t="str">
        <f>VLOOKUP(Primary_Order[[#This Row],[Product ID]],SKU[],3,0)</f>
        <v>3000 4T PLUS 10W40</v>
      </c>
      <c r="M394" s="231">
        <v>20</v>
      </c>
      <c r="N394" s="231">
        <v>540</v>
      </c>
      <c r="O394" s="231">
        <v>20</v>
      </c>
      <c r="P394" s="232">
        <v>0</v>
      </c>
      <c r="Q394" s="231">
        <v>0</v>
      </c>
      <c r="R394" s="231">
        <v>540</v>
      </c>
      <c r="S394" s="231">
        <v>20</v>
      </c>
      <c r="T394" s="231">
        <v>20</v>
      </c>
      <c r="U394" s="231">
        <v>10800</v>
      </c>
      <c r="V394" s="231">
        <v>0</v>
      </c>
      <c r="W394" s="231">
        <v>10800</v>
      </c>
      <c r="X394" s="231">
        <v>1408.695652173913</v>
      </c>
      <c r="Y394" s="231">
        <v>9391.3043478260861</v>
      </c>
      <c r="Z394" s="206" t="s">
        <v>882</v>
      </c>
      <c r="AA394" s="206">
        <v>672</v>
      </c>
      <c r="AB394" s="206" t="s">
        <v>749</v>
      </c>
      <c r="AC394" s="230">
        <v>45728</v>
      </c>
      <c r="AD394" s="206" t="s">
        <v>1332</v>
      </c>
      <c r="AE394" s="206" t="str">
        <f>IFERROR(VLOOKUP(Primary_Order[[#This Row],[AM]],SP!$E$19:$F$23,2,0),Primary_Order[[#This Row],[AM]])</f>
        <v>Eastern</v>
      </c>
      <c r="AF394" s="206" t="str">
        <f>VLOOKUP(Primary_Order[[#This Row],[Product ID]],SKU[],10,0)</f>
        <v>Mineral</v>
      </c>
      <c r="AG394" s="206" t="str">
        <f>VLOOKUP(Primary_Order[[#This Row],[Product ID]],SKU[],9,0)</f>
        <v>MCO</v>
      </c>
      <c r="AH394" s="206" t="str">
        <f>VLOOKUP(Primary_Order[[#This Row],[Product ID]],SKU[],12,0)</f>
        <v>10W40</v>
      </c>
      <c r="AI394" s="206" t="str">
        <f>VLOOKUP(Primary_Order[[#This Row],[Product ID]],SKU[],13,0)</f>
        <v>3000</v>
      </c>
      <c r="AJ394" s="233">
        <f>VLOOKUP(Primary_Order[[#This Row],[Product ID]],SKU[[SKU ID]:[Bottle Size(Ltr)]],6,0)*Primary_Order[[#This Row],[Free Quantity]]</f>
        <v>0</v>
      </c>
      <c r="AK394" s="206" t="str">
        <f>VLOOKUP(Primary_Order[[#This Row],[Product ID]],SKU[[SKU ID]:[Bottle Size(Ltr)]],4,0)</f>
        <v>20x1L</v>
      </c>
      <c r="AL394" s="231">
        <f>VLOOKUP(Primary_Order[[#This Row],[Product ID]],SKU[],14,0)*Primary_Order[[#This Row],[Total Qty]]</f>
        <v>7697</v>
      </c>
      <c r="AM394" s="231">
        <f>IF(Primary_Order[[#This Row],[Cost]]=0,0,Primary_Order[[#This Row],[Net Total(-15%)]]-Primary_Order[[#This Row],[Cost]])</f>
        <v>1694.3043478260861</v>
      </c>
      <c r="AN394" s="206" t="str">
        <f>"O-"&amp;Primary_Order[[#This Row],[Date]]&amp;"-"&amp;Primary_Order[[#This Row],[MMD ID]]</f>
        <v>O-45727-D-0003</v>
      </c>
      <c r="AO394" s="206" t="str" cm="1">
        <f t="array" ref="AO39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5" spans="1:41" x14ac:dyDescent="0.5">
      <c r="A395" s="206" t="s">
        <v>1345</v>
      </c>
      <c r="B395" s="230">
        <v>45727</v>
      </c>
      <c r="C395" s="206" t="s">
        <v>102</v>
      </c>
      <c r="D395" s="206" t="s">
        <v>1329</v>
      </c>
      <c r="E395" s="206" t="s">
        <v>1330</v>
      </c>
      <c r="F395" s="206" t="s">
        <v>1331</v>
      </c>
      <c r="G395" s="206" t="s">
        <v>45</v>
      </c>
      <c r="H395" s="206" t="s">
        <v>28</v>
      </c>
      <c r="I395" s="206" t="s">
        <v>46</v>
      </c>
      <c r="J395" s="206" t="s">
        <v>47</v>
      </c>
      <c r="K395" s="206" t="s">
        <v>35</v>
      </c>
      <c r="L395" s="206" t="str">
        <f>VLOOKUP(Primary_Order[[#This Row],[Product ID]],SKU[],3,0)</f>
        <v>51004T 10W30 ESTER</v>
      </c>
      <c r="M395" s="231">
        <v>24</v>
      </c>
      <c r="N395" s="231">
        <v>860</v>
      </c>
      <c r="O395" s="231">
        <v>24</v>
      </c>
      <c r="P395" s="232">
        <v>0</v>
      </c>
      <c r="Q395" s="231">
        <v>0</v>
      </c>
      <c r="R395" s="231">
        <v>860</v>
      </c>
      <c r="S395" s="231">
        <v>24</v>
      </c>
      <c r="T395" s="231">
        <v>24</v>
      </c>
      <c r="U395" s="231">
        <v>20640</v>
      </c>
      <c r="V395" s="231">
        <v>0</v>
      </c>
      <c r="W395" s="231">
        <v>20640</v>
      </c>
      <c r="X395" s="231">
        <v>2692.1739130434785</v>
      </c>
      <c r="Y395" s="231">
        <v>17947.82608695652</v>
      </c>
      <c r="Z395" s="206" t="s">
        <v>882</v>
      </c>
      <c r="AA395" s="206">
        <v>672</v>
      </c>
      <c r="AB395" s="206" t="s">
        <v>749</v>
      </c>
      <c r="AC395" s="230">
        <v>45728</v>
      </c>
      <c r="AD395" s="206" t="s">
        <v>1332</v>
      </c>
      <c r="AE395" s="206" t="str">
        <f>IFERROR(VLOOKUP(Primary_Order[[#This Row],[AM]],SP!$E$19:$F$23,2,0),Primary_Order[[#This Row],[AM]])</f>
        <v>Eastern</v>
      </c>
      <c r="AF395" s="206" t="str">
        <f>VLOOKUP(Primary_Order[[#This Row],[Product ID]],SKU[],10,0)</f>
        <v>Technosynthese</v>
      </c>
      <c r="AG395" s="206" t="str">
        <f>VLOOKUP(Primary_Order[[#This Row],[Product ID]],SKU[],9,0)</f>
        <v>MCO</v>
      </c>
      <c r="AH395" s="206" t="str">
        <f>VLOOKUP(Primary_Order[[#This Row],[Product ID]],SKU[],12,0)</f>
        <v>10W30</v>
      </c>
      <c r="AI395" s="206" t="str">
        <f>VLOOKUP(Primary_Order[[#This Row],[Product ID]],SKU[],13,0)</f>
        <v>5100</v>
      </c>
      <c r="AJ395" s="233">
        <f>VLOOKUP(Primary_Order[[#This Row],[Product ID]],SKU[[SKU ID]:[Bottle Size(Ltr)]],6,0)*Primary_Order[[#This Row],[Free Quantity]]</f>
        <v>0</v>
      </c>
      <c r="AK395" s="206" t="str">
        <f>VLOOKUP(Primary_Order[[#This Row],[Product ID]],SKU[[SKU ID]:[Bottle Size(Ltr)]],4,0)</f>
        <v>12x1L</v>
      </c>
      <c r="AL395" s="231">
        <f>VLOOKUP(Primary_Order[[#This Row],[Product ID]],SKU[],14,0)*Primary_Order[[#This Row],[Total Qty]]</f>
        <v>14463.36</v>
      </c>
      <c r="AM395" s="231">
        <f>IF(Primary_Order[[#This Row],[Cost]]=0,0,Primary_Order[[#This Row],[Net Total(-15%)]]-Primary_Order[[#This Row],[Cost]])</f>
        <v>3484.4660869565196</v>
      </c>
      <c r="AN395" s="206" t="str">
        <f>"O-"&amp;Primary_Order[[#This Row],[Date]]&amp;"-"&amp;Primary_Order[[#This Row],[MMD ID]]</f>
        <v>O-45727-D-0003</v>
      </c>
      <c r="AO395" s="206" t="str" cm="1">
        <f t="array" ref="AO39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6" spans="1:41" x14ac:dyDescent="0.5">
      <c r="A396" s="206" t="s">
        <v>1345</v>
      </c>
      <c r="B396" s="230">
        <v>45727</v>
      </c>
      <c r="C396" s="206" t="s">
        <v>102</v>
      </c>
      <c r="D396" s="206" t="s">
        <v>1329</v>
      </c>
      <c r="E396" s="206" t="s">
        <v>1330</v>
      </c>
      <c r="F396" s="206" t="s">
        <v>1331</v>
      </c>
      <c r="G396" s="206" t="s">
        <v>45</v>
      </c>
      <c r="H396" s="206" t="s">
        <v>28</v>
      </c>
      <c r="I396" s="206" t="s">
        <v>46</v>
      </c>
      <c r="J396" s="206" t="s">
        <v>47</v>
      </c>
      <c r="K396" s="206" t="s">
        <v>56</v>
      </c>
      <c r="L396" s="206" t="str">
        <f>VLOOKUP(Primary_Order[[#This Row],[Product ID]],SKU[],3,0)</f>
        <v>7100 4T 10W30 ESTER CORE®</v>
      </c>
      <c r="M396" s="231">
        <v>24</v>
      </c>
      <c r="N396" s="231">
        <v>1080</v>
      </c>
      <c r="O396" s="231">
        <v>24</v>
      </c>
      <c r="P396" s="232">
        <v>0</v>
      </c>
      <c r="Q396" s="231">
        <v>0</v>
      </c>
      <c r="R396" s="231">
        <v>1080</v>
      </c>
      <c r="S396" s="231">
        <v>24</v>
      </c>
      <c r="T396" s="231">
        <v>24</v>
      </c>
      <c r="U396" s="231">
        <v>25920</v>
      </c>
      <c r="V396" s="231">
        <v>0</v>
      </c>
      <c r="W396" s="231">
        <v>25920</v>
      </c>
      <c r="X396" s="231">
        <v>3380.8695652173915</v>
      </c>
      <c r="Y396" s="231">
        <v>22539.130434782608</v>
      </c>
      <c r="Z396" s="206" t="s">
        <v>882</v>
      </c>
      <c r="AA396" s="206">
        <v>672</v>
      </c>
      <c r="AB396" s="206" t="s">
        <v>749</v>
      </c>
      <c r="AC396" s="230">
        <v>45728</v>
      </c>
      <c r="AD396" s="206" t="s">
        <v>1332</v>
      </c>
      <c r="AE396" s="206" t="str">
        <f>IFERROR(VLOOKUP(Primary_Order[[#This Row],[AM]],SP!$E$19:$F$23,2,0),Primary_Order[[#This Row],[AM]])</f>
        <v>Eastern</v>
      </c>
      <c r="AF396" s="206" t="str">
        <f>VLOOKUP(Primary_Order[[#This Row],[Product ID]],SKU[],10,0)</f>
        <v>Synthetic</v>
      </c>
      <c r="AG396" s="206" t="str">
        <f>VLOOKUP(Primary_Order[[#This Row],[Product ID]],SKU[],9,0)</f>
        <v>MCO</v>
      </c>
      <c r="AH396" s="206" t="str">
        <f>VLOOKUP(Primary_Order[[#This Row],[Product ID]],SKU[],12,0)</f>
        <v>10W30</v>
      </c>
      <c r="AI396" s="206" t="str">
        <f>VLOOKUP(Primary_Order[[#This Row],[Product ID]],SKU[],13,0)</f>
        <v>7100</v>
      </c>
      <c r="AJ396" s="233">
        <f>VLOOKUP(Primary_Order[[#This Row],[Product ID]],SKU[[SKU ID]:[Bottle Size(Ltr)]],6,0)*Primary_Order[[#This Row],[Free Quantity]]</f>
        <v>0</v>
      </c>
      <c r="AK396" s="206" t="str">
        <f>VLOOKUP(Primary_Order[[#This Row],[Product ID]],SKU[[SKU ID]:[Bottle Size(Ltr)]],4,0)</f>
        <v>12x1L</v>
      </c>
      <c r="AL396" s="231">
        <f>VLOOKUP(Primary_Order[[#This Row],[Product ID]],SKU[],14,0)*Primary_Order[[#This Row],[Total Qty]]</f>
        <v>16556.64</v>
      </c>
      <c r="AM396" s="231">
        <f>IF(Primary_Order[[#This Row],[Cost]]=0,0,Primary_Order[[#This Row],[Net Total(-15%)]]-Primary_Order[[#This Row],[Cost]])</f>
        <v>5982.4904347826086</v>
      </c>
      <c r="AN396" s="206" t="str">
        <f>"O-"&amp;Primary_Order[[#This Row],[Date]]&amp;"-"&amp;Primary_Order[[#This Row],[MMD ID]]</f>
        <v>O-45727-D-0003</v>
      </c>
      <c r="AO396" s="206" t="str" cm="1">
        <f t="array" ref="AO39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7" spans="1:41" x14ac:dyDescent="0.5">
      <c r="A397" s="206" t="s">
        <v>1346</v>
      </c>
      <c r="B397" s="230">
        <v>45727</v>
      </c>
      <c r="C397" s="206" t="s">
        <v>108</v>
      </c>
      <c r="D397" s="206" t="s">
        <v>1327</v>
      </c>
      <c r="E397" s="206" t="s">
        <v>1328</v>
      </c>
      <c r="F397" s="206">
        <v>1737144950</v>
      </c>
      <c r="G397" s="206" t="s">
        <v>280</v>
      </c>
      <c r="H397" s="206" t="s">
        <v>84</v>
      </c>
      <c r="I397" s="206" t="s">
        <v>109</v>
      </c>
      <c r="J397" s="206" t="s">
        <v>282</v>
      </c>
      <c r="K397" s="206" t="s">
        <v>31</v>
      </c>
      <c r="L397" s="206" t="str">
        <f>VLOOKUP(Primary_Order[[#This Row],[Product ID]],SKU[],3,0)</f>
        <v>3000 4T PLUS 10W30</v>
      </c>
      <c r="M397" s="231">
        <v>80</v>
      </c>
      <c r="N397" s="231">
        <v>540</v>
      </c>
      <c r="O397" s="231">
        <v>80</v>
      </c>
      <c r="P397" s="232">
        <v>9.2592592592593004E-3</v>
      </c>
      <c r="Q397" s="231">
        <v>0</v>
      </c>
      <c r="R397" s="231">
        <v>535</v>
      </c>
      <c r="S397" s="231">
        <v>80</v>
      </c>
      <c r="T397" s="231">
        <v>80</v>
      </c>
      <c r="U397" s="231">
        <v>43200</v>
      </c>
      <c r="V397" s="231">
        <v>0</v>
      </c>
      <c r="W397" s="231">
        <v>42800</v>
      </c>
      <c r="X397" s="231">
        <v>5582.608695652174</v>
      </c>
      <c r="Y397" s="231">
        <v>37217.391304347824</v>
      </c>
      <c r="Z397" s="206" t="s">
        <v>882</v>
      </c>
      <c r="AA397" s="206">
        <v>673</v>
      </c>
      <c r="AB397" s="206" t="s">
        <v>749</v>
      </c>
      <c r="AC397" s="230">
        <v>45728</v>
      </c>
      <c r="AD397" s="206" t="s">
        <v>50</v>
      </c>
      <c r="AE397" s="206" t="str">
        <f>IFERROR(VLOOKUP(Primary_Order[[#This Row],[AM]],SP!$E$19:$F$23,2,0),Primary_Order[[#This Row],[AM]])</f>
        <v>Northern</v>
      </c>
      <c r="AF397" s="206" t="str">
        <f>VLOOKUP(Primary_Order[[#This Row],[Product ID]],SKU[],10,0)</f>
        <v>Mineral</v>
      </c>
      <c r="AG397" s="206" t="str">
        <f>VLOOKUP(Primary_Order[[#This Row],[Product ID]],SKU[],9,0)</f>
        <v>MCO</v>
      </c>
      <c r="AH397" s="206" t="str">
        <f>VLOOKUP(Primary_Order[[#This Row],[Product ID]],SKU[],12,0)</f>
        <v>10W30</v>
      </c>
      <c r="AI397" s="206" t="str">
        <f>VLOOKUP(Primary_Order[[#This Row],[Product ID]],SKU[],13,0)</f>
        <v>3000</v>
      </c>
      <c r="AJ397" s="233">
        <f>VLOOKUP(Primary_Order[[#This Row],[Product ID]],SKU[[SKU ID]:[Bottle Size(Ltr)]],6,0)*Primary_Order[[#This Row],[Free Quantity]]</f>
        <v>0</v>
      </c>
      <c r="AK397" s="206" t="str">
        <f>VLOOKUP(Primary_Order[[#This Row],[Product ID]],SKU[[SKU ID]:[Bottle Size(Ltr)]],4,0)</f>
        <v>20x1L</v>
      </c>
      <c r="AL397" s="231">
        <f>VLOOKUP(Primary_Order[[#This Row],[Product ID]],SKU[],14,0)*Primary_Order[[#This Row],[Total Qty]]</f>
        <v>30346.399999999998</v>
      </c>
      <c r="AM397" s="231">
        <f>IF(Primary_Order[[#This Row],[Cost]]=0,0,Primary_Order[[#This Row],[Net Total(-15%)]]-Primary_Order[[#This Row],[Cost]])</f>
        <v>6870.9913043478264</v>
      </c>
      <c r="AN397" s="206" t="str">
        <f>"O-"&amp;Primary_Order[[#This Row],[Date]]&amp;"-"&amp;Primary_Order[[#This Row],[MMD ID]]</f>
        <v>O-45727-D-0023</v>
      </c>
      <c r="AO397" s="206" t="str" cm="1">
        <f t="array" ref="AO39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8" spans="1:41" x14ac:dyDescent="0.5">
      <c r="A398" s="206" t="s">
        <v>1346</v>
      </c>
      <c r="B398" s="230">
        <v>45727</v>
      </c>
      <c r="C398" s="206" t="s">
        <v>108</v>
      </c>
      <c r="D398" s="206" t="s">
        <v>1327</v>
      </c>
      <c r="E398" s="206" t="s">
        <v>1328</v>
      </c>
      <c r="F398" s="206">
        <v>1737144950</v>
      </c>
      <c r="G398" s="206" t="s">
        <v>280</v>
      </c>
      <c r="H398" s="206" t="s">
        <v>84</v>
      </c>
      <c r="I398" s="206" t="s">
        <v>109</v>
      </c>
      <c r="J398" s="206" t="s">
        <v>282</v>
      </c>
      <c r="K398" s="206" t="s">
        <v>54</v>
      </c>
      <c r="L398" s="206" t="str">
        <f>VLOOKUP(Primary_Order[[#This Row],[Product ID]],SKU[],3,0)</f>
        <v>3000 4T PLUS 10W40</v>
      </c>
      <c r="M398" s="231">
        <v>260</v>
      </c>
      <c r="N398" s="231">
        <v>540</v>
      </c>
      <c r="O398" s="231">
        <v>260</v>
      </c>
      <c r="P398" s="232">
        <v>9.2592592592593004E-3</v>
      </c>
      <c r="Q398" s="231">
        <v>0</v>
      </c>
      <c r="R398" s="231">
        <v>535</v>
      </c>
      <c r="S398" s="231">
        <v>260</v>
      </c>
      <c r="T398" s="231">
        <v>260</v>
      </c>
      <c r="U398" s="231">
        <v>140400</v>
      </c>
      <c r="V398" s="231">
        <v>0</v>
      </c>
      <c r="W398" s="231">
        <v>139100</v>
      </c>
      <c r="X398" s="231">
        <v>18143.478260869564</v>
      </c>
      <c r="Y398" s="231">
        <v>120956.52173913043</v>
      </c>
      <c r="Z398" s="206" t="s">
        <v>882</v>
      </c>
      <c r="AA398" s="206">
        <v>673</v>
      </c>
      <c r="AB398" s="206" t="s">
        <v>749</v>
      </c>
      <c r="AC398" s="230">
        <v>45728</v>
      </c>
      <c r="AD398" s="206" t="s">
        <v>50</v>
      </c>
      <c r="AE398" s="206" t="str">
        <f>IFERROR(VLOOKUP(Primary_Order[[#This Row],[AM]],SP!$E$19:$F$23,2,0),Primary_Order[[#This Row],[AM]])</f>
        <v>Northern</v>
      </c>
      <c r="AF398" s="206" t="str">
        <f>VLOOKUP(Primary_Order[[#This Row],[Product ID]],SKU[],10,0)</f>
        <v>Mineral</v>
      </c>
      <c r="AG398" s="206" t="str">
        <f>VLOOKUP(Primary_Order[[#This Row],[Product ID]],SKU[],9,0)</f>
        <v>MCO</v>
      </c>
      <c r="AH398" s="206" t="str">
        <f>VLOOKUP(Primary_Order[[#This Row],[Product ID]],SKU[],12,0)</f>
        <v>10W40</v>
      </c>
      <c r="AI398" s="206" t="str">
        <f>VLOOKUP(Primary_Order[[#This Row],[Product ID]],SKU[],13,0)</f>
        <v>3000</v>
      </c>
      <c r="AJ398" s="233">
        <f>VLOOKUP(Primary_Order[[#This Row],[Product ID]],SKU[[SKU ID]:[Bottle Size(Ltr)]],6,0)*Primary_Order[[#This Row],[Free Quantity]]</f>
        <v>0</v>
      </c>
      <c r="AK398" s="206" t="str">
        <f>VLOOKUP(Primary_Order[[#This Row],[Product ID]],SKU[[SKU ID]:[Bottle Size(Ltr)]],4,0)</f>
        <v>20x1L</v>
      </c>
      <c r="AL398" s="231">
        <f>VLOOKUP(Primary_Order[[#This Row],[Product ID]],SKU[],14,0)*Primary_Order[[#This Row],[Total Qty]]</f>
        <v>100061</v>
      </c>
      <c r="AM398" s="231">
        <f>IF(Primary_Order[[#This Row],[Cost]]=0,0,Primary_Order[[#This Row],[Net Total(-15%)]]-Primary_Order[[#This Row],[Cost]])</f>
        <v>20895.521739130432</v>
      </c>
      <c r="AN398" s="206" t="str">
        <f>"O-"&amp;Primary_Order[[#This Row],[Date]]&amp;"-"&amp;Primary_Order[[#This Row],[MMD ID]]</f>
        <v>O-45727-D-0023</v>
      </c>
      <c r="AO398" s="206" t="str" cm="1">
        <f t="array" ref="AO39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399" spans="1:41" x14ac:dyDescent="0.5">
      <c r="A399" s="206" t="s">
        <v>1346</v>
      </c>
      <c r="B399" s="230">
        <v>45727</v>
      </c>
      <c r="C399" s="206" t="s">
        <v>108</v>
      </c>
      <c r="D399" s="206" t="s">
        <v>1327</v>
      </c>
      <c r="E399" s="206" t="s">
        <v>1328</v>
      </c>
      <c r="F399" s="206">
        <v>1737144950</v>
      </c>
      <c r="G399" s="206" t="s">
        <v>280</v>
      </c>
      <c r="H399" s="206" t="s">
        <v>84</v>
      </c>
      <c r="I399" s="206" t="s">
        <v>109</v>
      </c>
      <c r="J399" s="206" t="s">
        <v>282</v>
      </c>
      <c r="K399" s="206" t="s">
        <v>56</v>
      </c>
      <c r="L399" s="206" t="str">
        <f>VLOOKUP(Primary_Order[[#This Row],[Product ID]],SKU[],3,0)</f>
        <v>7100 4T 10W30 ESTER CORE®</v>
      </c>
      <c r="M399" s="231">
        <v>24</v>
      </c>
      <c r="N399" s="231">
        <v>1075</v>
      </c>
      <c r="O399" s="231">
        <v>24</v>
      </c>
      <c r="P399" s="232">
        <v>4.6511627906976605E-3</v>
      </c>
      <c r="Q399" s="231">
        <v>0</v>
      </c>
      <c r="R399" s="231">
        <v>1070</v>
      </c>
      <c r="S399" s="231">
        <v>24</v>
      </c>
      <c r="T399" s="231">
        <v>24</v>
      </c>
      <c r="U399" s="231">
        <v>25800</v>
      </c>
      <c r="V399" s="231">
        <v>0</v>
      </c>
      <c r="W399" s="231">
        <v>25680</v>
      </c>
      <c r="X399" s="231">
        <v>3349.5652173913045</v>
      </c>
      <c r="Y399" s="231">
        <v>22330.434782608696</v>
      </c>
      <c r="Z399" s="206" t="s">
        <v>882</v>
      </c>
      <c r="AA399" s="206">
        <v>673</v>
      </c>
      <c r="AB399" s="206" t="s">
        <v>749</v>
      </c>
      <c r="AC399" s="230">
        <v>45728</v>
      </c>
      <c r="AD399" s="206" t="s">
        <v>50</v>
      </c>
      <c r="AE399" s="206" t="str">
        <f>IFERROR(VLOOKUP(Primary_Order[[#This Row],[AM]],SP!$E$19:$F$23,2,0),Primary_Order[[#This Row],[AM]])</f>
        <v>Northern</v>
      </c>
      <c r="AF399" s="206" t="str">
        <f>VLOOKUP(Primary_Order[[#This Row],[Product ID]],SKU[],10,0)</f>
        <v>Synthetic</v>
      </c>
      <c r="AG399" s="206" t="str">
        <f>VLOOKUP(Primary_Order[[#This Row],[Product ID]],SKU[],9,0)</f>
        <v>MCO</v>
      </c>
      <c r="AH399" s="206" t="str">
        <f>VLOOKUP(Primary_Order[[#This Row],[Product ID]],SKU[],12,0)</f>
        <v>10W30</v>
      </c>
      <c r="AI399" s="206" t="str">
        <f>VLOOKUP(Primary_Order[[#This Row],[Product ID]],SKU[],13,0)</f>
        <v>7100</v>
      </c>
      <c r="AJ399" s="233">
        <f>VLOOKUP(Primary_Order[[#This Row],[Product ID]],SKU[[SKU ID]:[Bottle Size(Ltr)]],6,0)*Primary_Order[[#This Row],[Free Quantity]]</f>
        <v>0</v>
      </c>
      <c r="AK399" s="206" t="str">
        <f>VLOOKUP(Primary_Order[[#This Row],[Product ID]],SKU[[SKU ID]:[Bottle Size(Ltr)]],4,0)</f>
        <v>12x1L</v>
      </c>
      <c r="AL399" s="231">
        <f>VLOOKUP(Primary_Order[[#This Row],[Product ID]],SKU[],14,0)*Primary_Order[[#This Row],[Total Qty]]</f>
        <v>16556.64</v>
      </c>
      <c r="AM399" s="231">
        <f>IF(Primary_Order[[#This Row],[Cost]]=0,0,Primary_Order[[#This Row],[Net Total(-15%)]]-Primary_Order[[#This Row],[Cost]])</f>
        <v>5773.7947826086966</v>
      </c>
      <c r="AN399" s="206" t="str">
        <f>"O-"&amp;Primary_Order[[#This Row],[Date]]&amp;"-"&amp;Primary_Order[[#This Row],[MMD ID]]</f>
        <v>O-45727-D-0023</v>
      </c>
      <c r="AO399" s="206" t="str" cm="1">
        <f t="array" ref="AO39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0" spans="1:41" x14ac:dyDescent="0.5">
      <c r="A400" s="206" t="s">
        <v>1346</v>
      </c>
      <c r="B400" s="230">
        <v>45727</v>
      </c>
      <c r="C400" s="206" t="s">
        <v>108</v>
      </c>
      <c r="D400" s="206" t="s">
        <v>1327</v>
      </c>
      <c r="E400" s="206" t="s">
        <v>1328</v>
      </c>
      <c r="F400" s="206">
        <v>1737144950</v>
      </c>
      <c r="G400" s="206" t="s">
        <v>280</v>
      </c>
      <c r="H400" s="206" t="s">
        <v>84</v>
      </c>
      <c r="I400" s="206" t="s">
        <v>109</v>
      </c>
      <c r="J400" s="206" t="s">
        <v>282</v>
      </c>
      <c r="K400" s="206" t="s">
        <v>58</v>
      </c>
      <c r="L400" s="206" t="str">
        <f>VLOOKUP(Primary_Order[[#This Row],[Product ID]],SKU[],3,0)</f>
        <v>7100 4T 20W50 ESTER CORE®</v>
      </c>
      <c r="M400" s="231">
        <v>12</v>
      </c>
      <c r="N400" s="231">
        <v>1075</v>
      </c>
      <c r="O400" s="231">
        <v>12</v>
      </c>
      <c r="P400" s="232">
        <v>4.6511627906976605E-3</v>
      </c>
      <c r="Q400" s="231">
        <v>0</v>
      </c>
      <c r="R400" s="231">
        <v>1070</v>
      </c>
      <c r="S400" s="231">
        <v>12</v>
      </c>
      <c r="T400" s="231">
        <v>12</v>
      </c>
      <c r="U400" s="231">
        <v>12900</v>
      </c>
      <c r="V400" s="231">
        <v>0</v>
      </c>
      <c r="W400" s="231">
        <v>12840</v>
      </c>
      <c r="X400" s="231">
        <v>1674.7826086956522</v>
      </c>
      <c r="Y400" s="231">
        <v>11165.217391304348</v>
      </c>
      <c r="Z400" s="206" t="s">
        <v>882</v>
      </c>
      <c r="AA400" s="206">
        <v>673</v>
      </c>
      <c r="AB400" s="206" t="s">
        <v>749</v>
      </c>
      <c r="AC400" s="230">
        <v>45728</v>
      </c>
      <c r="AD400" s="206" t="s">
        <v>50</v>
      </c>
      <c r="AE400" s="206" t="str">
        <f>IFERROR(VLOOKUP(Primary_Order[[#This Row],[AM]],SP!$E$19:$F$23,2,0),Primary_Order[[#This Row],[AM]])</f>
        <v>Northern</v>
      </c>
      <c r="AF400" s="206" t="str">
        <f>VLOOKUP(Primary_Order[[#This Row],[Product ID]],SKU[],10,0)</f>
        <v>Synthetic</v>
      </c>
      <c r="AG400" s="206" t="str">
        <f>VLOOKUP(Primary_Order[[#This Row],[Product ID]],SKU[],9,0)</f>
        <v>MCO</v>
      </c>
      <c r="AH400" s="206" t="str">
        <f>VLOOKUP(Primary_Order[[#This Row],[Product ID]],SKU[],12,0)</f>
        <v>20W50</v>
      </c>
      <c r="AI400" s="206" t="str">
        <f>VLOOKUP(Primary_Order[[#This Row],[Product ID]],SKU[],13,0)</f>
        <v>7100</v>
      </c>
      <c r="AJ400" s="233">
        <f>VLOOKUP(Primary_Order[[#This Row],[Product ID]],SKU[[SKU ID]:[Bottle Size(Ltr)]],6,0)*Primary_Order[[#This Row],[Free Quantity]]</f>
        <v>0</v>
      </c>
      <c r="AK400" s="206" t="str">
        <f>VLOOKUP(Primary_Order[[#This Row],[Product ID]],SKU[[SKU ID]:[Bottle Size(Ltr)]],4,0)</f>
        <v>12x1L</v>
      </c>
      <c r="AL400" s="231">
        <f>VLOOKUP(Primary_Order[[#This Row],[Product ID]],SKU[],14,0)*Primary_Order[[#This Row],[Total Qty]]</f>
        <v>9164.380799999999</v>
      </c>
      <c r="AM400" s="231">
        <f>IF(Primary_Order[[#This Row],[Cost]]=0,0,Primary_Order[[#This Row],[Net Total(-15%)]]-Primary_Order[[#This Row],[Cost]])</f>
        <v>2000.836591304349</v>
      </c>
      <c r="AN400" s="206" t="str">
        <f>"O-"&amp;Primary_Order[[#This Row],[Date]]&amp;"-"&amp;Primary_Order[[#This Row],[MMD ID]]</f>
        <v>O-45727-D-0023</v>
      </c>
      <c r="AO400" s="206" t="str" cm="1">
        <f t="array" ref="AO40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1" spans="1:41" x14ac:dyDescent="0.5">
      <c r="A401" s="206" t="s">
        <v>1346</v>
      </c>
      <c r="B401" s="230">
        <v>45727</v>
      </c>
      <c r="C401" s="206" t="s">
        <v>108</v>
      </c>
      <c r="D401" s="206" t="s">
        <v>1327</v>
      </c>
      <c r="E401" s="206" t="s">
        <v>1328</v>
      </c>
      <c r="F401" s="206">
        <v>1737144950</v>
      </c>
      <c r="G401" s="206" t="s">
        <v>280</v>
      </c>
      <c r="H401" s="206" t="s">
        <v>84</v>
      </c>
      <c r="I401" s="206" t="s">
        <v>109</v>
      </c>
      <c r="J401" s="206" t="s">
        <v>282</v>
      </c>
      <c r="K401" s="206" t="s">
        <v>81</v>
      </c>
      <c r="L401" s="206" t="str">
        <f>VLOOKUP(Primary_Order[[#This Row],[Product ID]],SKU[],3,0)</f>
        <v>3000 4T 20W50</v>
      </c>
      <c r="M401" s="231">
        <v>80</v>
      </c>
      <c r="N401" s="231">
        <v>482</v>
      </c>
      <c r="O401" s="231">
        <v>80</v>
      </c>
      <c r="P401" s="232">
        <v>2.4896265560165998E-2</v>
      </c>
      <c r="Q401" s="231">
        <v>0</v>
      </c>
      <c r="R401" s="231">
        <v>470</v>
      </c>
      <c r="S401" s="231">
        <v>80</v>
      </c>
      <c r="T401" s="231">
        <v>80</v>
      </c>
      <c r="U401" s="231">
        <v>38560</v>
      </c>
      <c r="V401" s="231">
        <v>0</v>
      </c>
      <c r="W401" s="231">
        <v>37600</v>
      </c>
      <c r="X401" s="231">
        <v>4904.347826086957</v>
      </c>
      <c r="Y401" s="231">
        <v>32695.652173913044</v>
      </c>
      <c r="Z401" s="206" t="s">
        <v>882</v>
      </c>
      <c r="AA401" s="206">
        <v>673</v>
      </c>
      <c r="AB401" s="206" t="s">
        <v>749</v>
      </c>
      <c r="AC401" s="230">
        <v>45728</v>
      </c>
      <c r="AD401" s="206" t="s">
        <v>50</v>
      </c>
      <c r="AE401" s="206" t="str">
        <f>IFERROR(VLOOKUP(Primary_Order[[#This Row],[AM]],SP!$E$19:$F$23,2,0),Primary_Order[[#This Row],[AM]])</f>
        <v>Northern</v>
      </c>
      <c r="AF401" s="206" t="str">
        <f>VLOOKUP(Primary_Order[[#This Row],[Product ID]],SKU[],10,0)</f>
        <v>Mineral</v>
      </c>
      <c r="AG401" s="206" t="str">
        <f>VLOOKUP(Primary_Order[[#This Row],[Product ID]],SKU[],9,0)</f>
        <v>MCO</v>
      </c>
      <c r="AH401" s="206" t="str">
        <f>VLOOKUP(Primary_Order[[#This Row],[Product ID]],SKU[],12,0)</f>
        <v>20W50</v>
      </c>
      <c r="AI401" s="206" t="str">
        <f>VLOOKUP(Primary_Order[[#This Row],[Product ID]],SKU[],13,0)</f>
        <v>3000</v>
      </c>
      <c r="AJ401" s="233">
        <f>VLOOKUP(Primary_Order[[#This Row],[Product ID]],SKU[[SKU ID]:[Bottle Size(Ltr)]],6,0)*Primary_Order[[#This Row],[Free Quantity]]</f>
        <v>0</v>
      </c>
      <c r="AK401" s="206" t="str">
        <f>VLOOKUP(Primary_Order[[#This Row],[Product ID]],SKU[[SKU ID]:[Bottle Size(Ltr)]],4,0)</f>
        <v>20x1L</v>
      </c>
      <c r="AL401" s="231">
        <f>VLOOKUP(Primary_Order[[#This Row],[Product ID]],SKU[],14,0)*Primary_Order[[#This Row],[Total Qty]]</f>
        <v>29193.600000000002</v>
      </c>
      <c r="AM401" s="231">
        <f>IF(Primary_Order[[#This Row],[Cost]]=0,0,Primary_Order[[#This Row],[Net Total(-15%)]]-Primary_Order[[#This Row],[Cost]])</f>
        <v>3502.0521739130418</v>
      </c>
      <c r="AN401" s="206" t="str">
        <f>"O-"&amp;Primary_Order[[#This Row],[Date]]&amp;"-"&amp;Primary_Order[[#This Row],[MMD ID]]</f>
        <v>O-45727-D-0023</v>
      </c>
      <c r="AO401" s="206" t="str" cm="1">
        <f t="array" ref="AO40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2" spans="1:41" x14ac:dyDescent="0.5">
      <c r="A402" s="206" t="s">
        <v>1346</v>
      </c>
      <c r="B402" s="230">
        <v>45727</v>
      </c>
      <c r="C402" s="206" t="s">
        <v>108</v>
      </c>
      <c r="D402" s="206" t="s">
        <v>1327</v>
      </c>
      <c r="E402" s="206" t="s">
        <v>1328</v>
      </c>
      <c r="F402" s="206">
        <v>1737144950</v>
      </c>
      <c r="G402" s="206" t="s">
        <v>280</v>
      </c>
      <c r="H402" s="206" t="s">
        <v>84</v>
      </c>
      <c r="I402" s="206" t="s">
        <v>109</v>
      </c>
      <c r="J402" s="206" t="s">
        <v>282</v>
      </c>
      <c r="K402" s="206" t="s">
        <v>99</v>
      </c>
      <c r="L402" s="206" t="str">
        <f>VLOOKUP(Primary_Order[[#This Row],[Product ID]],SKU[],3,0)</f>
        <v>3000 4T 20W50</v>
      </c>
      <c r="M402" s="231">
        <v>20</v>
      </c>
      <c r="N402" s="231">
        <v>583</v>
      </c>
      <c r="O402" s="231">
        <v>24</v>
      </c>
      <c r="P402" s="232">
        <v>2.2984562607204162E-2</v>
      </c>
      <c r="Q402" s="231">
        <v>0</v>
      </c>
      <c r="R402" s="231">
        <v>569.6</v>
      </c>
      <c r="S402" s="231">
        <v>20</v>
      </c>
      <c r="T402" s="231">
        <v>24</v>
      </c>
      <c r="U402" s="231">
        <v>11660</v>
      </c>
      <c r="V402" s="231">
        <v>0</v>
      </c>
      <c r="W402" s="231">
        <v>11392</v>
      </c>
      <c r="X402" s="231">
        <v>1485.9130434782608</v>
      </c>
      <c r="Y402" s="231">
        <v>9906.0869565217399</v>
      </c>
      <c r="Z402" s="206" t="s">
        <v>882</v>
      </c>
      <c r="AA402" s="206">
        <v>673</v>
      </c>
      <c r="AB402" s="206" t="s">
        <v>749</v>
      </c>
      <c r="AC402" s="230">
        <v>45728</v>
      </c>
      <c r="AD402" s="206" t="s">
        <v>50</v>
      </c>
      <c r="AE402" s="206" t="str">
        <f>IFERROR(VLOOKUP(Primary_Order[[#This Row],[AM]],SP!$E$19:$F$23,2,0),Primary_Order[[#This Row],[AM]])</f>
        <v>Northern</v>
      </c>
      <c r="AF402" s="206" t="str">
        <f>VLOOKUP(Primary_Order[[#This Row],[Product ID]],SKU[],10,0)</f>
        <v>Mineral</v>
      </c>
      <c r="AG402" s="206" t="str">
        <f>VLOOKUP(Primary_Order[[#This Row],[Product ID]],SKU[],9,0)</f>
        <v>MCO</v>
      </c>
      <c r="AH402" s="206" t="str">
        <f>VLOOKUP(Primary_Order[[#This Row],[Product ID]],SKU[],12,0)</f>
        <v>20W50</v>
      </c>
      <c r="AI402" s="206" t="str">
        <f>VLOOKUP(Primary_Order[[#This Row],[Product ID]],SKU[],13,0)</f>
        <v>3000</v>
      </c>
      <c r="AJ402" s="233">
        <f>VLOOKUP(Primary_Order[[#This Row],[Product ID]],SKU[[SKU ID]:[Bottle Size(Ltr)]],6,0)*Primary_Order[[#This Row],[Free Quantity]]</f>
        <v>0</v>
      </c>
      <c r="AK402" s="206" t="str">
        <f>VLOOKUP(Primary_Order[[#This Row],[Product ID]],SKU[[SKU ID]:[Bottle Size(Ltr)]],4,0)</f>
        <v>20x1.2L</v>
      </c>
      <c r="AL402" s="231">
        <f>VLOOKUP(Primary_Order[[#This Row],[Product ID]],SKU[],14,0)*Primary_Order[[#This Row],[Total Qty]]</f>
        <v>8692.2000000000007</v>
      </c>
      <c r="AM402" s="231">
        <f>IF(Primary_Order[[#This Row],[Cost]]=0,0,Primary_Order[[#This Row],[Net Total(-15%)]]-Primary_Order[[#This Row],[Cost]])</f>
        <v>1213.8869565217392</v>
      </c>
      <c r="AN402" s="206" t="str">
        <f>"O-"&amp;Primary_Order[[#This Row],[Date]]&amp;"-"&amp;Primary_Order[[#This Row],[MMD ID]]</f>
        <v>O-45727-D-0023</v>
      </c>
      <c r="AO402" s="206" t="str" cm="1">
        <f t="array" ref="AO40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3" spans="1:41" x14ac:dyDescent="0.5">
      <c r="A403" s="206" t="s">
        <v>1347</v>
      </c>
      <c r="B403" s="230">
        <v>45728</v>
      </c>
      <c r="C403" s="206" t="s">
        <v>1294</v>
      </c>
      <c r="D403" s="206" t="s">
        <v>142</v>
      </c>
      <c r="E403" s="206" t="s">
        <v>52</v>
      </c>
      <c r="F403" s="206" t="s">
        <v>50</v>
      </c>
      <c r="G403" s="206" t="s">
        <v>87</v>
      </c>
      <c r="H403" s="206" t="s">
        <v>87</v>
      </c>
      <c r="I403" s="206" t="s">
        <v>142</v>
      </c>
      <c r="J403" s="206" t="s">
        <v>52</v>
      </c>
      <c r="K403" s="206" t="s">
        <v>157</v>
      </c>
      <c r="L403" s="206" t="str">
        <f>VLOOKUP(Primary_Order[[#This Row],[Product ID]],SKU[],3,0)</f>
        <v>ECO TEC Plus 5W30</v>
      </c>
      <c r="M403" s="231">
        <v>300</v>
      </c>
      <c r="N403" s="231">
        <v>5000</v>
      </c>
      <c r="O403" s="231">
        <v>1200</v>
      </c>
      <c r="P403" s="232">
        <v>0.52800000000000002</v>
      </c>
      <c r="Q403" s="231">
        <v>0</v>
      </c>
      <c r="R403" s="231">
        <v>2360</v>
      </c>
      <c r="S403" s="231">
        <v>300</v>
      </c>
      <c r="T403" s="231">
        <v>1200</v>
      </c>
      <c r="U403" s="231">
        <v>1500000</v>
      </c>
      <c r="V403" s="231">
        <v>0</v>
      </c>
      <c r="W403" s="231">
        <v>708000</v>
      </c>
      <c r="X403" s="231">
        <v>92347.826086956527</v>
      </c>
      <c r="Y403" s="231">
        <v>615652.17391304346</v>
      </c>
      <c r="Z403" s="206" t="s">
        <v>882</v>
      </c>
      <c r="AA403" s="206">
        <v>670</v>
      </c>
      <c r="AB403" s="206" t="s">
        <v>1170</v>
      </c>
      <c r="AC403" s="230">
        <v>45728</v>
      </c>
      <c r="AD403" s="206" t="s">
        <v>1314</v>
      </c>
      <c r="AE403" s="206" t="str">
        <f>IFERROR(VLOOKUP(Primary_Order[[#This Row],[AM]],SP!$E$19:$F$23,2,0),Primary_Order[[#This Row],[AM]])</f>
        <v>Captive Sales</v>
      </c>
      <c r="AF403" s="206" t="str">
        <f>VLOOKUP(Primary_Order[[#This Row],[Product ID]],SKU[],10,0)</f>
        <v>Synthetic</v>
      </c>
      <c r="AG403" s="206" t="str">
        <f>VLOOKUP(Primary_Order[[#This Row],[Product ID]],SKU[],9,0)</f>
        <v>PCMO</v>
      </c>
      <c r="AH403" s="206" t="str">
        <f>VLOOKUP(Primary_Order[[#This Row],[Product ID]],SKU[],12,0)</f>
        <v>5W30</v>
      </c>
      <c r="AI403" s="206" t="str">
        <f>VLOOKUP(Primary_Order[[#This Row],[Product ID]],SKU[],13,0)</f>
        <v xml:space="preserve">ECO </v>
      </c>
      <c r="AJ403" s="233">
        <f>VLOOKUP(Primary_Order[[#This Row],[Product ID]],SKU[[SKU ID]:[Bottle Size(Ltr)]],6,0)*Primary_Order[[#This Row],[Free Quantity]]</f>
        <v>0</v>
      </c>
      <c r="AK403" s="206" t="str">
        <f>VLOOKUP(Primary_Order[[#This Row],[Product ID]],SKU[[SKU ID]:[Bottle Size(Ltr)]],4,0)</f>
        <v>4x4L</v>
      </c>
      <c r="AL403" s="231">
        <f>VLOOKUP(Primary_Order[[#This Row],[Product ID]],SKU[],14,0)*Primary_Order[[#This Row],[Total Qty]]</f>
        <v>567681</v>
      </c>
      <c r="AM403" s="231">
        <f>IF(Primary_Order[[#This Row],[Cost]]=0,0,Primary_Order[[#This Row],[Net Total(-15%)]]-Primary_Order[[#This Row],[Cost]])</f>
        <v>47971.173913043458</v>
      </c>
      <c r="AN403" s="206" t="str">
        <f>"O-"&amp;Primary_Order[[#This Row],[Date]]&amp;"-"&amp;Primary_Order[[#This Row],[MMD ID]]</f>
        <v>O-45728-D-0056</v>
      </c>
      <c r="AO403" s="206" t="str" cm="1">
        <f t="array" ref="AO40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4" spans="1:41" x14ac:dyDescent="0.5">
      <c r="A404" s="206" t="s">
        <v>1348</v>
      </c>
      <c r="B404" s="230">
        <v>45726</v>
      </c>
      <c r="C404" s="206" t="s">
        <v>108</v>
      </c>
      <c r="D404" s="206" t="s">
        <v>1322</v>
      </c>
      <c r="E404" s="206" t="s">
        <v>1323</v>
      </c>
      <c r="F404" s="206" t="s">
        <v>1035</v>
      </c>
      <c r="G404" s="206" t="s">
        <v>280</v>
      </c>
      <c r="H404" s="206" t="s">
        <v>84</v>
      </c>
      <c r="I404" s="206" t="s">
        <v>109</v>
      </c>
      <c r="J404" s="206" t="s">
        <v>282</v>
      </c>
      <c r="K404" s="206" t="s">
        <v>31</v>
      </c>
      <c r="L404" s="206" t="str">
        <f>VLOOKUP(Primary_Order[[#This Row],[Product ID]],SKU[],3,0)</f>
        <v>3000 4T PLUS 10W30</v>
      </c>
      <c r="M404" s="231">
        <v>20</v>
      </c>
      <c r="N404" s="231">
        <v>540</v>
      </c>
      <c r="O404" s="231">
        <v>20</v>
      </c>
      <c r="P404" s="232">
        <v>9.2592592592593004E-3</v>
      </c>
      <c r="Q404" s="231">
        <v>0</v>
      </c>
      <c r="R404" s="231">
        <v>535</v>
      </c>
      <c r="S404" s="231">
        <v>20</v>
      </c>
      <c r="T404" s="231">
        <v>20</v>
      </c>
      <c r="U404" s="231">
        <v>10800</v>
      </c>
      <c r="V404" s="231">
        <v>0</v>
      </c>
      <c r="W404" s="231">
        <v>10700</v>
      </c>
      <c r="X404" s="231">
        <v>1395.6521739130435</v>
      </c>
      <c r="Y404" s="231">
        <v>9304.347826086956</v>
      </c>
      <c r="Z404" s="206" t="s">
        <v>882</v>
      </c>
      <c r="AA404" s="206">
        <v>671</v>
      </c>
      <c r="AB404" s="206" t="s">
        <v>749</v>
      </c>
      <c r="AC404" s="230">
        <v>45728</v>
      </c>
      <c r="AD404" s="206" t="s">
        <v>50</v>
      </c>
      <c r="AE404" s="206" t="str">
        <f>IFERROR(VLOOKUP(Primary_Order[[#This Row],[AM]],SP!$E$19:$F$23,2,0),Primary_Order[[#This Row],[AM]])</f>
        <v>Northern</v>
      </c>
      <c r="AF404" s="206" t="str">
        <f>VLOOKUP(Primary_Order[[#This Row],[Product ID]],SKU[],10,0)</f>
        <v>Mineral</v>
      </c>
      <c r="AG404" s="206" t="str">
        <f>VLOOKUP(Primary_Order[[#This Row],[Product ID]],SKU[],9,0)</f>
        <v>MCO</v>
      </c>
      <c r="AH404" s="206" t="str">
        <f>VLOOKUP(Primary_Order[[#This Row],[Product ID]],SKU[],12,0)</f>
        <v>10W30</v>
      </c>
      <c r="AI404" s="206" t="str">
        <f>VLOOKUP(Primary_Order[[#This Row],[Product ID]],SKU[],13,0)</f>
        <v>3000</v>
      </c>
      <c r="AJ404" s="233">
        <f>VLOOKUP(Primary_Order[[#This Row],[Product ID]],SKU[[SKU ID]:[Bottle Size(Ltr)]],6,0)*Primary_Order[[#This Row],[Free Quantity]]</f>
        <v>0</v>
      </c>
      <c r="AK404" s="206" t="str">
        <f>VLOOKUP(Primary_Order[[#This Row],[Product ID]],SKU[[SKU ID]:[Bottle Size(Ltr)]],4,0)</f>
        <v>20x1L</v>
      </c>
      <c r="AL404" s="231">
        <f>VLOOKUP(Primary_Order[[#This Row],[Product ID]],SKU[],14,0)*Primary_Order[[#This Row],[Total Qty]]</f>
        <v>7586.5999999999995</v>
      </c>
      <c r="AM404" s="231">
        <f>IF(Primary_Order[[#This Row],[Cost]]=0,0,Primary_Order[[#This Row],[Net Total(-15%)]]-Primary_Order[[#This Row],[Cost]])</f>
        <v>1717.7478260869566</v>
      </c>
      <c r="AN404" s="206" t="str">
        <f>"O-"&amp;Primary_Order[[#This Row],[Date]]&amp;"-"&amp;Primary_Order[[#This Row],[MMD ID]]</f>
        <v>O-45726-D-0023</v>
      </c>
      <c r="AO404" s="206" t="str" cm="1">
        <f t="array" ref="AO40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5" spans="1:41" x14ac:dyDescent="0.5">
      <c r="A405" s="206" t="s">
        <v>1348</v>
      </c>
      <c r="B405" s="230">
        <v>45726</v>
      </c>
      <c r="C405" s="206" t="s">
        <v>108</v>
      </c>
      <c r="D405" s="206" t="s">
        <v>1322</v>
      </c>
      <c r="E405" s="206" t="s">
        <v>1323</v>
      </c>
      <c r="F405" s="206" t="s">
        <v>1035</v>
      </c>
      <c r="G405" s="206" t="s">
        <v>280</v>
      </c>
      <c r="H405" s="206" t="s">
        <v>84</v>
      </c>
      <c r="I405" s="206" t="s">
        <v>109</v>
      </c>
      <c r="J405" s="206" t="s">
        <v>282</v>
      </c>
      <c r="K405" s="206" t="s">
        <v>54</v>
      </c>
      <c r="L405" s="206" t="str">
        <f>VLOOKUP(Primary_Order[[#This Row],[Product ID]],SKU[],3,0)</f>
        <v>3000 4T PLUS 10W40</v>
      </c>
      <c r="M405" s="231">
        <v>60</v>
      </c>
      <c r="N405" s="231">
        <v>540</v>
      </c>
      <c r="O405" s="231">
        <v>60</v>
      </c>
      <c r="P405" s="232">
        <v>9.2592592592593004E-3</v>
      </c>
      <c r="Q405" s="231">
        <v>0</v>
      </c>
      <c r="R405" s="231">
        <v>535</v>
      </c>
      <c r="S405" s="231">
        <v>60</v>
      </c>
      <c r="T405" s="231">
        <v>60</v>
      </c>
      <c r="U405" s="231">
        <v>32400</v>
      </c>
      <c r="V405" s="231">
        <v>0</v>
      </c>
      <c r="W405" s="231">
        <v>32100</v>
      </c>
      <c r="X405" s="231">
        <v>4186.95652173913</v>
      </c>
      <c r="Y405" s="231">
        <v>27913.043478260868</v>
      </c>
      <c r="Z405" s="206" t="s">
        <v>882</v>
      </c>
      <c r="AA405" s="206">
        <v>671</v>
      </c>
      <c r="AB405" s="206" t="s">
        <v>749</v>
      </c>
      <c r="AC405" s="230">
        <v>45728</v>
      </c>
      <c r="AD405" s="206" t="s">
        <v>50</v>
      </c>
      <c r="AE405" s="206" t="str">
        <f>IFERROR(VLOOKUP(Primary_Order[[#This Row],[AM]],SP!$E$19:$F$23,2,0),Primary_Order[[#This Row],[AM]])</f>
        <v>Northern</v>
      </c>
      <c r="AF405" s="206" t="str">
        <f>VLOOKUP(Primary_Order[[#This Row],[Product ID]],SKU[],10,0)</f>
        <v>Mineral</v>
      </c>
      <c r="AG405" s="206" t="str">
        <f>VLOOKUP(Primary_Order[[#This Row],[Product ID]],SKU[],9,0)</f>
        <v>MCO</v>
      </c>
      <c r="AH405" s="206" t="str">
        <f>VLOOKUP(Primary_Order[[#This Row],[Product ID]],SKU[],12,0)</f>
        <v>10W40</v>
      </c>
      <c r="AI405" s="206" t="str">
        <f>VLOOKUP(Primary_Order[[#This Row],[Product ID]],SKU[],13,0)</f>
        <v>3000</v>
      </c>
      <c r="AJ405" s="233">
        <f>VLOOKUP(Primary_Order[[#This Row],[Product ID]],SKU[[SKU ID]:[Bottle Size(Ltr)]],6,0)*Primary_Order[[#This Row],[Free Quantity]]</f>
        <v>0</v>
      </c>
      <c r="AK405" s="206" t="str">
        <f>VLOOKUP(Primary_Order[[#This Row],[Product ID]],SKU[[SKU ID]:[Bottle Size(Ltr)]],4,0)</f>
        <v>20x1L</v>
      </c>
      <c r="AL405" s="231">
        <f>VLOOKUP(Primary_Order[[#This Row],[Product ID]],SKU[],14,0)*Primary_Order[[#This Row],[Total Qty]]</f>
        <v>23091</v>
      </c>
      <c r="AM405" s="231">
        <f>IF(Primary_Order[[#This Row],[Cost]]=0,0,Primary_Order[[#This Row],[Net Total(-15%)]]-Primary_Order[[#This Row],[Cost]])</f>
        <v>4822.0434782608681</v>
      </c>
      <c r="AN405" s="206" t="str">
        <f>"O-"&amp;Primary_Order[[#This Row],[Date]]&amp;"-"&amp;Primary_Order[[#This Row],[MMD ID]]</f>
        <v>O-45726-D-0023</v>
      </c>
      <c r="AO405" s="206" t="str" cm="1">
        <f t="array" ref="AO40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6" spans="1:41" x14ac:dyDescent="0.5">
      <c r="A406" s="206" t="s">
        <v>1348</v>
      </c>
      <c r="B406" s="230">
        <v>45726</v>
      </c>
      <c r="C406" s="206" t="s">
        <v>108</v>
      </c>
      <c r="D406" s="206" t="s">
        <v>1322</v>
      </c>
      <c r="E406" s="206" t="s">
        <v>1323</v>
      </c>
      <c r="F406" s="206" t="s">
        <v>1035</v>
      </c>
      <c r="G406" s="206" t="s">
        <v>280</v>
      </c>
      <c r="H406" s="206" t="s">
        <v>84</v>
      </c>
      <c r="I406" s="206" t="s">
        <v>109</v>
      </c>
      <c r="J406" s="206" t="s">
        <v>282</v>
      </c>
      <c r="K406" s="206" t="s">
        <v>56</v>
      </c>
      <c r="L406" s="206" t="str">
        <f>VLOOKUP(Primary_Order[[#This Row],[Product ID]],SKU[],3,0)</f>
        <v>7100 4T 10W30 ESTER CORE®</v>
      </c>
      <c r="M406" s="231">
        <v>12</v>
      </c>
      <c r="N406" s="231">
        <v>1075</v>
      </c>
      <c r="O406" s="231">
        <v>12</v>
      </c>
      <c r="P406" s="232">
        <v>4.6511627906976605E-3</v>
      </c>
      <c r="Q406" s="231">
        <v>0</v>
      </c>
      <c r="R406" s="231">
        <v>1070</v>
      </c>
      <c r="S406" s="231">
        <v>12</v>
      </c>
      <c r="T406" s="231">
        <v>12</v>
      </c>
      <c r="U406" s="231">
        <v>12900</v>
      </c>
      <c r="V406" s="231">
        <v>0</v>
      </c>
      <c r="W406" s="231">
        <v>12840</v>
      </c>
      <c r="X406" s="231">
        <v>1674.7826086956522</v>
      </c>
      <c r="Y406" s="231">
        <v>11165.217391304348</v>
      </c>
      <c r="Z406" s="206" t="s">
        <v>882</v>
      </c>
      <c r="AA406" s="206">
        <v>671</v>
      </c>
      <c r="AB406" s="206" t="s">
        <v>749</v>
      </c>
      <c r="AC406" s="230">
        <v>45728</v>
      </c>
      <c r="AD406" s="206" t="s">
        <v>50</v>
      </c>
      <c r="AE406" s="206" t="str">
        <f>IFERROR(VLOOKUP(Primary_Order[[#This Row],[AM]],SP!$E$19:$F$23,2,0),Primary_Order[[#This Row],[AM]])</f>
        <v>Northern</v>
      </c>
      <c r="AF406" s="206" t="str">
        <f>VLOOKUP(Primary_Order[[#This Row],[Product ID]],SKU[],10,0)</f>
        <v>Synthetic</v>
      </c>
      <c r="AG406" s="206" t="str">
        <f>VLOOKUP(Primary_Order[[#This Row],[Product ID]],SKU[],9,0)</f>
        <v>MCO</v>
      </c>
      <c r="AH406" s="206" t="str">
        <f>VLOOKUP(Primary_Order[[#This Row],[Product ID]],SKU[],12,0)</f>
        <v>10W30</v>
      </c>
      <c r="AI406" s="206" t="str">
        <f>VLOOKUP(Primary_Order[[#This Row],[Product ID]],SKU[],13,0)</f>
        <v>7100</v>
      </c>
      <c r="AJ406" s="233">
        <f>VLOOKUP(Primary_Order[[#This Row],[Product ID]],SKU[[SKU ID]:[Bottle Size(Ltr)]],6,0)*Primary_Order[[#This Row],[Free Quantity]]</f>
        <v>0</v>
      </c>
      <c r="AK406" s="206" t="str">
        <f>VLOOKUP(Primary_Order[[#This Row],[Product ID]],SKU[[SKU ID]:[Bottle Size(Ltr)]],4,0)</f>
        <v>12x1L</v>
      </c>
      <c r="AL406" s="231">
        <f>VLOOKUP(Primary_Order[[#This Row],[Product ID]],SKU[],14,0)*Primary_Order[[#This Row],[Total Qty]]</f>
        <v>8278.32</v>
      </c>
      <c r="AM406" s="231">
        <f>IF(Primary_Order[[#This Row],[Cost]]=0,0,Primary_Order[[#This Row],[Net Total(-15%)]]-Primary_Order[[#This Row],[Cost]])</f>
        <v>2886.8973913043483</v>
      </c>
      <c r="AN406" s="206" t="str">
        <f>"O-"&amp;Primary_Order[[#This Row],[Date]]&amp;"-"&amp;Primary_Order[[#This Row],[MMD ID]]</f>
        <v>O-45726-D-0023</v>
      </c>
      <c r="AO406" s="206" t="str" cm="1">
        <f t="array" ref="AO40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7" spans="1:41" x14ac:dyDescent="0.5">
      <c r="A407" s="206" t="s">
        <v>1348</v>
      </c>
      <c r="B407" s="230">
        <v>45726</v>
      </c>
      <c r="C407" s="206" t="s">
        <v>108</v>
      </c>
      <c r="D407" s="206" t="s">
        <v>1322</v>
      </c>
      <c r="E407" s="206" t="s">
        <v>1323</v>
      </c>
      <c r="F407" s="206" t="s">
        <v>1035</v>
      </c>
      <c r="G407" s="206" t="s">
        <v>280</v>
      </c>
      <c r="H407" s="206" t="s">
        <v>84</v>
      </c>
      <c r="I407" s="206" t="s">
        <v>109</v>
      </c>
      <c r="J407" s="206" t="s">
        <v>282</v>
      </c>
      <c r="K407" s="206" t="s">
        <v>81</v>
      </c>
      <c r="L407" s="206" t="str">
        <f>VLOOKUP(Primary_Order[[#This Row],[Product ID]],SKU[],3,0)</f>
        <v>3000 4T 20W50</v>
      </c>
      <c r="M407" s="231">
        <v>20</v>
      </c>
      <c r="N407" s="231">
        <v>490</v>
      </c>
      <c r="O407" s="231">
        <v>20</v>
      </c>
      <c r="P407" s="232">
        <v>1.0204081632653073E-2</v>
      </c>
      <c r="Q407" s="231">
        <v>0</v>
      </c>
      <c r="R407" s="231">
        <v>485</v>
      </c>
      <c r="S407" s="231">
        <v>20</v>
      </c>
      <c r="T407" s="231">
        <v>20</v>
      </c>
      <c r="U407" s="231">
        <v>9800</v>
      </c>
      <c r="V407" s="231">
        <v>0</v>
      </c>
      <c r="W407" s="231">
        <v>9700</v>
      </c>
      <c r="X407" s="231">
        <v>1265.2173913043478</v>
      </c>
      <c r="Y407" s="231">
        <v>8434.782608695652</v>
      </c>
      <c r="Z407" s="206" t="s">
        <v>882</v>
      </c>
      <c r="AA407" s="206">
        <v>671</v>
      </c>
      <c r="AB407" s="206" t="s">
        <v>749</v>
      </c>
      <c r="AC407" s="230">
        <v>45728</v>
      </c>
      <c r="AD407" s="206" t="s">
        <v>50</v>
      </c>
      <c r="AE407" s="206" t="str">
        <f>IFERROR(VLOOKUP(Primary_Order[[#This Row],[AM]],SP!$E$19:$F$23,2,0),Primary_Order[[#This Row],[AM]])</f>
        <v>Northern</v>
      </c>
      <c r="AF407" s="206" t="str">
        <f>VLOOKUP(Primary_Order[[#This Row],[Product ID]],SKU[],10,0)</f>
        <v>Mineral</v>
      </c>
      <c r="AG407" s="206" t="str">
        <f>VLOOKUP(Primary_Order[[#This Row],[Product ID]],SKU[],9,0)</f>
        <v>MCO</v>
      </c>
      <c r="AH407" s="206" t="str">
        <f>VLOOKUP(Primary_Order[[#This Row],[Product ID]],SKU[],12,0)</f>
        <v>20W50</v>
      </c>
      <c r="AI407" s="206" t="str">
        <f>VLOOKUP(Primary_Order[[#This Row],[Product ID]],SKU[],13,0)</f>
        <v>3000</v>
      </c>
      <c r="AJ407" s="233">
        <f>VLOOKUP(Primary_Order[[#This Row],[Product ID]],SKU[[SKU ID]:[Bottle Size(Ltr)]],6,0)*Primary_Order[[#This Row],[Free Quantity]]</f>
        <v>0</v>
      </c>
      <c r="AK407" s="206" t="str">
        <f>VLOOKUP(Primary_Order[[#This Row],[Product ID]],SKU[[SKU ID]:[Bottle Size(Ltr)]],4,0)</f>
        <v>20x1L</v>
      </c>
      <c r="AL407" s="231">
        <f>VLOOKUP(Primary_Order[[#This Row],[Product ID]],SKU[],14,0)*Primary_Order[[#This Row],[Total Qty]]</f>
        <v>7298.4000000000005</v>
      </c>
      <c r="AM407" s="231">
        <f>IF(Primary_Order[[#This Row],[Cost]]=0,0,Primary_Order[[#This Row],[Net Total(-15%)]]-Primary_Order[[#This Row],[Cost]])</f>
        <v>1136.3826086956515</v>
      </c>
      <c r="AN407" s="206" t="str">
        <f>"O-"&amp;Primary_Order[[#This Row],[Date]]&amp;"-"&amp;Primary_Order[[#This Row],[MMD ID]]</f>
        <v>O-45726-D-0023</v>
      </c>
      <c r="AO407" s="206" t="str" cm="1">
        <f t="array" ref="AO40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8" spans="1:41" x14ac:dyDescent="0.5">
      <c r="A408" s="206" t="s">
        <v>1348</v>
      </c>
      <c r="B408" s="230">
        <v>45726</v>
      </c>
      <c r="C408" s="206" t="s">
        <v>108</v>
      </c>
      <c r="D408" s="206" t="s">
        <v>1322</v>
      </c>
      <c r="E408" s="206" t="s">
        <v>1323</v>
      </c>
      <c r="F408" s="206" t="s">
        <v>1035</v>
      </c>
      <c r="G408" s="206" t="s">
        <v>280</v>
      </c>
      <c r="H408" s="206" t="s">
        <v>84</v>
      </c>
      <c r="I408" s="206" t="s">
        <v>109</v>
      </c>
      <c r="J408" s="206" t="s">
        <v>282</v>
      </c>
      <c r="K408" s="206" t="s">
        <v>99</v>
      </c>
      <c r="L408" s="206" t="str">
        <f>VLOOKUP(Primary_Order[[#This Row],[Product ID]],SKU[],3,0)</f>
        <v>3000 4T 20W50</v>
      </c>
      <c r="M408" s="231">
        <v>40</v>
      </c>
      <c r="N408" s="231">
        <v>590</v>
      </c>
      <c r="O408" s="231">
        <v>48</v>
      </c>
      <c r="P408" s="232">
        <v>8.4745762711864181E-3</v>
      </c>
      <c r="Q408" s="231">
        <v>0</v>
      </c>
      <c r="R408" s="231">
        <v>585</v>
      </c>
      <c r="S408" s="231">
        <v>40</v>
      </c>
      <c r="T408" s="231">
        <v>48</v>
      </c>
      <c r="U408" s="231">
        <v>23600</v>
      </c>
      <c r="V408" s="231">
        <v>0</v>
      </c>
      <c r="W408" s="231">
        <v>23400</v>
      </c>
      <c r="X408" s="231">
        <v>3052.1739130434785</v>
      </c>
      <c r="Y408" s="231">
        <v>20347.82608695652</v>
      </c>
      <c r="Z408" s="206" t="s">
        <v>882</v>
      </c>
      <c r="AA408" s="206">
        <v>671</v>
      </c>
      <c r="AB408" s="206" t="s">
        <v>749</v>
      </c>
      <c r="AC408" s="230">
        <v>45728</v>
      </c>
      <c r="AD408" s="206" t="s">
        <v>50</v>
      </c>
      <c r="AE408" s="206" t="str">
        <f>IFERROR(VLOOKUP(Primary_Order[[#This Row],[AM]],SP!$E$19:$F$23,2,0),Primary_Order[[#This Row],[AM]])</f>
        <v>Northern</v>
      </c>
      <c r="AF408" s="206" t="str">
        <f>VLOOKUP(Primary_Order[[#This Row],[Product ID]],SKU[],10,0)</f>
        <v>Mineral</v>
      </c>
      <c r="AG408" s="206" t="str">
        <f>VLOOKUP(Primary_Order[[#This Row],[Product ID]],SKU[],9,0)</f>
        <v>MCO</v>
      </c>
      <c r="AH408" s="206" t="str">
        <f>VLOOKUP(Primary_Order[[#This Row],[Product ID]],SKU[],12,0)</f>
        <v>20W50</v>
      </c>
      <c r="AI408" s="206" t="str">
        <f>VLOOKUP(Primary_Order[[#This Row],[Product ID]],SKU[],13,0)</f>
        <v>3000</v>
      </c>
      <c r="AJ408" s="233">
        <f>VLOOKUP(Primary_Order[[#This Row],[Product ID]],SKU[[SKU ID]:[Bottle Size(Ltr)]],6,0)*Primary_Order[[#This Row],[Free Quantity]]</f>
        <v>0</v>
      </c>
      <c r="AK408" s="206" t="str">
        <f>VLOOKUP(Primary_Order[[#This Row],[Product ID]],SKU[[SKU ID]:[Bottle Size(Ltr)]],4,0)</f>
        <v>20x1.2L</v>
      </c>
      <c r="AL408" s="231">
        <f>VLOOKUP(Primary_Order[[#This Row],[Product ID]],SKU[],14,0)*Primary_Order[[#This Row],[Total Qty]]</f>
        <v>17384.400000000001</v>
      </c>
      <c r="AM408" s="231">
        <f>IF(Primary_Order[[#This Row],[Cost]]=0,0,Primary_Order[[#This Row],[Net Total(-15%)]]-Primary_Order[[#This Row],[Cost]])</f>
        <v>2963.4260869565187</v>
      </c>
      <c r="AN408" s="206" t="str">
        <f>"O-"&amp;Primary_Order[[#This Row],[Date]]&amp;"-"&amp;Primary_Order[[#This Row],[MMD ID]]</f>
        <v>O-45726-D-0023</v>
      </c>
      <c r="AO408" s="206" t="str" cm="1">
        <f t="array" ref="AO40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09" spans="1:41" x14ac:dyDescent="0.5">
      <c r="A409" s="206" t="s">
        <v>1359</v>
      </c>
      <c r="B409" s="230">
        <v>45729</v>
      </c>
      <c r="C409" s="206" t="s">
        <v>273</v>
      </c>
      <c r="D409" s="206" t="s">
        <v>1349</v>
      </c>
      <c r="E409" s="206" t="s">
        <v>275</v>
      </c>
      <c r="F409" s="206" t="s">
        <v>1350</v>
      </c>
      <c r="G409" s="206" t="s">
        <v>39</v>
      </c>
      <c r="H409" s="206" t="s">
        <v>40</v>
      </c>
      <c r="I409" s="206" t="s">
        <v>274</v>
      </c>
      <c r="J409" s="206" t="s">
        <v>275</v>
      </c>
      <c r="K409" s="206" t="s">
        <v>156</v>
      </c>
      <c r="L409" s="206" t="str">
        <f>VLOOKUP(Primary_Order[[#This Row],[Product ID]],SKU[],3,0)</f>
        <v>2000 Multi Power 20W50</v>
      </c>
      <c r="M409" s="231">
        <v>200</v>
      </c>
      <c r="N409" s="231">
        <v>2350</v>
      </c>
      <c r="O409" s="231">
        <v>800</v>
      </c>
      <c r="P409" s="232">
        <v>0.57446808510638303</v>
      </c>
      <c r="Q409" s="231">
        <v>0</v>
      </c>
      <c r="R409" s="231">
        <v>1000</v>
      </c>
      <c r="S409" s="231">
        <v>200</v>
      </c>
      <c r="T409" s="231">
        <v>800</v>
      </c>
      <c r="U409" s="231">
        <v>470000</v>
      </c>
      <c r="V409" s="231">
        <v>0</v>
      </c>
      <c r="W409" s="231">
        <v>200000</v>
      </c>
      <c r="X409" s="231">
        <v>26086.956521739132</v>
      </c>
      <c r="Y409" s="231">
        <v>173913.04347826086</v>
      </c>
      <c r="Z409" s="206" t="s">
        <v>882</v>
      </c>
      <c r="AA409" s="206">
        <v>674</v>
      </c>
      <c r="AB409" s="206" t="s">
        <v>1170</v>
      </c>
      <c r="AC409" s="230">
        <v>45732</v>
      </c>
      <c r="AD409" s="206" t="s">
        <v>1351</v>
      </c>
      <c r="AE409" s="206" t="str">
        <f>IFERROR(VLOOKUP(Primary_Order[[#This Row],[AM]],SP!$E$19:$F$23,2,0),Primary_Order[[#This Row],[AM]])</f>
        <v>Central</v>
      </c>
      <c r="AF409" s="206" t="str">
        <f>VLOOKUP(Primary_Order[[#This Row],[Product ID]],SKU[],10,0)</f>
        <v>Mineral</v>
      </c>
      <c r="AG409" s="206" t="str">
        <f>VLOOKUP(Primary_Order[[#This Row],[Product ID]],SKU[],9,0)</f>
        <v>PCMO</v>
      </c>
      <c r="AH409" s="206" t="str">
        <f>VLOOKUP(Primary_Order[[#This Row],[Product ID]],SKU[],12,0)</f>
        <v>20W50</v>
      </c>
      <c r="AI409" s="206" t="str">
        <f>VLOOKUP(Primary_Order[[#This Row],[Product ID]],SKU[],13,0)</f>
        <v>2000</v>
      </c>
      <c r="AJ409" s="233">
        <f>VLOOKUP(Primary_Order[[#This Row],[Product ID]],SKU[[SKU ID]:[Bottle Size(Ltr)]],6,0)*Primary_Order[[#This Row],[Free Quantity]]</f>
        <v>0</v>
      </c>
      <c r="AK409" s="206" t="str">
        <f>VLOOKUP(Primary_Order[[#This Row],[Product ID]],SKU[[SKU ID]:[Bottle Size(Ltr)]],4,0)</f>
        <v>4X4L</v>
      </c>
      <c r="AL409" s="231">
        <f>VLOOKUP(Primary_Order[[#This Row],[Product ID]],SKU[],14,0)*Primary_Order[[#This Row],[Total Qty]]</f>
        <v>219090</v>
      </c>
      <c r="AM409" s="231">
        <f>IF(Primary_Order[[#This Row],[Cost]]=0,0,Primary_Order[[#This Row],[Net Total(-15%)]]-Primary_Order[[#This Row],[Cost]])</f>
        <v>-45176.956521739135</v>
      </c>
      <c r="AN409" s="206" t="str">
        <f>"O-"&amp;Primary_Order[[#This Row],[Date]]&amp;"-"&amp;Primary_Order[[#This Row],[MMD ID]]</f>
        <v>O-45729-D-0030</v>
      </c>
      <c r="AO409" s="206" t="str" cm="1">
        <f t="array" ref="AO40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0" spans="1:41" x14ac:dyDescent="0.5">
      <c r="A410" s="206" t="s">
        <v>1360</v>
      </c>
      <c r="B410" s="230">
        <v>45729</v>
      </c>
      <c r="C410" s="206" t="s">
        <v>1131</v>
      </c>
      <c r="D410" s="206" t="s">
        <v>1256</v>
      </c>
      <c r="E410" s="206" t="s">
        <v>50</v>
      </c>
      <c r="F410" s="206" t="s">
        <v>1258</v>
      </c>
      <c r="G410" s="206" t="s">
        <v>79</v>
      </c>
      <c r="H410" s="206" t="s">
        <v>40</v>
      </c>
      <c r="I410" s="206" t="s">
        <v>1256</v>
      </c>
      <c r="J410" s="206" t="s">
        <v>1257</v>
      </c>
      <c r="K410" s="206" t="s">
        <v>81</v>
      </c>
      <c r="L410" s="206" t="str">
        <f>VLOOKUP(Primary_Order[[#This Row],[Product ID]],SKU[],3,0)</f>
        <v>3000 4T 20W50</v>
      </c>
      <c r="M410" s="231">
        <v>4000</v>
      </c>
      <c r="N410" s="231">
        <v>495</v>
      </c>
      <c r="O410" s="231">
        <v>4000</v>
      </c>
      <c r="P410" s="232">
        <v>0.20202020202020199</v>
      </c>
      <c r="Q410" s="231">
        <v>0</v>
      </c>
      <c r="R410" s="231">
        <v>395</v>
      </c>
      <c r="S410" s="231">
        <v>4000</v>
      </c>
      <c r="T410" s="231">
        <v>4000</v>
      </c>
      <c r="U410" s="231">
        <v>1980000</v>
      </c>
      <c r="V410" s="231">
        <v>0</v>
      </c>
      <c r="W410" s="231">
        <v>1580000</v>
      </c>
      <c r="X410" s="231">
        <v>206086.95652173914</v>
      </c>
      <c r="Y410" s="231">
        <v>1373913.043478261</v>
      </c>
      <c r="Z410" s="206" t="s">
        <v>882</v>
      </c>
      <c r="AA410" s="206">
        <v>676</v>
      </c>
      <c r="AB410" s="206" t="s">
        <v>641</v>
      </c>
      <c r="AC410" s="230">
        <v>45733</v>
      </c>
      <c r="AD410" s="206" t="s">
        <v>1355</v>
      </c>
      <c r="AE410" s="206" t="str">
        <f>IFERROR(VLOOKUP(Primary_Order[[#This Row],[AM]],SP!$E$19:$F$23,2,0),Primary_Order[[#This Row],[AM]])</f>
        <v>Central</v>
      </c>
      <c r="AF410" s="206" t="str">
        <f>VLOOKUP(Primary_Order[[#This Row],[Product ID]],SKU[],10,0)</f>
        <v>Mineral</v>
      </c>
      <c r="AG410" s="206" t="str">
        <f>VLOOKUP(Primary_Order[[#This Row],[Product ID]],SKU[],9,0)</f>
        <v>MCO</v>
      </c>
      <c r="AH410" s="206" t="str">
        <f>VLOOKUP(Primary_Order[[#This Row],[Product ID]],SKU[],12,0)</f>
        <v>20W50</v>
      </c>
      <c r="AI410" s="206" t="str">
        <f>VLOOKUP(Primary_Order[[#This Row],[Product ID]],SKU[],13,0)</f>
        <v>3000</v>
      </c>
      <c r="AJ410" s="233">
        <f>VLOOKUP(Primary_Order[[#This Row],[Product ID]],SKU[[SKU ID]:[Bottle Size(Ltr)]],6,0)*Primary_Order[[#This Row],[Free Quantity]]</f>
        <v>0</v>
      </c>
      <c r="AK410" s="206" t="str">
        <f>VLOOKUP(Primary_Order[[#This Row],[Product ID]],SKU[[SKU ID]:[Bottle Size(Ltr)]],4,0)</f>
        <v>20x1L</v>
      </c>
      <c r="AL410" s="231">
        <f>VLOOKUP(Primary_Order[[#This Row],[Product ID]],SKU[],14,0)*Primary_Order[[#This Row],[Total Qty]]</f>
        <v>1459680</v>
      </c>
      <c r="AM410" s="231">
        <f>IF(Primary_Order[[#This Row],[Cost]]=0,0,Primary_Order[[#This Row],[Net Total(-15%)]]-Primary_Order[[#This Row],[Cost]])</f>
        <v>-85766.956521739019</v>
      </c>
      <c r="AN410" s="206" t="str">
        <f>"O-"&amp;Primary_Order[[#This Row],[Date]]&amp;"-"&amp;Primary_Order[[#This Row],[MMD ID]]</f>
        <v>O-45729-D-0055</v>
      </c>
      <c r="AO410" s="206" t="str" cm="1">
        <f t="array" ref="AO41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1" spans="1:41" x14ac:dyDescent="0.5">
      <c r="A411" s="206" t="s">
        <v>1361</v>
      </c>
      <c r="B411" s="230">
        <v>45733</v>
      </c>
      <c r="C411" s="206" t="s">
        <v>110</v>
      </c>
      <c r="D411" s="206" t="s">
        <v>88</v>
      </c>
      <c r="E411" s="206" t="s">
        <v>50</v>
      </c>
      <c r="F411" s="206" t="s">
        <v>50</v>
      </c>
      <c r="G411" s="206" t="s">
        <v>87</v>
      </c>
      <c r="H411" s="206" t="s">
        <v>87</v>
      </c>
      <c r="I411" s="206" t="s">
        <v>88</v>
      </c>
      <c r="J411" s="206" t="s">
        <v>52</v>
      </c>
      <c r="K411" s="206" t="s">
        <v>53</v>
      </c>
      <c r="L411" s="206" t="str">
        <f>VLOOKUP(Primary_Order[[#This Row],[Product ID]],SKU[],3,0)</f>
        <v>3000 4T PLUS 20W40</v>
      </c>
      <c r="M411" s="231">
        <v>4000</v>
      </c>
      <c r="N411" s="231">
        <v>525</v>
      </c>
      <c r="O411" s="231">
        <v>4000</v>
      </c>
      <c r="P411" s="232">
        <v>0</v>
      </c>
      <c r="Q411" s="231">
        <v>0</v>
      </c>
      <c r="R411" s="231">
        <v>525</v>
      </c>
      <c r="S411" s="231">
        <v>4000</v>
      </c>
      <c r="T411" s="231">
        <v>4000</v>
      </c>
      <c r="U411" s="231">
        <v>2100000</v>
      </c>
      <c r="V411" s="231">
        <v>0</v>
      </c>
      <c r="W411" s="231">
        <v>2100000</v>
      </c>
      <c r="X411" s="231">
        <v>273913.04347826086</v>
      </c>
      <c r="Y411" s="231">
        <v>1826086.956521739</v>
      </c>
      <c r="Z411" s="206" t="s">
        <v>882</v>
      </c>
      <c r="AA411" s="206">
        <v>675</v>
      </c>
      <c r="AB411" s="206" t="s">
        <v>641</v>
      </c>
      <c r="AC411" s="230">
        <v>45733</v>
      </c>
      <c r="AD411" s="206" t="s">
        <v>50</v>
      </c>
      <c r="AE411" s="206" t="str">
        <f>IFERROR(VLOOKUP(Primary_Order[[#This Row],[AM]],SP!$E$19:$F$23,2,0),Primary_Order[[#This Row],[AM]])</f>
        <v>Captive Sales</v>
      </c>
      <c r="AF411" s="206" t="str">
        <f>VLOOKUP(Primary_Order[[#This Row],[Product ID]],SKU[],10,0)</f>
        <v>Mineral</v>
      </c>
      <c r="AG411" s="206" t="str">
        <f>VLOOKUP(Primary_Order[[#This Row],[Product ID]],SKU[],9,0)</f>
        <v>MCO</v>
      </c>
      <c r="AH411" s="206" t="str">
        <f>VLOOKUP(Primary_Order[[#This Row],[Product ID]],SKU[],12,0)</f>
        <v>20W40</v>
      </c>
      <c r="AI411" s="206" t="str">
        <f>VLOOKUP(Primary_Order[[#This Row],[Product ID]],SKU[],13,0)</f>
        <v>3000</v>
      </c>
      <c r="AJ411" s="233">
        <f>VLOOKUP(Primary_Order[[#This Row],[Product ID]],SKU[[SKU ID]:[Bottle Size(Ltr)]],6,0)*Primary_Order[[#This Row],[Free Quantity]]</f>
        <v>0</v>
      </c>
      <c r="AK411" s="206" t="str">
        <f>VLOOKUP(Primary_Order[[#This Row],[Product ID]],SKU[[SKU ID]:[Bottle Size(Ltr)]],4,0)</f>
        <v>20x1L</v>
      </c>
      <c r="AL411" s="231">
        <f>VLOOKUP(Primary_Order[[#This Row],[Product ID]],SKU[],14,0)*Primary_Order[[#This Row],[Total Qty]]</f>
        <v>1651040</v>
      </c>
      <c r="AM411" s="231">
        <f>IF(Primary_Order[[#This Row],[Cost]]=0,0,Primary_Order[[#This Row],[Net Total(-15%)]]-Primary_Order[[#This Row],[Cost]])</f>
        <v>175046.95652173902</v>
      </c>
      <c r="AN411" s="206" t="str">
        <f>"O-"&amp;Primary_Order[[#This Row],[Date]]&amp;"-"&amp;Primary_Order[[#This Row],[MMD ID]]</f>
        <v>O-45733-D-0025</v>
      </c>
      <c r="AO411" s="206" t="str" cm="1">
        <f t="array" ref="AO41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2" spans="1:41" x14ac:dyDescent="0.5">
      <c r="A412" s="206" t="s">
        <v>1361</v>
      </c>
      <c r="B412" s="230">
        <v>45733</v>
      </c>
      <c r="C412" s="206" t="s">
        <v>110</v>
      </c>
      <c r="D412" s="206" t="s">
        <v>88</v>
      </c>
      <c r="E412" s="206" t="s">
        <v>50</v>
      </c>
      <c r="F412" s="206" t="s">
        <v>50</v>
      </c>
      <c r="G412" s="206" t="s">
        <v>87</v>
      </c>
      <c r="H412" s="206" t="s">
        <v>87</v>
      </c>
      <c r="I412" s="206" t="s">
        <v>88</v>
      </c>
      <c r="J412" s="206" t="s">
        <v>52</v>
      </c>
      <c r="K412" s="206" t="s">
        <v>54</v>
      </c>
      <c r="L412" s="206" t="str">
        <f>VLOOKUP(Primary_Order[[#This Row],[Product ID]],SKU[],3,0)</f>
        <v>3000 4T PLUS 10W40</v>
      </c>
      <c r="M412" s="231">
        <v>20000</v>
      </c>
      <c r="N412" s="231">
        <v>525</v>
      </c>
      <c r="O412" s="231">
        <v>20000</v>
      </c>
      <c r="P412" s="232">
        <v>0</v>
      </c>
      <c r="Q412" s="231">
        <v>0</v>
      </c>
      <c r="R412" s="231">
        <v>525</v>
      </c>
      <c r="S412" s="231">
        <v>20000</v>
      </c>
      <c r="T412" s="231">
        <v>20000</v>
      </c>
      <c r="U412" s="231">
        <v>10500000</v>
      </c>
      <c r="V412" s="231">
        <v>0</v>
      </c>
      <c r="W412" s="231">
        <v>10500000</v>
      </c>
      <c r="X412" s="231">
        <v>1369565.2173913044</v>
      </c>
      <c r="Y412" s="231">
        <v>9130434.7826086953</v>
      </c>
      <c r="Z412" s="206" t="s">
        <v>882</v>
      </c>
      <c r="AA412" s="206">
        <v>675</v>
      </c>
      <c r="AB412" s="206" t="s">
        <v>641</v>
      </c>
      <c r="AC412" s="230">
        <v>45733</v>
      </c>
      <c r="AD412" s="206" t="s">
        <v>50</v>
      </c>
      <c r="AE412" s="206" t="str">
        <f>IFERROR(VLOOKUP(Primary_Order[[#This Row],[AM]],SP!$E$19:$F$23,2,0),Primary_Order[[#This Row],[AM]])</f>
        <v>Captive Sales</v>
      </c>
      <c r="AF412" s="206" t="str">
        <f>VLOOKUP(Primary_Order[[#This Row],[Product ID]],SKU[],10,0)</f>
        <v>Mineral</v>
      </c>
      <c r="AG412" s="206" t="str">
        <f>VLOOKUP(Primary_Order[[#This Row],[Product ID]],SKU[],9,0)</f>
        <v>MCO</v>
      </c>
      <c r="AH412" s="206" t="str">
        <f>VLOOKUP(Primary_Order[[#This Row],[Product ID]],SKU[],12,0)</f>
        <v>10W40</v>
      </c>
      <c r="AI412" s="206" t="str">
        <f>VLOOKUP(Primary_Order[[#This Row],[Product ID]],SKU[],13,0)</f>
        <v>3000</v>
      </c>
      <c r="AJ412" s="233">
        <f>VLOOKUP(Primary_Order[[#This Row],[Product ID]],SKU[[SKU ID]:[Bottle Size(Ltr)]],6,0)*Primary_Order[[#This Row],[Free Quantity]]</f>
        <v>0</v>
      </c>
      <c r="AK412" s="206" t="str">
        <f>VLOOKUP(Primary_Order[[#This Row],[Product ID]],SKU[[SKU ID]:[Bottle Size(Ltr)]],4,0)</f>
        <v>20x1L</v>
      </c>
      <c r="AL412" s="231">
        <f>VLOOKUP(Primary_Order[[#This Row],[Product ID]],SKU[],14,0)*Primary_Order[[#This Row],[Total Qty]]</f>
        <v>7697000</v>
      </c>
      <c r="AM412" s="231">
        <f>IF(Primary_Order[[#This Row],[Cost]]=0,0,Primary_Order[[#This Row],[Net Total(-15%)]]-Primary_Order[[#This Row],[Cost]])</f>
        <v>1433434.7826086953</v>
      </c>
      <c r="AN412" s="206" t="str">
        <f>"O-"&amp;Primary_Order[[#This Row],[Date]]&amp;"-"&amp;Primary_Order[[#This Row],[MMD ID]]</f>
        <v>O-45733-D-0025</v>
      </c>
      <c r="AO412" s="206" t="str" cm="1">
        <f t="array" ref="AO41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3" spans="1:41" x14ac:dyDescent="0.5">
      <c r="A413" s="206" t="s">
        <v>1361</v>
      </c>
      <c r="B413" s="230">
        <v>45733</v>
      </c>
      <c r="C413" s="206" t="s">
        <v>110</v>
      </c>
      <c r="D413" s="206" t="s">
        <v>88</v>
      </c>
      <c r="E413" s="206" t="s">
        <v>50</v>
      </c>
      <c r="F413" s="206" t="s">
        <v>50</v>
      </c>
      <c r="G413" s="206" t="s">
        <v>87</v>
      </c>
      <c r="H413" s="206" t="s">
        <v>87</v>
      </c>
      <c r="I413" s="206" t="s">
        <v>88</v>
      </c>
      <c r="J413" s="206" t="s">
        <v>52</v>
      </c>
      <c r="K413" s="206" t="s">
        <v>36</v>
      </c>
      <c r="L413" s="206" t="str">
        <f>VLOOKUP(Primary_Order[[#This Row],[Product ID]],SKU[],3,0)</f>
        <v>51004T 10W40 ESTER</v>
      </c>
      <c r="M413" s="231">
        <v>2000</v>
      </c>
      <c r="N413" s="231">
        <v>830</v>
      </c>
      <c r="O413" s="231">
        <v>2000</v>
      </c>
      <c r="P413" s="232">
        <v>0</v>
      </c>
      <c r="Q413" s="231">
        <v>0</v>
      </c>
      <c r="R413" s="231">
        <v>830</v>
      </c>
      <c r="S413" s="231">
        <v>2000</v>
      </c>
      <c r="T413" s="231">
        <v>2000</v>
      </c>
      <c r="U413" s="231">
        <v>1660000</v>
      </c>
      <c r="V413" s="231">
        <v>0</v>
      </c>
      <c r="W413" s="231">
        <v>1660000</v>
      </c>
      <c r="X413" s="231">
        <v>216521.73913043478</v>
      </c>
      <c r="Y413" s="231">
        <v>1443478.2608695652</v>
      </c>
      <c r="Z413" s="206" t="s">
        <v>882</v>
      </c>
      <c r="AA413" s="206">
        <v>675</v>
      </c>
      <c r="AB413" s="206" t="s">
        <v>641</v>
      </c>
      <c r="AC413" s="230">
        <v>45733</v>
      </c>
      <c r="AD413" s="206" t="s">
        <v>50</v>
      </c>
      <c r="AE413" s="206" t="str">
        <f>IFERROR(VLOOKUP(Primary_Order[[#This Row],[AM]],SP!$E$19:$F$23,2,0),Primary_Order[[#This Row],[AM]])</f>
        <v>Captive Sales</v>
      </c>
      <c r="AF413" s="206" t="str">
        <f>VLOOKUP(Primary_Order[[#This Row],[Product ID]],SKU[],10,0)</f>
        <v>Technosynthese</v>
      </c>
      <c r="AG413" s="206" t="str">
        <f>VLOOKUP(Primary_Order[[#This Row],[Product ID]],SKU[],9,0)</f>
        <v>MCO</v>
      </c>
      <c r="AH413" s="206" t="str">
        <f>VLOOKUP(Primary_Order[[#This Row],[Product ID]],SKU[],12,0)</f>
        <v>10W40</v>
      </c>
      <c r="AI413" s="206" t="str">
        <f>VLOOKUP(Primary_Order[[#This Row],[Product ID]],SKU[],13,0)</f>
        <v>5100</v>
      </c>
      <c r="AJ413" s="233">
        <f>VLOOKUP(Primary_Order[[#This Row],[Product ID]],SKU[[SKU ID]:[Bottle Size(Ltr)]],6,0)*Primary_Order[[#This Row],[Free Quantity]]</f>
        <v>0</v>
      </c>
      <c r="AK413" s="206" t="str">
        <f>VLOOKUP(Primary_Order[[#This Row],[Product ID]],SKU[[SKU ID]:[Bottle Size(Ltr)]],4,0)</f>
        <v>12x1L</v>
      </c>
      <c r="AL413" s="231">
        <f>VLOOKUP(Primary_Order[[#This Row],[Product ID]],SKU[],14,0)*Primary_Order[[#This Row],[Total Qty]]</f>
        <v>1216660</v>
      </c>
      <c r="AM413" s="231">
        <f>IF(Primary_Order[[#This Row],[Cost]]=0,0,Primary_Order[[#This Row],[Net Total(-15%)]]-Primary_Order[[#This Row],[Cost]])</f>
        <v>226818.26086956519</v>
      </c>
      <c r="AN413" s="206" t="str">
        <f>"O-"&amp;Primary_Order[[#This Row],[Date]]&amp;"-"&amp;Primary_Order[[#This Row],[MMD ID]]</f>
        <v>O-45733-D-0025</v>
      </c>
      <c r="AO413" s="206" t="str" cm="1">
        <f t="array" ref="AO41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4" spans="1:41" x14ac:dyDescent="0.5">
      <c r="A414" s="206" t="s">
        <v>1361</v>
      </c>
      <c r="B414" s="230">
        <v>45733</v>
      </c>
      <c r="C414" s="206" t="s">
        <v>110</v>
      </c>
      <c r="D414" s="206" t="s">
        <v>88</v>
      </c>
      <c r="E414" s="206" t="s">
        <v>50</v>
      </c>
      <c r="F414" s="206" t="s">
        <v>50</v>
      </c>
      <c r="G414" s="206" t="s">
        <v>87</v>
      </c>
      <c r="H414" s="206" t="s">
        <v>87</v>
      </c>
      <c r="I414" s="206" t="s">
        <v>88</v>
      </c>
      <c r="J414" s="206" t="s">
        <v>52</v>
      </c>
      <c r="K414" s="206" t="s">
        <v>59</v>
      </c>
      <c r="L414" s="206" t="str">
        <f>VLOOKUP(Primary_Order[[#This Row],[Product ID]],SKU[],3,0)</f>
        <v>Scooter LE 4T 10W30 HC-TECH®</v>
      </c>
      <c r="M414" s="231">
        <v>1100</v>
      </c>
      <c r="N414" s="231">
        <v>450</v>
      </c>
      <c r="O414" s="231">
        <v>880</v>
      </c>
      <c r="P414" s="232">
        <v>0</v>
      </c>
      <c r="Q414" s="231">
        <v>0</v>
      </c>
      <c r="R414" s="231">
        <v>450</v>
      </c>
      <c r="S414" s="231">
        <v>1100</v>
      </c>
      <c r="T414" s="231">
        <v>880</v>
      </c>
      <c r="U414" s="231">
        <v>495000</v>
      </c>
      <c r="V414" s="231">
        <v>0</v>
      </c>
      <c r="W414" s="231">
        <v>495000</v>
      </c>
      <c r="X414" s="231">
        <v>64565.217391304344</v>
      </c>
      <c r="Y414" s="231">
        <v>430434.78260869568</v>
      </c>
      <c r="Z414" s="206" t="s">
        <v>882</v>
      </c>
      <c r="AA414" s="206">
        <v>675</v>
      </c>
      <c r="AB414" s="206" t="s">
        <v>641</v>
      </c>
      <c r="AC414" s="230">
        <v>45733</v>
      </c>
      <c r="AD414" s="206" t="s">
        <v>50</v>
      </c>
      <c r="AE414" s="206" t="str">
        <f>IFERROR(VLOOKUP(Primary_Order[[#This Row],[AM]],SP!$E$19:$F$23,2,0),Primary_Order[[#This Row],[AM]])</f>
        <v>Captive Sales</v>
      </c>
      <c r="AF414" s="206" t="str">
        <f>VLOOKUP(Primary_Order[[#This Row],[Product ID]],SKU[],10,0)</f>
        <v>Mineral</v>
      </c>
      <c r="AG414" s="206" t="str">
        <f>VLOOKUP(Primary_Order[[#This Row],[Product ID]],SKU[],9,0)</f>
        <v>MCO</v>
      </c>
      <c r="AH414" s="206" t="str">
        <f>VLOOKUP(Primary_Order[[#This Row],[Product ID]],SKU[],12,0)</f>
        <v>10W30</v>
      </c>
      <c r="AI414" s="206" t="str">
        <f>VLOOKUP(Primary_Order[[#This Row],[Product ID]],SKU[],13,0)</f>
        <v>Scooter</v>
      </c>
      <c r="AJ414" s="233">
        <f>VLOOKUP(Primary_Order[[#This Row],[Product ID]],SKU[[SKU ID]:[Bottle Size(Ltr)]],6,0)*Primary_Order[[#This Row],[Free Quantity]]</f>
        <v>0</v>
      </c>
      <c r="AK414" s="206" t="str">
        <f>VLOOKUP(Primary_Order[[#This Row],[Product ID]],SKU[[SKU ID]:[Bottle Size(Ltr)]],4,0)</f>
        <v>20x0.8L</v>
      </c>
      <c r="AL414" s="231">
        <f>VLOOKUP(Primary_Order[[#This Row],[Product ID]],SKU[],14,0)*Primary_Order[[#This Row],[Total Qty]]</f>
        <v>366663</v>
      </c>
      <c r="AM414" s="231">
        <f>IF(Primary_Order[[#This Row],[Cost]]=0,0,Primary_Order[[#This Row],[Net Total(-15%)]]-Primary_Order[[#This Row],[Cost]])</f>
        <v>63771.782608695677</v>
      </c>
      <c r="AN414" s="206" t="str">
        <f>"O-"&amp;Primary_Order[[#This Row],[Date]]&amp;"-"&amp;Primary_Order[[#This Row],[MMD ID]]</f>
        <v>O-45733-D-0025</v>
      </c>
      <c r="AO414" s="206" t="str" cm="1">
        <f t="array" ref="AO41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5" spans="1:41" x14ac:dyDescent="0.5">
      <c r="A415" s="206" t="s">
        <v>1361</v>
      </c>
      <c r="B415" s="230">
        <v>45733</v>
      </c>
      <c r="C415" s="206" t="s">
        <v>110</v>
      </c>
      <c r="D415" s="206" t="s">
        <v>88</v>
      </c>
      <c r="E415" s="206" t="s">
        <v>50</v>
      </c>
      <c r="F415" s="206" t="s">
        <v>50</v>
      </c>
      <c r="G415" s="206" t="s">
        <v>87</v>
      </c>
      <c r="H415" s="206" t="s">
        <v>87</v>
      </c>
      <c r="I415" s="206" t="s">
        <v>88</v>
      </c>
      <c r="J415" s="206" t="s">
        <v>52</v>
      </c>
      <c r="K415" s="206" t="s">
        <v>168</v>
      </c>
      <c r="L415" s="206" t="str">
        <f>VLOOKUP(Primary_Order[[#This Row],[Product ID]],SKU[],3,0)</f>
        <v>IRIX Long Life Grease</v>
      </c>
      <c r="M415" s="231">
        <v>58</v>
      </c>
      <c r="N415" s="231">
        <v>370</v>
      </c>
      <c r="O415" s="231">
        <v>29</v>
      </c>
      <c r="P415" s="232">
        <v>0</v>
      </c>
      <c r="Q415" s="231">
        <v>0</v>
      </c>
      <c r="R415" s="231">
        <v>370</v>
      </c>
      <c r="S415" s="231">
        <v>58</v>
      </c>
      <c r="T415" s="231">
        <v>29</v>
      </c>
      <c r="U415" s="231">
        <v>21460</v>
      </c>
      <c r="V415" s="231">
        <v>0</v>
      </c>
      <c r="W415" s="231">
        <v>21460</v>
      </c>
      <c r="X415" s="231">
        <v>2799.1304347826085</v>
      </c>
      <c r="Y415" s="231">
        <v>18660.869565217392</v>
      </c>
      <c r="Z415" s="206" t="s">
        <v>882</v>
      </c>
      <c r="AA415" s="206">
        <v>675</v>
      </c>
      <c r="AB415" s="206" t="s">
        <v>641</v>
      </c>
      <c r="AC415" s="230">
        <v>45733</v>
      </c>
      <c r="AD415" s="206" t="s">
        <v>50</v>
      </c>
      <c r="AE415" s="206" t="str">
        <f>IFERROR(VLOOKUP(Primary_Order[[#This Row],[AM]],SP!$E$19:$F$23,2,0),Primary_Order[[#This Row],[AM]])</f>
        <v>Captive Sales</v>
      </c>
      <c r="AF415" s="206" t="str">
        <f>VLOOKUP(Primary_Order[[#This Row],[Product ID]],SKU[],10,0)</f>
        <v>Care Products</v>
      </c>
      <c r="AG415" s="206" t="str">
        <f>VLOOKUP(Primary_Order[[#This Row],[Product ID]],SKU[],9,0)</f>
        <v>Care Products</v>
      </c>
      <c r="AH415" s="206" t="str">
        <f>VLOOKUP(Primary_Order[[#This Row],[Product ID]],SKU[],12,0)</f>
        <v>Care Products</v>
      </c>
      <c r="AI415" s="206" t="str">
        <f>VLOOKUP(Primary_Order[[#This Row],[Product ID]],SKU[],13,0)</f>
        <v>Grease</v>
      </c>
      <c r="AJ415" s="233">
        <f>VLOOKUP(Primary_Order[[#This Row],[Product ID]],SKU[[SKU ID]:[Bottle Size(Ltr)]],6,0)*Primary_Order[[#This Row],[Free Quantity]]</f>
        <v>0</v>
      </c>
      <c r="AK415" s="206" t="str">
        <f>VLOOKUP(Primary_Order[[#This Row],[Product ID]],SKU[[SKU ID]:[Bottle Size(Ltr)]],4,0)</f>
        <v>20x0.5L</v>
      </c>
      <c r="AL415" s="231">
        <f>VLOOKUP(Primary_Order[[#This Row],[Product ID]],SKU[],14,0)*Primary_Order[[#This Row],[Total Qty]]</f>
        <v>16526.52</v>
      </c>
      <c r="AM415" s="231">
        <f>IF(Primary_Order[[#This Row],[Cost]]=0,0,Primary_Order[[#This Row],[Net Total(-15%)]]-Primary_Order[[#This Row],[Cost]])</f>
        <v>2134.3495652173915</v>
      </c>
      <c r="AN415" s="206" t="str">
        <f>"O-"&amp;Primary_Order[[#This Row],[Date]]&amp;"-"&amp;Primary_Order[[#This Row],[MMD ID]]</f>
        <v>O-45733-D-0025</v>
      </c>
      <c r="AO415" s="206" t="str" cm="1">
        <f t="array" ref="AO41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6" spans="1:41" x14ac:dyDescent="0.5">
      <c r="A416" s="206" t="s">
        <v>1361</v>
      </c>
      <c r="B416" s="230">
        <v>45733</v>
      </c>
      <c r="C416" s="206" t="s">
        <v>110</v>
      </c>
      <c r="D416" s="206" t="s">
        <v>88</v>
      </c>
      <c r="E416" s="206" t="s">
        <v>50</v>
      </c>
      <c r="F416" s="206" t="s">
        <v>50</v>
      </c>
      <c r="G416" s="206" t="s">
        <v>87</v>
      </c>
      <c r="H416" s="206" t="s">
        <v>87</v>
      </c>
      <c r="I416" s="206" t="s">
        <v>88</v>
      </c>
      <c r="J416" s="206" t="s">
        <v>52</v>
      </c>
      <c r="K416" s="206" t="s">
        <v>104</v>
      </c>
      <c r="L416" s="206" t="str">
        <f>VLOOKUP(Primary_Order[[#This Row],[Product ID]],SKU[],3,0)</f>
        <v>Engine Flush</v>
      </c>
      <c r="M416" s="231">
        <v>4691</v>
      </c>
      <c r="N416" s="231">
        <v>195</v>
      </c>
      <c r="O416" s="231">
        <v>234.55</v>
      </c>
      <c r="P416" s="232">
        <v>0</v>
      </c>
      <c r="Q416" s="231">
        <v>0</v>
      </c>
      <c r="R416" s="231">
        <v>195</v>
      </c>
      <c r="S416" s="231">
        <v>4691</v>
      </c>
      <c r="T416" s="231">
        <v>234.55</v>
      </c>
      <c r="U416" s="231">
        <v>914745</v>
      </c>
      <c r="V416" s="231">
        <v>0</v>
      </c>
      <c r="W416" s="231">
        <v>914745</v>
      </c>
      <c r="X416" s="231">
        <v>119314.56521739131</v>
      </c>
      <c r="Y416" s="231">
        <v>795430.43478260865</v>
      </c>
      <c r="Z416" s="206" t="s">
        <v>882</v>
      </c>
      <c r="AA416" s="206">
        <v>675</v>
      </c>
      <c r="AB416" s="206" t="s">
        <v>641</v>
      </c>
      <c r="AC416" s="230">
        <v>45733</v>
      </c>
      <c r="AD416" s="206" t="s">
        <v>50</v>
      </c>
      <c r="AE416" s="206" t="str">
        <f>IFERROR(VLOOKUP(Primary_Order[[#This Row],[AM]],SP!$E$19:$F$23,2,0),Primary_Order[[#This Row],[AM]])</f>
        <v>Captive Sales</v>
      </c>
      <c r="AF416" s="206" t="str">
        <f>VLOOKUP(Primary_Order[[#This Row],[Product ID]],SKU[],10,0)</f>
        <v>Care Products</v>
      </c>
      <c r="AG416" s="206" t="str">
        <f>VLOOKUP(Primary_Order[[#This Row],[Product ID]],SKU[],9,0)</f>
        <v>Care Products</v>
      </c>
      <c r="AH416" s="206" t="str">
        <f>VLOOKUP(Primary_Order[[#This Row],[Product ID]],SKU[],12,0)</f>
        <v>Care Products</v>
      </c>
      <c r="AI416" s="206" t="str">
        <f>VLOOKUP(Primary_Order[[#This Row],[Product ID]],SKU[],13,0)</f>
        <v>Clean</v>
      </c>
      <c r="AJ416" s="233">
        <f>VLOOKUP(Primary_Order[[#This Row],[Product ID]],SKU[[SKU ID]:[Bottle Size(Ltr)]],6,0)*Primary_Order[[#This Row],[Free Quantity]]</f>
        <v>0</v>
      </c>
      <c r="AK416" s="206" t="str">
        <f>VLOOKUP(Primary_Order[[#This Row],[Product ID]],SKU[[SKU ID]:[Bottle Size(Ltr)]],4,0)</f>
        <v>24x0.05L</v>
      </c>
      <c r="AL416" s="231">
        <f>VLOOKUP(Primary_Order[[#This Row],[Product ID]],SKU[],14,0)*Primary_Order[[#This Row],[Total Qty]]</f>
        <v>610346.01</v>
      </c>
      <c r="AM416" s="231">
        <f>IF(Primary_Order[[#This Row],[Cost]]=0,0,Primary_Order[[#This Row],[Net Total(-15%)]]-Primary_Order[[#This Row],[Cost]])</f>
        <v>185084.42478260864</v>
      </c>
      <c r="AN416" s="206" t="str">
        <f>"O-"&amp;Primary_Order[[#This Row],[Date]]&amp;"-"&amp;Primary_Order[[#This Row],[MMD ID]]</f>
        <v>O-45733-D-0025</v>
      </c>
      <c r="AO416" s="206" t="str" cm="1">
        <f t="array" ref="AO41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7" spans="1:41" x14ac:dyDescent="0.5">
      <c r="A417" s="206" t="s">
        <v>1361</v>
      </c>
      <c r="B417" s="230">
        <v>45733</v>
      </c>
      <c r="C417" s="206" t="s">
        <v>110</v>
      </c>
      <c r="D417" s="206" t="s">
        <v>88</v>
      </c>
      <c r="E417" s="206" t="s">
        <v>50</v>
      </c>
      <c r="F417" s="206" t="s">
        <v>50</v>
      </c>
      <c r="G417" s="206" t="s">
        <v>87</v>
      </c>
      <c r="H417" s="206" t="s">
        <v>87</v>
      </c>
      <c r="I417" s="206" t="s">
        <v>88</v>
      </c>
      <c r="J417" s="206" t="s">
        <v>52</v>
      </c>
      <c r="K417" s="206" t="s">
        <v>107</v>
      </c>
      <c r="L417" s="206" t="str">
        <f>VLOOKUP(Primary_Order[[#This Row],[Product ID]],SKU[],3,0)</f>
        <v>Brake Fluid DOT 4</v>
      </c>
      <c r="M417" s="231">
        <v>11920</v>
      </c>
      <c r="N417" s="231">
        <v>120</v>
      </c>
      <c r="O417" s="231">
        <v>1192</v>
      </c>
      <c r="P417" s="232">
        <v>0</v>
      </c>
      <c r="Q417" s="231">
        <v>0</v>
      </c>
      <c r="R417" s="231">
        <v>120</v>
      </c>
      <c r="S417" s="231">
        <v>11920</v>
      </c>
      <c r="T417" s="231">
        <v>1192</v>
      </c>
      <c r="U417" s="231">
        <v>1430400</v>
      </c>
      <c r="V417" s="231">
        <v>0</v>
      </c>
      <c r="W417" s="231">
        <v>1430400</v>
      </c>
      <c r="X417" s="231">
        <v>186573.91304347827</v>
      </c>
      <c r="Y417" s="231">
        <v>1243826.0869565217</v>
      </c>
      <c r="Z417" s="206" t="s">
        <v>882</v>
      </c>
      <c r="AA417" s="206">
        <v>675</v>
      </c>
      <c r="AB417" s="206" t="s">
        <v>641</v>
      </c>
      <c r="AC417" s="230">
        <v>45733</v>
      </c>
      <c r="AD417" s="206" t="s">
        <v>50</v>
      </c>
      <c r="AE417" s="206" t="str">
        <f>IFERROR(VLOOKUP(Primary_Order[[#This Row],[AM]],SP!$E$19:$F$23,2,0),Primary_Order[[#This Row],[AM]])</f>
        <v>Captive Sales</v>
      </c>
      <c r="AF417" s="206" t="str">
        <f>VLOOKUP(Primary_Order[[#This Row],[Product ID]],SKU[],10,0)</f>
        <v>Care Products</v>
      </c>
      <c r="AG417" s="206" t="str">
        <f>VLOOKUP(Primary_Order[[#This Row],[Product ID]],SKU[],9,0)</f>
        <v>Care Products</v>
      </c>
      <c r="AH417" s="206" t="str">
        <f>VLOOKUP(Primary_Order[[#This Row],[Product ID]],SKU[],12,0)</f>
        <v>Care Products</v>
      </c>
      <c r="AI417" s="206" t="str">
        <f>VLOOKUP(Primary_Order[[#This Row],[Product ID]],SKU[],13,0)</f>
        <v>Brake</v>
      </c>
      <c r="AJ417" s="233">
        <f>VLOOKUP(Primary_Order[[#This Row],[Product ID]],SKU[[SKU ID]:[Bottle Size(Ltr)]],6,0)*Primary_Order[[#This Row],[Free Quantity]]</f>
        <v>0</v>
      </c>
      <c r="AK417" s="206" t="str">
        <f>VLOOKUP(Primary_Order[[#This Row],[Product ID]],SKU[[SKU ID]:[Bottle Size(Ltr)]],4,0)</f>
        <v>40x0.1L</v>
      </c>
      <c r="AL417" s="231">
        <f>VLOOKUP(Primary_Order[[#This Row],[Product ID]],SKU[],14,0)*Primary_Order[[#This Row],[Total Qty]]</f>
        <v>862411.99999999988</v>
      </c>
      <c r="AM417" s="231">
        <f>IF(Primary_Order[[#This Row],[Cost]]=0,0,Primary_Order[[#This Row],[Net Total(-15%)]]-Primary_Order[[#This Row],[Cost]])</f>
        <v>381414.08695652185</v>
      </c>
      <c r="AN417" s="206" t="str">
        <f>"O-"&amp;Primary_Order[[#This Row],[Date]]&amp;"-"&amp;Primary_Order[[#This Row],[MMD ID]]</f>
        <v>O-45733-D-0025</v>
      </c>
      <c r="AO417" s="206" t="str" cm="1">
        <f t="array" ref="AO41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18" spans="1:41" x14ac:dyDescent="0.5">
      <c r="A418" s="206" t="s">
        <v>1152</v>
      </c>
      <c r="B418" s="235">
        <f>'Stock Report'!$B$79</f>
        <v>47847</v>
      </c>
      <c r="C418" s="206" t="s">
        <v>110</v>
      </c>
      <c r="D418" s="206" t="s">
        <v>88</v>
      </c>
      <c r="E418" s="206" t="s">
        <v>50</v>
      </c>
      <c r="F418" s="206" t="s">
        <v>50</v>
      </c>
      <c r="G418" s="206" t="s">
        <v>87</v>
      </c>
      <c r="H418" s="206" t="s">
        <v>87</v>
      </c>
      <c r="I418" s="206" t="s">
        <v>88</v>
      </c>
      <c r="J418" s="206" t="s">
        <v>52</v>
      </c>
      <c r="K418" s="206" t="s">
        <v>54</v>
      </c>
      <c r="L418" s="206" t="str">
        <f>VLOOKUP(Primary_Order[[#This Row],[Product ID]],SKU[],3,0)</f>
        <v>3000 4T PLUS 10W40</v>
      </c>
      <c r="M418" s="231">
        <v>27000</v>
      </c>
      <c r="N418" s="231">
        <v>550</v>
      </c>
      <c r="O418" s="231">
        <v>27000</v>
      </c>
      <c r="P418" s="232">
        <v>4.5454545454545414E-2</v>
      </c>
      <c r="Q418" s="231">
        <v>0</v>
      </c>
      <c r="R418" s="231">
        <v>525</v>
      </c>
      <c r="S418" s="231">
        <v>27000</v>
      </c>
      <c r="T418" s="231">
        <v>27000</v>
      </c>
      <c r="U418" s="231">
        <v>14850000</v>
      </c>
      <c r="V418" s="231">
        <v>0</v>
      </c>
      <c r="W418" s="231">
        <v>14175000</v>
      </c>
      <c r="X418" s="231">
        <v>1848913.043478261</v>
      </c>
      <c r="Y418" s="231">
        <v>12326086.956521738</v>
      </c>
      <c r="Z418" s="206" t="s">
        <v>882</v>
      </c>
      <c r="AA418" s="206" t="s">
        <v>50</v>
      </c>
      <c r="AB418" s="206" t="s">
        <v>1170</v>
      </c>
      <c r="AC418" s="230" t="s">
        <v>50</v>
      </c>
      <c r="AD418" s="206" t="s">
        <v>50</v>
      </c>
      <c r="AE418" s="206" t="str">
        <f>IFERROR(VLOOKUP(Primary_Order[[#This Row],[AM]],SP!$E$19:$F$23,2,0),Primary_Order[[#This Row],[AM]])</f>
        <v>Captive Sales</v>
      </c>
      <c r="AF418" s="206" t="str">
        <f>VLOOKUP(Primary_Order[[#This Row],[Product ID]],SKU[],10,0)</f>
        <v>Mineral</v>
      </c>
      <c r="AG418" s="206" t="str">
        <f>VLOOKUP(Primary_Order[[#This Row],[Product ID]],SKU[],9,0)</f>
        <v>MCO</v>
      </c>
      <c r="AH418" s="206" t="str">
        <f>VLOOKUP(Primary_Order[[#This Row],[Product ID]],SKU[],12,0)</f>
        <v>10W40</v>
      </c>
      <c r="AI418" s="206" t="str">
        <f>VLOOKUP(Primary_Order[[#This Row],[Product ID]],SKU[],13,0)</f>
        <v>3000</v>
      </c>
      <c r="AJ418" s="233">
        <f>VLOOKUP(Primary_Order[[#This Row],[Product ID]],SKU[[SKU ID]:[Bottle Size(Ltr)]],6,0)*Primary_Order[[#This Row],[Free Quantity]]</f>
        <v>0</v>
      </c>
      <c r="AK418" s="206" t="str">
        <f>VLOOKUP(Primary_Order[[#This Row],[Product ID]],SKU[[SKU ID]:[Bottle Size(Ltr)]],4,0)</f>
        <v>20x1L</v>
      </c>
      <c r="AL418" s="231">
        <f>VLOOKUP(Primary_Order[[#This Row],[Product ID]],SKU[],14,0)*Primary_Order[[#This Row],[Total Qty]]</f>
        <v>10390950</v>
      </c>
      <c r="AM418" s="231">
        <f>IF(Primary_Order[[#This Row],[Cost]]=0,0,Primary_Order[[#This Row],[Net Total(-15%)]]-Primary_Order[[#This Row],[Cost]])</f>
        <v>1935136.9565217383</v>
      </c>
      <c r="AN418" s="206" t="str">
        <f>"O-"&amp;Primary_Order[[#This Row],[Date]]&amp;"-"&amp;Primary_Order[[#This Row],[MMD ID]]</f>
        <v>O-47847-D-0025</v>
      </c>
      <c r="AO418" s="206" t="str" cm="1">
        <f t="array" ref="AO41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419" spans="1:41" x14ac:dyDescent="0.5">
      <c r="A419" s="206" t="s">
        <v>1152</v>
      </c>
      <c r="B419" s="235">
        <f>'Stock Report'!$B$79</f>
        <v>47847</v>
      </c>
      <c r="C419" s="206" t="s">
        <v>110</v>
      </c>
      <c r="D419" s="206" t="s">
        <v>88</v>
      </c>
      <c r="E419" s="206" t="s">
        <v>50</v>
      </c>
      <c r="F419" s="206" t="s">
        <v>50</v>
      </c>
      <c r="G419" s="206" t="s">
        <v>87</v>
      </c>
      <c r="H419" s="206" t="s">
        <v>87</v>
      </c>
      <c r="I419" s="206" t="s">
        <v>88</v>
      </c>
      <c r="J419" s="206" t="s">
        <v>52</v>
      </c>
      <c r="K419" s="206" t="s">
        <v>73</v>
      </c>
      <c r="L419" s="206" t="str">
        <f>VLOOKUP(Primary_Order[[#This Row],[Product ID]],SKU[],3,0)</f>
        <v>31004T GOLD 10W40</v>
      </c>
      <c r="M419" s="231">
        <v>58</v>
      </c>
      <c r="N419" s="231">
        <v>600</v>
      </c>
      <c r="O419" s="231">
        <v>58</v>
      </c>
      <c r="P419" s="232">
        <v>5.8333333333333348E-2</v>
      </c>
      <c r="Q419" s="231">
        <v>0</v>
      </c>
      <c r="R419" s="231">
        <v>565</v>
      </c>
      <c r="S419" s="231">
        <v>58</v>
      </c>
      <c r="T419" s="231">
        <v>58</v>
      </c>
      <c r="U419" s="231">
        <v>34800</v>
      </c>
      <c r="V419" s="231">
        <v>0</v>
      </c>
      <c r="W419" s="231">
        <v>32770</v>
      </c>
      <c r="X419" s="231">
        <v>4274.347826086957</v>
      </c>
      <c r="Y419" s="231">
        <v>28495.652173913044</v>
      </c>
      <c r="Z419" s="206" t="s">
        <v>882</v>
      </c>
      <c r="AA419" s="206" t="s">
        <v>50</v>
      </c>
      <c r="AB419" s="206" t="s">
        <v>1170</v>
      </c>
      <c r="AC419" s="230" t="s">
        <v>50</v>
      </c>
      <c r="AD419" s="206" t="s">
        <v>50</v>
      </c>
      <c r="AE419" s="206" t="str">
        <f>IFERROR(VLOOKUP(Primary_Order[[#This Row],[AM]],SP!$E$19:$F$23,2,0),Primary_Order[[#This Row],[AM]])</f>
        <v>Captive Sales</v>
      </c>
      <c r="AF419" s="206" t="str">
        <f>VLOOKUP(Primary_Order[[#This Row],[Product ID]],SKU[],10,0)</f>
        <v>Technosynthese</v>
      </c>
      <c r="AG419" s="206" t="str">
        <f>VLOOKUP(Primary_Order[[#This Row],[Product ID]],SKU[],9,0)</f>
        <v>MCO</v>
      </c>
      <c r="AH419" s="206" t="str">
        <f>VLOOKUP(Primary_Order[[#This Row],[Product ID]],SKU[],12,0)</f>
        <v>10W40</v>
      </c>
      <c r="AI419" s="206" t="str">
        <f>VLOOKUP(Primary_Order[[#This Row],[Product ID]],SKU[],13,0)</f>
        <v>3100</v>
      </c>
      <c r="AJ419" s="233">
        <f>VLOOKUP(Primary_Order[[#This Row],[Product ID]],SKU[[SKU ID]:[Bottle Size(Ltr)]],6,0)*Primary_Order[[#This Row],[Free Quantity]]</f>
        <v>0</v>
      </c>
      <c r="AK419" s="206" t="str">
        <f>VLOOKUP(Primary_Order[[#This Row],[Product ID]],SKU[[SKU ID]:[Bottle Size(Ltr)]],4,0)</f>
        <v>20x1L</v>
      </c>
      <c r="AL419" s="231">
        <f>VLOOKUP(Primary_Order[[#This Row],[Product ID]],SKU[],14,0)*Primary_Order[[#This Row],[Total Qty]]</f>
        <v>24271.84</v>
      </c>
      <c r="AM419" s="231">
        <f>IF(Primary_Order[[#This Row],[Cost]]=0,0,Primary_Order[[#This Row],[Net Total(-15%)]]-Primary_Order[[#This Row],[Cost]])</f>
        <v>4223.8121739130438</v>
      </c>
      <c r="AN419" s="206" t="str">
        <f>"O-"&amp;Primary_Order[[#This Row],[Date]]&amp;"-"&amp;Primary_Order[[#This Row],[MMD ID]]</f>
        <v>O-47847-D-0025</v>
      </c>
      <c r="AO419" s="206" t="str" cm="1">
        <f t="array" ref="AO41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420" spans="1:41" x14ac:dyDescent="0.5">
      <c r="A420" s="206" t="s">
        <v>1152</v>
      </c>
      <c r="B420" s="235">
        <f>'Stock Report'!$B$79</f>
        <v>47847</v>
      </c>
      <c r="C420" s="206" t="s">
        <v>110</v>
      </c>
      <c r="D420" s="206" t="s">
        <v>88</v>
      </c>
      <c r="E420" s="206" t="s">
        <v>50</v>
      </c>
      <c r="F420" s="206" t="s">
        <v>50</v>
      </c>
      <c r="G420" s="206" t="s">
        <v>87</v>
      </c>
      <c r="H420" s="206" t="s">
        <v>87</v>
      </c>
      <c r="I420" s="206" t="s">
        <v>88</v>
      </c>
      <c r="J420" s="206" t="s">
        <v>52</v>
      </c>
      <c r="K420" s="206" t="s">
        <v>36</v>
      </c>
      <c r="L420" s="206" t="str">
        <f>VLOOKUP(Primary_Order[[#This Row],[Product ID]],SKU[],3,0)</f>
        <v>51004T 10W40 ESTER</v>
      </c>
      <c r="M420" s="231">
        <v>1760</v>
      </c>
      <c r="N420" s="231">
        <v>860</v>
      </c>
      <c r="O420" s="231">
        <v>1760</v>
      </c>
      <c r="P420" s="232">
        <v>3.4883720930232509E-2</v>
      </c>
      <c r="Q420" s="231">
        <v>0</v>
      </c>
      <c r="R420" s="231">
        <v>830</v>
      </c>
      <c r="S420" s="231">
        <v>1760</v>
      </c>
      <c r="T420" s="231">
        <v>1760</v>
      </c>
      <c r="U420" s="231">
        <v>1513600</v>
      </c>
      <c r="V420" s="231">
        <v>0</v>
      </c>
      <c r="W420" s="231">
        <v>1460800</v>
      </c>
      <c r="X420" s="231">
        <v>190539.13043478262</v>
      </c>
      <c r="Y420" s="231">
        <v>1270260.8695652173</v>
      </c>
      <c r="Z420" s="206" t="s">
        <v>882</v>
      </c>
      <c r="AA420" s="206" t="s">
        <v>50</v>
      </c>
      <c r="AB420" s="206" t="s">
        <v>1170</v>
      </c>
      <c r="AC420" s="230" t="s">
        <v>50</v>
      </c>
      <c r="AD420" s="206" t="s">
        <v>50</v>
      </c>
      <c r="AE420" s="206" t="str">
        <f>IFERROR(VLOOKUP(Primary_Order[[#This Row],[AM]],SP!$E$19:$F$23,2,0),Primary_Order[[#This Row],[AM]])</f>
        <v>Captive Sales</v>
      </c>
      <c r="AF420" s="206" t="str">
        <f>VLOOKUP(Primary_Order[[#This Row],[Product ID]],SKU[],10,0)</f>
        <v>Technosynthese</v>
      </c>
      <c r="AG420" s="206" t="str">
        <f>VLOOKUP(Primary_Order[[#This Row],[Product ID]],SKU[],9,0)</f>
        <v>MCO</v>
      </c>
      <c r="AH420" s="206" t="str">
        <f>VLOOKUP(Primary_Order[[#This Row],[Product ID]],SKU[],12,0)</f>
        <v>10W40</v>
      </c>
      <c r="AI420" s="206" t="str">
        <f>VLOOKUP(Primary_Order[[#This Row],[Product ID]],SKU[],13,0)</f>
        <v>5100</v>
      </c>
      <c r="AJ420" s="233">
        <f>VLOOKUP(Primary_Order[[#This Row],[Product ID]],SKU[[SKU ID]:[Bottle Size(Ltr)]],6,0)*Primary_Order[[#This Row],[Free Quantity]]</f>
        <v>0</v>
      </c>
      <c r="AK420" s="206" t="str">
        <f>VLOOKUP(Primary_Order[[#This Row],[Product ID]],SKU[[SKU ID]:[Bottle Size(Ltr)]],4,0)</f>
        <v>12x1L</v>
      </c>
      <c r="AL420" s="231">
        <f>VLOOKUP(Primary_Order[[#This Row],[Product ID]],SKU[],14,0)*Primary_Order[[#This Row],[Total Qty]]</f>
        <v>1070660.8</v>
      </c>
      <c r="AM420" s="231">
        <f>IF(Primary_Order[[#This Row],[Cost]]=0,0,Primary_Order[[#This Row],[Net Total(-15%)]]-Primary_Order[[#This Row],[Cost]])</f>
        <v>199600.06956521724</v>
      </c>
      <c r="AN420" s="206" t="str">
        <f>"O-"&amp;Primary_Order[[#This Row],[Date]]&amp;"-"&amp;Primary_Order[[#This Row],[MMD ID]]</f>
        <v>O-47847-D-0025</v>
      </c>
      <c r="AO420" s="206" t="str" cm="1">
        <f t="array" ref="AO42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421" spans="1:41" x14ac:dyDescent="0.5">
      <c r="A421" s="206" t="s">
        <v>1152</v>
      </c>
      <c r="B421" s="235">
        <f>'Stock Report'!$B$79</f>
        <v>47847</v>
      </c>
      <c r="C421" s="206" t="s">
        <v>110</v>
      </c>
      <c r="D421" s="206" t="s">
        <v>88</v>
      </c>
      <c r="E421" s="206" t="s">
        <v>50</v>
      </c>
      <c r="F421" s="206" t="s">
        <v>50</v>
      </c>
      <c r="G421" s="206" t="s">
        <v>87</v>
      </c>
      <c r="H421" s="206" t="s">
        <v>87</v>
      </c>
      <c r="I421" s="206" t="s">
        <v>88</v>
      </c>
      <c r="J421" s="206" t="s">
        <v>52</v>
      </c>
      <c r="K421" s="206" t="s">
        <v>57</v>
      </c>
      <c r="L421" s="206" t="str">
        <f>VLOOKUP(Primary_Order[[#This Row],[Product ID]],SKU[],3,0)</f>
        <v>7100 4T 10W40 ESTER CORE®</v>
      </c>
      <c r="M421" s="231">
        <v>506</v>
      </c>
      <c r="N421" s="231">
        <v>1070</v>
      </c>
      <c r="O421" s="231">
        <v>506</v>
      </c>
      <c r="P421" s="232">
        <v>2.8037383177570097E-2</v>
      </c>
      <c r="Q421" s="231">
        <v>0</v>
      </c>
      <c r="R421" s="231">
        <v>1040</v>
      </c>
      <c r="S421" s="231">
        <v>506</v>
      </c>
      <c r="T421" s="231">
        <v>506</v>
      </c>
      <c r="U421" s="231">
        <v>541420</v>
      </c>
      <c r="V421" s="231">
        <v>0</v>
      </c>
      <c r="W421" s="231">
        <v>526240</v>
      </c>
      <c r="X421" s="231">
        <v>68640</v>
      </c>
      <c r="Y421" s="231">
        <v>457600</v>
      </c>
      <c r="Z421" s="206" t="s">
        <v>882</v>
      </c>
      <c r="AA421" s="206" t="s">
        <v>50</v>
      </c>
      <c r="AB421" s="206" t="s">
        <v>1170</v>
      </c>
      <c r="AC421" s="230" t="s">
        <v>50</v>
      </c>
      <c r="AD421" s="206" t="s">
        <v>50</v>
      </c>
      <c r="AE421" s="206" t="str">
        <f>IFERROR(VLOOKUP(Primary_Order[[#This Row],[AM]],SP!$E$19:$F$23,2,0),Primary_Order[[#This Row],[AM]])</f>
        <v>Captive Sales</v>
      </c>
      <c r="AF421" s="206" t="str">
        <f>VLOOKUP(Primary_Order[[#This Row],[Product ID]],SKU[],10,0)</f>
        <v>Synthetic</v>
      </c>
      <c r="AG421" s="206" t="str">
        <f>VLOOKUP(Primary_Order[[#This Row],[Product ID]],SKU[],9,0)</f>
        <v>MCO</v>
      </c>
      <c r="AH421" s="206" t="str">
        <f>VLOOKUP(Primary_Order[[#This Row],[Product ID]],SKU[],12,0)</f>
        <v>10W40</v>
      </c>
      <c r="AI421" s="206" t="str">
        <f>VLOOKUP(Primary_Order[[#This Row],[Product ID]],SKU[],13,0)</f>
        <v>7100</v>
      </c>
      <c r="AJ421" s="233">
        <f>VLOOKUP(Primary_Order[[#This Row],[Product ID]],SKU[[SKU ID]:[Bottle Size(Ltr)]],6,0)*Primary_Order[[#This Row],[Free Quantity]]</f>
        <v>0</v>
      </c>
      <c r="AK421" s="206" t="str">
        <f>VLOOKUP(Primary_Order[[#This Row],[Product ID]],SKU[[SKU ID]:[Bottle Size(Ltr)]],4,0)</f>
        <v>12x1L</v>
      </c>
      <c r="AL421" s="231">
        <f>VLOOKUP(Primary_Order[[#This Row],[Product ID]],SKU[],14,0)*Primary_Order[[#This Row],[Total Qty]]</f>
        <v>351158.94</v>
      </c>
      <c r="AM421" s="231">
        <f>IF(Primary_Order[[#This Row],[Cost]]=0,0,Primary_Order[[#This Row],[Net Total(-15%)]]-Primary_Order[[#This Row],[Cost]])</f>
        <v>106441.06</v>
      </c>
      <c r="AN421" s="206" t="str">
        <f>"O-"&amp;Primary_Order[[#This Row],[Date]]&amp;"-"&amp;Primary_Order[[#This Row],[MMD ID]]</f>
        <v>O-47847-D-0025</v>
      </c>
      <c r="AO421" s="206" t="str" cm="1">
        <f t="array" ref="AO42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422" spans="1:41" x14ac:dyDescent="0.5">
      <c r="A422" s="206" t="s">
        <v>1152</v>
      </c>
      <c r="B422" s="235">
        <f>'Stock Report'!$B$79</f>
        <v>47847</v>
      </c>
      <c r="C422" s="206" t="s">
        <v>110</v>
      </c>
      <c r="D422" s="206" t="s">
        <v>88</v>
      </c>
      <c r="E422" s="206" t="s">
        <v>50</v>
      </c>
      <c r="F422" s="206" t="s">
        <v>50</v>
      </c>
      <c r="G422" s="206" t="s">
        <v>87</v>
      </c>
      <c r="H422" s="206" t="s">
        <v>87</v>
      </c>
      <c r="I422" s="206" t="s">
        <v>88</v>
      </c>
      <c r="J422" s="206" t="s">
        <v>52</v>
      </c>
      <c r="K422" s="206" t="s">
        <v>145</v>
      </c>
      <c r="L422" s="206" t="str">
        <f>VLOOKUP(Primary_Order[[#This Row],[Product ID]],SKU[],3,0)</f>
        <v>Fork Oil Expert</v>
      </c>
      <c r="M422" s="231">
        <v>100</v>
      </c>
      <c r="N422" s="231">
        <v>255</v>
      </c>
      <c r="O422" s="231">
        <v>35</v>
      </c>
      <c r="P422" s="232">
        <v>0.13725490196078416</v>
      </c>
      <c r="Q422" s="231">
        <v>0</v>
      </c>
      <c r="R422" s="231">
        <v>220.00000000000003</v>
      </c>
      <c r="S422" s="231">
        <v>100</v>
      </c>
      <c r="T422" s="231">
        <v>35</v>
      </c>
      <c r="U422" s="231">
        <v>25500</v>
      </c>
      <c r="V422" s="231">
        <v>0</v>
      </c>
      <c r="W422" s="231">
        <v>22000.000000000004</v>
      </c>
      <c r="X422" s="231">
        <v>2869.5652173913049</v>
      </c>
      <c r="Y422" s="231">
        <v>19130.4347826087</v>
      </c>
      <c r="Z422" s="206" t="s">
        <v>882</v>
      </c>
      <c r="AA422" s="206" t="s">
        <v>50</v>
      </c>
      <c r="AB422" s="206" t="s">
        <v>1170</v>
      </c>
      <c r="AC422" s="230" t="s">
        <v>50</v>
      </c>
      <c r="AD422" s="206" t="s">
        <v>50</v>
      </c>
      <c r="AE422" s="206" t="str">
        <f>IFERROR(VLOOKUP(Primary_Order[[#This Row],[AM]],SP!$E$19:$F$23,2,0),Primary_Order[[#This Row],[AM]])</f>
        <v>Captive Sales</v>
      </c>
      <c r="AF422" s="206" t="str">
        <f>VLOOKUP(Primary_Order[[#This Row],[Product ID]],SKU[],10,0)</f>
        <v>Care Products</v>
      </c>
      <c r="AG422" s="206" t="str">
        <f>VLOOKUP(Primary_Order[[#This Row],[Product ID]],SKU[],9,0)</f>
        <v>Care Products</v>
      </c>
      <c r="AH422" s="206" t="str">
        <f>VLOOKUP(Primary_Order[[#This Row],[Product ID]],SKU[],12,0)</f>
        <v>Care Products</v>
      </c>
      <c r="AI422" s="206" t="str">
        <f>VLOOKUP(Primary_Order[[#This Row],[Product ID]],SKU[],13,0)</f>
        <v>Fork Oil</v>
      </c>
      <c r="AJ422" s="233">
        <f>VLOOKUP(Primary_Order[[#This Row],[Product ID]],SKU[[SKU ID]:[Bottle Size(Ltr)]],6,0)*Primary_Order[[#This Row],[Free Quantity]]</f>
        <v>0</v>
      </c>
      <c r="AK422" s="206" t="str">
        <f>VLOOKUP(Primary_Order[[#This Row],[Product ID]],SKU[[SKU ID]:[Bottle Size(Ltr)]],4,0)</f>
        <v>20x0.35L</v>
      </c>
      <c r="AL422" s="231">
        <f>VLOOKUP(Primary_Order[[#This Row],[Product ID]],SKU[],14,0)*Primary_Order[[#This Row],[Total Qty]]</f>
        <v>16471</v>
      </c>
      <c r="AM422" s="231">
        <f>IF(Primary_Order[[#This Row],[Cost]]=0,0,Primary_Order[[#This Row],[Net Total(-15%)]]-Primary_Order[[#This Row],[Cost]])</f>
        <v>2659.4347826086996</v>
      </c>
      <c r="AN422" s="206" t="str">
        <f>"O-"&amp;Primary_Order[[#This Row],[Date]]&amp;"-"&amp;Primary_Order[[#This Row],[MMD ID]]</f>
        <v>O-47847-D-0025</v>
      </c>
      <c r="AO422" s="206" t="str" cm="1">
        <f t="array" ref="AO42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423" spans="1:41" x14ac:dyDescent="0.5">
      <c r="A423" s="206" t="s">
        <v>1152</v>
      </c>
      <c r="B423" s="235">
        <f>'Stock Report'!$B$79</f>
        <v>47847</v>
      </c>
      <c r="C423" s="206" t="s">
        <v>110</v>
      </c>
      <c r="D423" s="206" t="s">
        <v>88</v>
      </c>
      <c r="E423" s="206" t="s">
        <v>50</v>
      </c>
      <c r="F423" s="206" t="s">
        <v>50</v>
      </c>
      <c r="G423" s="206" t="s">
        <v>87</v>
      </c>
      <c r="H423" s="206" t="s">
        <v>87</v>
      </c>
      <c r="I423" s="206" t="s">
        <v>88</v>
      </c>
      <c r="J423" s="206" t="s">
        <v>52</v>
      </c>
      <c r="K423" s="206" t="s">
        <v>107</v>
      </c>
      <c r="L423" s="206" t="str">
        <f>VLOOKUP(Primary_Order[[#This Row],[Product ID]],SKU[],3,0)</f>
        <v>Brake Fluid DOT 4</v>
      </c>
      <c r="M423" s="231">
        <v>1159</v>
      </c>
      <c r="N423" s="231">
        <v>127.5</v>
      </c>
      <c r="O423" s="231">
        <v>115.9</v>
      </c>
      <c r="P423" s="232">
        <v>5.8823529411764719E-2</v>
      </c>
      <c r="Q423" s="231">
        <v>0</v>
      </c>
      <c r="R423" s="231">
        <v>120</v>
      </c>
      <c r="S423" s="231">
        <v>1159</v>
      </c>
      <c r="T423" s="231">
        <v>115.9</v>
      </c>
      <c r="U423" s="231">
        <v>147772.5</v>
      </c>
      <c r="V423" s="231">
        <v>0</v>
      </c>
      <c r="W423" s="231">
        <v>139080</v>
      </c>
      <c r="X423" s="231">
        <v>18140.869565217392</v>
      </c>
      <c r="Y423" s="231">
        <v>120939.13043478261</v>
      </c>
      <c r="Z423" s="206" t="s">
        <v>882</v>
      </c>
      <c r="AA423" s="206" t="s">
        <v>50</v>
      </c>
      <c r="AB423" s="206" t="s">
        <v>1170</v>
      </c>
      <c r="AC423" s="230" t="s">
        <v>50</v>
      </c>
      <c r="AD423" s="206" t="s">
        <v>50</v>
      </c>
      <c r="AE423" s="206" t="str">
        <f>IFERROR(VLOOKUP(Primary_Order[[#This Row],[AM]],SP!$E$19:$F$23,2,0),Primary_Order[[#This Row],[AM]])</f>
        <v>Captive Sales</v>
      </c>
      <c r="AF423" s="206" t="str">
        <f>VLOOKUP(Primary_Order[[#This Row],[Product ID]],SKU[],10,0)</f>
        <v>Care Products</v>
      </c>
      <c r="AG423" s="206" t="str">
        <f>VLOOKUP(Primary_Order[[#This Row],[Product ID]],SKU[],9,0)</f>
        <v>Care Products</v>
      </c>
      <c r="AH423" s="206" t="str">
        <f>VLOOKUP(Primary_Order[[#This Row],[Product ID]],SKU[],12,0)</f>
        <v>Care Products</v>
      </c>
      <c r="AI423" s="206" t="str">
        <f>VLOOKUP(Primary_Order[[#This Row],[Product ID]],SKU[],13,0)</f>
        <v>Brake</v>
      </c>
      <c r="AJ423" s="233">
        <f>VLOOKUP(Primary_Order[[#This Row],[Product ID]],SKU[[SKU ID]:[Bottle Size(Ltr)]],6,0)*Primary_Order[[#This Row],[Free Quantity]]</f>
        <v>0</v>
      </c>
      <c r="AK423" s="206" t="str">
        <f>VLOOKUP(Primary_Order[[#This Row],[Product ID]],SKU[[SKU ID]:[Bottle Size(Ltr)]],4,0)</f>
        <v>40x0.1L</v>
      </c>
      <c r="AL423" s="231">
        <f>VLOOKUP(Primary_Order[[#This Row],[Product ID]],SKU[],14,0)*Primary_Order[[#This Row],[Total Qty]]</f>
        <v>83853.649999999994</v>
      </c>
      <c r="AM423" s="231">
        <f>IF(Primary_Order[[#This Row],[Cost]]=0,0,Primary_Order[[#This Row],[Net Total(-15%)]]-Primary_Order[[#This Row],[Cost]])</f>
        <v>37085.480434782614</v>
      </c>
      <c r="AN423" s="206" t="str">
        <f>"O-"&amp;Primary_Order[[#This Row],[Date]]&amp;"-"&amp;Primary_Order[[#This Row],[MMD ID]]</f>
        <v>O-47847-D-0025</v>
      </c>
      <c r="AO423" s="206" t="str" cm="1">
        <f t="array" ref="AO42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424" spans="1:41" x14ac:dyDescent="0.5">
      <c r="A424" s="206" t="s">
        <v>1367</v>
      </c>
      <c r="B424" s="230">
        <v>45732</v>
      </c>
      <c r="C424" s="206" t="s">
        <v>139</v>
      </c>
      <c r="D424" s="206" t="s">
        <v>140</v>
      </c>
      <c r="E424" s="206" t="s">
        <v>1141</v>
      </c>
      <c r="F424" s="206">
        <v>1715299768</v>
      </c>
      <c r="G424" s="206" t="s">
        <v>83</v>
      </c>
      <c r="H424" s="206" t="s">
        <v>84</v>
      </c>
      <c r="I424" s="206" t="s">
        <v>140</v>
      </c>
      <c r="J424" s="206" t="s">
        <v>479</v>
      </c>
      <c r="K424" s="206" t="s">
        <v>53</v>
      </c>
      <c r="L424" s="206" t="str">
        <f>VLOOKUP(Primary_Order[[#This Row],[Product ID]],SKU[],3,0)</f>
        <v>3000 4T PLUS 20W40</v>
      </c>
      <c r="M424" s="231">
        <v>1000</v>
      </c>
      <c r="N424" s="231">
        <v>520</v>
      </c>
      <c r="O424" s="231">
        <v>1000</v>
      </c>
      <c r="P424" s="232">
        <v>9.6153846153845812E-3</v>
      </c>
      <c r="Q424" s="231">
        <v>0</v>
      </c>
      <c r="R424" s="231">
        <v>515</v>
      </c>
      <c r="S424" s="231">
        <v>1000</v>
      </c>
      <c r="T424" s="231">
        <v>1000</v>
      </c>
      <c r="U424" s="231">
        <v>520000</v>
      </c>
      <c r="V424" s="231">
        <v>0</v>
      </c>
      <c r="W424" s="231">
        <v>515000</v>
      </c>
      <c r="X424" s="231">
        <v>67173.913043478256</v>
      </c>
      <c r="Y424" s="231">
        <v>447826.08695652173</v>
      </c>
      <c r="Z424" s="206" t="s">
        <v>882</v>
      </c>
      <c r="AA424" s="206">
        <v>677</v>
      </c>
      <c r="AB424" s="206" t="s">
        <v>749</v>
      </c>
      <c r="AC424" s="230">
        <v>45734</v>
      </c>
      <c r="AD424" s="206" t="s">
        <v>50</v>
      </c>
      <c r="AE424" s="206" t="str">
        <f>IFERROR(VLOOKUP(Primary_Order[[#This Row],[AM]],SP!$E$19:$F$23,2,0),Primary_Order[[#This Row],[AM]])</f>
        <v>Northern</v>
      </c>
      <c r="AF424" s="206" t="str">
        <f>VLOOKUP(Primary_Order[[#This Row],[Product ID]],SKU[],10,0)</f>
        <v>Mineral</v>
      </c>
      <c r="AG424" s="206" t="str">
        <f>VLOOKUP(Primary_Order[[#This Row],[Product ID]],SKU[],9,0)</f>
        <v>MCO</v>
      </c>
      <c r="AH424" s="206" t="str">
        <f>VLOOKUP(Primary_Order[[#This Row],[Product ID]],SKU[],12,0)</f>
        <v>20W40</v>
      </c>
      <c r="AI424" s="206" t="str">
        <f>VLOOKUP(Primary_Order[[#This Row],[Product ID]],SKU[],13,0)</f>
        <v>3000</v>
      </c>
      <c r="AJ424" s="233">
        <f>VLOOKUP(Primary_Order[[#This Row],[Product ID]],SKU[[SKU ID]:[Bottle Size(Ltr)]],6,0)*Primary_Order[[#This Row],[Free Quantity]]</f>
        <v>0</v>
      </c>
      <c r="AK424" s="206" t="str">
        <f>VLOOKUP(Primary_Order[[#This Row],[Product ID]],SKU[[SKU ID]:[Bottle Size(Ltr)]],4,0)</f>
        <v>20x1L</v>
      </c>
      <c r="AL424" s="231">
        <f>VLOOKUP(Primary_Order[[#This Row],[Product ID]],SKU[],14,0)*Primary_Order[[#This Row],[Total Qty]]</f>
        <v>412760</v>
      </c>
      <c r="AM424" s="231">
        <f>IF(Primary_Order[[#This Row],[Cost]]=0,0,Primary_Order[[#This Row],[Net Total(-15%)]]-Primary_Order[[#This Row],[Cost]])</f>
        <v>35066.086956521729</v>
      </c>
      <c r="AN424" s="206" t="str">
        <f>"O-"&amp;Primary_Order[[#This Row],[Date]]&amp;"-"&amp;Primary_Order[[#This Row],[MMD ID]]</f>
        <v>O-45732-D-0005</v>
      </c>
      <c r="AO424" s="206" t="str" cm="1">
        <f t="array" ref="AO42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25" spans="1:41" x14ac:dyDescent="0.5">
      <c r="A425" s="206" t="s">
        <v>1367</v>
      </c>
      <c r="B425" s="230">
        <v>45732</v>
      </c>
      <c r="C425" s="206" t="s">
        <v>139</v>
      </c>
      <c r="D425" s="206" t="s">
        <v>140</v>
      </c>
      <c r="E425" s="206" t="s">
        <v>1141</v>
      </c>
      <c r="F425" s="206">
        <v>1715299768</v>
      </c>
      <c r="G425" s="206" t="s">
        <v>83</v>
      </c>
      <c r="H425" s="206" t="s">
        <v>84</v>
      </c>
      <c r="I425" s="206" t="s">
        <v>140</v>
      </c>
      <c r="J425" s="206" t="s">
        <v>479</v>
      </c>
      <c r="K425" s="206" t="s">
        <v>54</v>
      </c>
      <c r="L425" s="206" t="str">
        <f>VLOOKUP(Primary_Order[[#This Row],[Product ID]],SKU[],3,0)</f>
        <v>3000 4T PLUS 10W40</v>
      </c>
      <c r="M425" s="231">
        <v>1000</v>
      </c>
      <c r="N425" s="231">
        <v>520</v>
      </c>
      <c r="O425" s="231">
        <v>1000</v>
      </c>
      <c r="P425" s="232">
        <v>9.6153846153845812E-3</v>
      </c>
      <c r="Q425" s="231">
        <v>0</v>
      </c>
      <c r="R425" s="231">
        <v>515</v>
      </c>
      <c r="S425" s="231">
        <v>1000</v>
      </c>
      <c r="T425" s="231">
        <v>1000</v>
      </c>
      <c r="U425" s="231">
        <v>520000</v>
      </c>
      <c r="V425" s="231">
        <v>0</v>
      </c>
      <c r="W425" s="231">
        <v>515000</v>
      </c>
      <c r="X425" s="231">
        <v>67173.913043478256</v>
      </c>
      <c r="Y425" s="231">
        <v>447826.08695652173</v>
      </c>
      <c r="Z425" s="206" t="s">
        <v>882</v>
      </c>
      <c r="AA425" s="206">
        <v>677</v>
      </c>
      <c r="AB425" s="206" t="s">
        <v>749</v>
      </c>
      <c r="AC425" s="230">
        <v>45734</v>
      </c>
      <c r="AD425" s="206" t="s">
        <v>50</v>
      </c>
      <c r="AE425" s="206" t="str">
        <f>IFERROR(VLOOKUP(Primary_Order[[#This Row],[AM]],SP!$E$19:$F$23,2,0),Primary_Order[[#This Row],[AM]])</f>
        <v>Northern</v>
      </c>
      <c r="AF425" s="206" t="str">
        <f>VLOOKUP(Primary_Order[[#This Row],[Product ID]],SKU[],10,0)</f>
        <v>Mineral</v>
      </c>
      <c r="AG425" s="206" t="str">
        <f>VLOOKUP(Primary_Order[[#This Row],[Product ID]],SKU[],9,0)</f>
        <v>MCO</v>
      </c>
      <c r="AH425" s="206" t="str">
        <f>VLOOKUP(Primary_Order[[#This Row],[Product ID]],SKU[],12,0)</f>
        <v>10W40</v>
      </c>
      <c r="AI425" s="206" t="str">
        <f>VLOOKUP(Primary_Order[[#This Row],[Product ID]],SKU[],13,0)</f>
        <v>3000</v>
      </c>
      <c r="AJ425" s="233">
        <f>VLOOKUP(Primary_Order[[#This Row],[Product ID]],SKU[[SKU ID]:[Bottle Size(Ltr)]],6,0)*Primary_Order[[#This Row],[Free Quantity]]</f>
        <v>0</v>
      </c>
      <c r="AK425" s="206" t="str">
        <f>VLOOKUP(Primary_Order[[#This Row],[Product ID]],SKU[[SKU ID]:[Bottle Size(Ltr)]],4,0)</f>
        <v>20x1L</v>
      </c>
      <c r="AL425" s="231">
        <f>VLOOKUP(Primary_Order[[#This Row],[Product ID]],SKU[],14,0)*Primary_Order[[#This Row],[Total Qty]]</f>
        <v>384850</v>
      </c>
      <c r="AM425" s="231">
        <f>IF(Primary_Order[[#This Row],[Cost]]=0,0,Primary_Order[[#This Row],[Net Total(-15%)]]-Primary_Order[[#This Row],[Cost]])</f>
        <v>62976.086956521729</v>
      </c>
      <c r="AN425" s="206" t="str">
        <f>"O-"&amp;Primary_Order[[#This Row],[Date]]&amp;"-"&amp;Primary_Order[[#This Row],[MMD ID]]</f>
        <v>O-45732-D-0005</v>
      </c>
      <c r="AO425" s="206" t="str" cm="1">
        <f t="array" ref="AO42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26" spans="1:41" x14ac:dyDescent="0.5">
      <c r="A426" s="206" t="s">
        <v>1367</v>
      </c>
      <c r="B426" s="230">
        <v>45732</v>
      </c>
      <c r="C426" s="206" t="s">
        <v>139</v>
      </c>
      <c r="D426" s="206" t="s">
        <v>140</v>
      </c>
      <c r="E426" s="206" t="s">
        <v>1141</v>
      </c>
      <c r="F426" s="206">
        <v>1715299768</v>
      </c>
      <c r="G426" s="206" t="s">
        <v>83</v>
      </c>
      <c r="H426" s="206" t="s">
        <v>84</v>
      </c>
      <c r="I426" s="206" t="s">
        <v>140</v>
      </c>
      <c r="J426" s="206" t="s">
        <v>479</v>
      </c>
      <c r="K426" s="206" t="s">
        <v>81</v>
      </c>
      <c r="L426" s="206" t="str">
        <f>VLOOKUP(Primary_Order[[#This Row],[Product ID]],SKU[],3,0)</f>
        <v>3000 4T 20W50</v>
      </c>
      <c r="M426" s="231">
        <v>3000</v>
      </c>
      <c r="N426" s="231">
        <v>450</v>
      </c>
      <c r="O426" s="231">
        <v>3000</v>
      </c>
      <c r="P426" s="232">
        <v>4.8888888888888871E-2</v>
      </c>
      <c r="Q426" s="231">
        <v>0</v>
      </c>
      <c r="R426" s="231">
        <v>428</v>
      </c>
      <c r="S426" s="231">
        <v>3000</v>
      </c>
      <c r="T426" s="231">
        <v>3000</v>
      </c>
      <c r="U426" s="231">
        <v>1350000</v>
      </c>
      <c r="V426" s="231">
        <v>0</v>
      </c>
      <c r="W426" s="231">
        <v>1284000</v>
      </c>
      <c r="X426" s="231">
        <v>167478.26086956522</v>
      </c>
      <c r="Y426" s="231">
        <v>1116521.7391304348</v>
      </c>
      <c r="Z426" s="206" t="s">
        <v>882</v>
      </c>
      <c r="AA426" s="206">
        <v>677</v>
      </c>
      <c r="AB426" s="206" t="s">
        <v>749</v>
      </c>
      <c r="AC426" s="230">
        <v>45734</v>
      </c>
      <c r="AD426" s="206" t="s">
        <v>50</v>
      </c>
      <c r="AE426" s="206" t="str">
        <f>IFERROR(VLOOKUP(Primary_Order[[#This Row],[AM]],SP!$E$19:$F$23,2,0),Primary_Order[[#This Row],[AM]])</f>
        <v>Northern</v>
      </c>
      <c r="AF426" s="206" t="str">
        <f>VLOOKUP(Primary_Order[[#This Row],[Product ID]],SKU[],10,0)</f>
        <v>Mineral</v>
      </c>
      <c r="AG426" s="206" t="str">
        <f>VLOOKUP(Primary_Order[[#This Row],[Product ID]],SKU[],9,0)</f>
        <v>MCO</v>
      </c>
      <c r="AH426" s="206" t="str">
        <f>VLOOKUP(Primary_Order[[#This Row],[Product ID]],SKU[],12,0)</f>
        <v>20W50</v>
      </c>
      <c r="AI426" s="206" t="str">
        <f>VLOOKUP(Primary_Order[[#This Row],[Product ID]],SKU[],13,0)</f>
        <v>3000</v>
      </c>
      <c r="AJ426" s="233">
        <f>VLOOKUP(Primary_Order[[#This Row],[Product ID]],SKU[[SKU ID]:[Bottle Size(Ltr)]],6,0)*Primary_Order[[#This Row],[Free Quantity]]</f>
        <v>0</v>
      </c>
      <c r="AK426" s="206" t="str">
        <f>VLOOKUP(Primary_Order[[#This Row],[Product ID]],SKU[[SKU ID]:[Bottle Size(Ltr)]],4,0)</f>
        <v>20x1L</v>
      </c>
      <c r="AL426" s="231">
        <f>VLOOKUP(Primary_Order[[#This Row],[Product ID]],SKU[],14,0)*Primary_Order[[#This Row],[Total Qty]]</f>
        <v>1094760</v>
      </c>
      <c r="AM426" s="231">
        <f>IF(Primary_Order[[#This Row],[Cost]]=0,0,Primary_Order[[#This Row],[Net Total(-15%)]]-Primary_Order[[#This Row],[Cost]])</f>
        <v>21761.739130434813</v>
      </c>
      <c r="AN426" s="206" t="str">
        <f>"O-"&amp;Primary_Order[[#This Row],[Date]]&amp;"-"&amp;Primary_Order[[#This Row],[MMD ID]]</f>
        <v>O-45732-D-0005</v>
      </c>
      <c r="AO426" s="206" t="str" cm="1">
        <f t="array" ref="AO42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27" spans="1:41" x14ac:dyDescent="0.5">
      <c r="A427" s="206" t="s">
        <v>1368</v>
      </c>
      <c r="B427" s="230">
        <v>45733</v>
      </c>
      <c r="C427" s="206" t="s">
        <v>116</v>
      </c>
      <c r="D427" s="206" t="s">
        <v>1356</v>
      </c>
      <c r="E427" s="206" t="s">
        <v>1369</v>
      </c>
      <c r="F427" s="206" t="s">
        <v>1370</v>
      </c>
      <c r="G427" s="206" t="s">
        <v>79</v>
      </c>
      <c r="H427" s="206" t="s">
        <v>40</v>
      </c>
      <c r="I427" s="206" t="s">
        <v>284</v>
      </c>
      <c r="J427" s="206" t="s">
        <v>285</v>
      </c>
      <c r="K427" s="206" t="s">
        <v>33</v>
      </c>
      <c r="L427" s="206" t="str">
        <f>VLOOKUP(Primary_Order[[#This Row],[Product ID]],SKU[],3,0)</f>
        <v>3000 4T PLUS 20W40</v>
      </c>
      <c r="M427" s="231">
        <v>200</v>
      </c>
      <c r="N427" s="231">
        <v>645</v>
      </c>
      <c r="O427" s="231">
        <v>240</v>
      </c>
      <c r="P427" s="232">
        <v>0</v>
      </c>
      <c r="Q427" s="231">
        <v>0</v>
      </c>
      <c r="R427" s="231">
        <v>645</v>
      </c>
      <c r="S427" s="231">
        <v>200</v>
      </c>
      <c r="T427" s="231">
        <v>240</v>
      </c>
      <c r="U427" s="231">
        <v>129000</v>
      </c>
      <c r="V427" s="231">
        <v>0</v>
      </c>
      <c r="W427" s="231">
        <v>129000</v>
      </c>
      <c r="X427" s="231">
        <v>16826.08695652174</v>
      </c>
      <c r="Y427" s="231">
        <v>112173.91304347826</v>
      </c>
      <c r="Z427" s="206" t="s">
        <v>882</v>
      </c>
      <c r="AA427" s="206">
        <v>678</v>
      </c>
      <c r="AB427" s="206" t="s">
        <v>1170</v>
      </c>
      <c r="AC427" s="230">
        <v>45735</v>
      </c>
      <c r="AD427" s="206" t="s">
        <v>1357</v>
      </c>
      <c r="AE427" s="206" t="str">
        <f>IFERROR(VLOOKUP(Primary_Order[[#This Row],[AM]],SP!$E$19:$F$23,2,0),Primary_Order[[#This Row],[AM]])</f>
        <v>Central</v>
      </c>
      <c r="AF427" s="206" t="str">
        <f>VLOOKUP(Primary_Order[[#This Row],[Product ID]],SKU[],10,0)</f>
        <v>Mineral</v>
      </c>
      <c r="AG427" s="206" t="str">
        <f>VLOOKUP(Primary_Order[[#This Row],[Product ID]],SKU[],9,0)</f>
        <v>MCO</v>
      </c>
      <c r="AH427" s="206" t="str">
        <f>VLOOKUP(Primary_Order[[#This Row],[Product ID]],SKU[],12,0)</f>
        <v>20W40</v>
      </c>
      <c r="AI427" s="206" t="str">
        <f>VLOOKUP(Primary_Order[[#This Row],[Product ID]],SKU[],13,0)</f>
        <v>3000</v>
      </c>
      <c r="AJ427" s="233">
        <f>VLOOKUP(Primary_Order[[#This Row],[Product ID]],SKU[[SKU ID]:[Bottle Size(Ltr)]],6,0)*Primary_Order[[#This Row],[Free Quantity]]</f>
        <v>0</v>
      </c>
      <c r="AK427" s="206" t="str">
        <f>VLOOKUP(Primary_Order[[#This Row],[Product ID]],SKU[[SKU ID]:[Bottle Size(Ltr)]],4,0)</f>
        <v>20x1.2L</v>
      </c>
      <c r="AL427" s="231">
        <f>VLOOKUP(Primary_Order[[#This Row],[Product ID]],SKU[],14,0)*Primary_Order[[#This Row],[Total Qty]]</f>
        <v>93979.559070121948</v>
      </c>
      <c r="AM427" s="231">
        <f>IF(Primary_Order[[#This Row],[Cost]]=0,0,Primary_Order[[#This Row],[Net Total(-15%)]]-Primary_Order[[#This Row],[Cost]])</f>
        <v>18194.353973356308</v>
      </c>
      <c r="AN427" s="206" t="str">
        <f>"O-"&amp;Primary_Order[[#This Row],[Date]]&amp;"-"&amp;Primary_Order[[#This Row],[MMD ID]]</f>
        <v>O-45733-D-0009</v>
      </c>
      <c r="AO427" s="206" t="str" cm="1">
        <f t="array" ref="AO42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28" spans="1:41" x14ac:dyDescent="0.5">
      <c r="A428" s="206" t="s">
        <v>1368</v>
      </c>
      <c r="B428" s="230">
        <v>45733</v>
      </c>
      <c r="C428" s="206" t="s">
        <v>116</v>
      </c>
      <c r="D428" s="206" t="s">
        <v>1356</v>
      </c>
      <c r="E428" s="206" t="s">
        <v>1369</v>
      </c>
      <c r="F428" s="206" t="s">
        <v>1370</v>
      </c>
      <c r="G428" s="206" t="s">
        <v>79</v>
      </c>
      <c r="H428" s="206" t="s">
        <v>40</v>
      </c>
      <c r="I428" s="206" t="s">
        <v>284</v>
      </c>
      <c r="J428" s="206" t="s">
        <v>285</v>
      </c>
      <c r="K428" s="206" t="s">
        <v>57</v>
      </c>
      <c r="L428" s="206" t="str">
        <f>VLOOKUP(Primary_Order[[#This Row],[Product ID]],SKU[],3,0)</f>
        <v>7100 4T 10W40 ESTER CORE®</v>
      </c>
      <c r="M428" s="231">
        <v>240</v>
      </c>
      <c r="N428" s="231">
        <v>1070</v>
      </c>
      <c r="O428" s="231">
        <v>240</v>
      </c>
      <c r="P428" s="232">
        <v>1.8691588785046731E-2</v>
      </c>
      <c r="Q428" s="231">
        <v>0</v>
      </c>
      <c r="R428" s="231">
        <v>1050</v>
      </c>
      <c r="S428" s="231">
        <v>240</v>
      </c>
      <c r="T428" s="231">
        <v>240</v>
      </c>
      <c r="U428" s="231">
        <v>256800</v>
      </c>
      <c r="V428" s="231">
        <v>0</v>
      </c>
      <c r="W428" s="231">
        <v>252000</v>
      </c>
      <c r="X428" s="231">
        <v>32869.565217391304</v>
      </c>
      <c r="Y428" s="231">
        <v>219130.4347826087</v>
      </c>
      <c r="Z428" s="206" t="s">
        <v>882</v>
      </c>
      <c r="AA428" s="206">
        <v>678</v>
      </c>
      <c r="AB428" s="206" t="s">
        <v>1170</v>
      </c>
      <c r="AC428" s="230">
        <v>45735</v>
      </c>
      <c r="AD428" s="206" t="s">
        <v>1357</v>
      </c>
      <c r="AE428" s="206" t="str">
        <f>IFERROR(VLOOKUP(Primary_Order[[#This Row],[AM]],SP!$E$19:$F$23,2,0),Primary_Order[[#This Row],[AM]])</f>
        <v>Central</v>
      </c>
      <c r="AF428" s="206" t="str">
        <f>VLOOKUP(Primary_Order[[#This Row],[Product ID]],SKU[],10,0)</f>
        <v>Synthetic</v>
      </c>
      <c r="AG428" s="206" t="str">
        <f>VLOOKUP(Primary_Order[[#This Row],[Product ID]],SKU[],9,0)</f>
        <v>MCO</v>
      </c>
      <c r="AH428" s="206" t="str">
        <f>VLOOKUP(Primary_Order[[#This Row],[Product ID]],SKU[],12,0)</f>
        <v>10W40</v>
      </c>
      <c r="AI428" s="206" t="str">
        <f>VLOOKUP(Primary_Order[[#This Row],[Product ID]],SKU[],13,0)</f>
        <v>7100</v>
      </c>
      <c r="AJ428" s="233">
        <f>VLOOKUP(Primary_Order[[#This Row],[Product ID]],SKU[[SKU ID]:[Bottle Size(Ltr)]],6,0)*Primary_Order[[#This Row],[Free Quantity]]</f>
        <v>0</v>
      </c>
      <c r="AK428" s="206" t="str">
        <f>VLOOKUP(Primary_Order[[#This Row],[Product ID]],SKU[[SKU ID]:[Bottle Size(Ltr)]],4,0)</f>
        <v>12x1L</v>
      </c>
      <c r="AL428" s="231">
        <f>VLOOKUP(Primary_Order[[#This Row],[Product ID]],SKU[],14,0)*Primary_Order[[#This Row],[Total Qty]]</f>
        <v>166557.6</v>
      </c>
      <c r="AM428" s="231">
        <f>IF(Primary_Order[[#This Row],[Cost]]=0,0,Primary_Order[[#This Row],[Net Total(-15%)]]-Primary_Order[[#This Row],[Cost]])</f>
        <v>52572.834782608697</v>
      </c>
      <c r="AN428" s="206" t="str">
        <f>"O-"&amp;Primary_Order[[#This Row],[Date]]&amp;"-"&amp;Primary_Order[[#This Row],[MMD ID]]</f>
        <v>O-45733-D-0009</v>
      </c>
      <c r="AO428" s="206" t="str" cm="1">
        <f t="array" ref="AO42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29" spans="1:41" x14ac:dyDescent="0.5">
      <c r="A429" s="206" t="s">
        <v>1368</v>
      </c>
      <c r="B429" s="230">
        <v>45733</v>
      </c>
      <c r="C429" s="206" t="s">
        <v>116</v>
      </c>
      <c r="D429" s="206" t="s">
        <v>1356</v>
      </c>
      <c r="E429" s="206" t="s">
        <v>1369</v>
      </c>
      <c r="F429" s="206" t="s">
        <v>1370</v>
      </c>
      <c r="G429" s="206" t="s">
        <v>79</v>
      </c>
      <c r="H429" s="206" t="s">
        <v>40</v>
      </c>
      <c r="I429" s="206" t="s">
        <v>284</v>
      </c>
      <c r="J429" s="206" t="s">
        <v>285</v>
      </c>
      <c r="K429" s="206" t="s">
        <v>107</v>
      </c>
      <c r="L429" s="206" t="str">
        <f>VLOOKUP(Primary_Order[[#This Row],[Product ID]],SKU[],3,0)</f>
        <v>Brake Fluid DOT 4</v>
      </c>
      <c r="M429" s="231">
        <v>80</v>
      </c>
      <c r="N429" s="231">
        <v>127.5</v>
      </c>
      <c r="O429" s="231">
        <v>8</v>
      </c>
      <c r="P429" s="232">
        <v>0</v>
      </c>
      <c r="Q429" s="231">
        <v>0</v>
      </c>
      <c r="R429" s="231">
        <v>127.5</v>
      </c>
      <c r="S429" s="231">
        <v>80</v>
      </c>
      <c r="T429" s="231">
        <v>8</v>
      </c>
      <c r="U429" s="231">
        <v>10200</v>
      </c>
      <c r="V429" s="231">
        <v>0</v>
      </c>
      <c r="W429" s="231">
        <v>10200</v>
      </c>
      <c r="X429" s="231">
        <v>1330.4347826086957</v>
      </c>
      <c r="Y429" s="231">
        <v>8869.565217391304</v>
      </c>
      <c r="Z429" s="206" t="s">
        <v>882</v>
      </c>
      <c r="AA429" s="206">
        <v>678</v>
      </c>
      <c r="AB429" s="206" t="s">
        <v>1170</v>
      </c>
      <c r="AC429" s="230">
        <v>45735</v>
      </c>
      <c r="AD429" s="206" t="s">
        <v>1357</v>
      </c>
      <c r="AE429" s="206" t="str">
        <f>IFERROR(VLOOKUP(Primary_Order[[#This Row],[AM]],SP!$E$19:$F$23,2,0),Primary_Order[[#This Row],[AM]])</f>
        <v>Central</v>
      </c>
      <c r="AF429" s="206" t="str">
        <f>VLOOKUP(Primary_Order[[#This Row],[Product ID]],SKU[],10,0)</f>
        <v>Care Products</v>
      </c>
      <c r="AG429" s="206" t="str">
        <f>VLOOKUP(Primary_Order[[#This Row],[Product ID]],SKU[],9,0)</f>
        <v>Care Products</v>
      </c>
      <c r="AH429" s="206" t="str">
        <f>VLOOKUP(Primary_Order[[#This Row],[Product ID]],SKU[],12,0)</f>
        <v>Care Products</v>
      </c>
      <c r="AI429" s="206" t="str">
        <f>VLOOKUP(Primary_Order[[#This Row],[Product ID]],SKU[],13,0)</f>
        <v>Brake</v>
      </c>
      <c r="AJ429" s="233">
        <f>VLOOKUP(Primary_Order[[#This Row],[Product ID]],SKU[[SKU ID]:[Bottle Size(Ltr)]],6,0)*Primary_Order[[#This Row],[Free Quantity]]</f>
        <v>0</v>
      </c>
      <c r="AK429" s="206" t="str">
        <f>VLOOKUP(Primary_Order[[#This Row],[Product ID]],SKU[[SKU ID]:[Bottle Size(Ltr)]],4,0)</f>
        <v>40x0.1L</v>
      </c>
      <c r="AL429" s="231">
        <f>VLOOKUP(Primary_Order[[#This Row],[Product ID]],SKU[],14,0)*Primary_Order[[#This Row],[Total Qty]]</f>
        <v>5788</v>
      </c>
      <c r="AM429" s="231">
        <f>IF(Primary_Order[[#This Row],[Cost]]=0,0,Primary_Order[[#This Row],[Net Total(-15%)]]-Primary_Order[[#This Row],[Cost]])</f>
        <v>3081.565217391304</v>
      </c>
      <c r="AN429" s="206" t="str">
        <f>"O-"&amp;Primary_Order[[#This Row],[Date]]&amp;"-"&amp;Primary_Order[[#This Row],[MMD ID]]</f>
        <v>O-45733-D-0009</v>
      </c>
      <c r="AO429" s="206" t="str" cm="1">
        <f t="array" ref="AO42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0" spans="1:41" x14ac:dyDescent="0.5">
      <c r="A430" s="206" t="s">
        <v>1382</v>
      </c>
      <c r="B430" s="230">
        <v>45735</v>
      </c>
      <c r="C430" s="206" t="s">
        <v>108</v>
      </c>
      <c r="D430" s="206" t="s">
        <v>1363</v>
      </c>
      <c r="E430" s="206" t="s">
        <v>1364</v>
      </c>
      <c r="F430" s="206">
        <v>1944283828</v>
      </c>
      <c r="G430" s="206" t="s">
        <v>280</v>
      </c>
      <c r="H430" s="206" t="s">
        <v>84</v>
      </c>
      <c r="I430" s="206" t="s">
        <v>109</v>
      </c>
      <c r="J430" s="206" t="s">
        <v>282</v>
      </c>
      <c r="K430" s="206" t="s">
        <v>53</v>
      </c>
      <c r="L430" s="206" t="str">
        <f>VLOOKUP(Primary_Order[[#This Row],[Product ID]],SKU[],3,0)</f>
        <v>3000 4T PLUS 20W40</v>
      </c>
      <c r="M430" s="231">
        <v>40</v>
      </c>
      <c r="N430" s="231">
        <v>540</v>
      </c>
      <c r="O430" s="231">
        <v>40</v>
      </c>
      <c r="P430" s="232">
        <v>0</v>
      </c>
      <c r="Q430" s="231">
        <v>0</v>
      </c>
      <c r="R430" s="231">
        <v>540</v>
      </c>
      <c r="S430" s="231">
        <v>40</v>
      </c>
      <c r="T430" s="231">
        <v>40</v>
      </c>
      <c r="U430" s="231">
        <v>21600</v>
      </c>
      <c r="V430" s="231">
        <v>0</v>
      </c>
      <c r="W430" s="231">
        <v>21600</v>
      </c>
      <c r="X430" s="231">
        <v>2817.391304347826</v>
      </c>
      <c r="Y430" s="231">
        <v>18782.608695652172</v>
      </c>
      <c r="Z430" s="206" t="s">
        <v>882</v>
      </c>
      <c r="AA430" s="206">
        <v>679</v>
      </c>
      <c r="AB430" s="206" t="s">
        <v>749</v>
      </c>
      <c r="AC430" s="230">
        <v>45739</v>
      </c>
      <c r="AD430" s="206" t="s">
        <v>50</v>
      </c>
      <c r="AE430" s="206" t="str">
        <f>IFERROR(VLOOKUP(Primary_Order[[#This Row],[AM]],SP!$E$19:$F$23,2,0),Primary_Order[[#This Row],[AM]])</f>
        <v>Northern</v>
      </c>
      <c r="AF430" s="206" t="str">
        <f>VLOOKUP(Primary_Order[[#This Row],[Product ID]],SKU[],10,0)</f>
        <v>Mineral</v>
      </c>
      <c r="AG430" s="206" t="str">
        <f>VLOOKUP(Primary_Order[[#This Row],[Product ID]],SKU[],9,0)</f>
        <v>MCO</v>
      </c>
      <c r="AH430" s="206" t="str">
        <f>VLOOKUP(Primary_Order[[#This Row],[Product ID]],SKU[],12,0)</f>
        <v>20W40</v>
      </c>
      <c r="AI430" s="206" t="str">
        <f>VLOOKUP(Primary_Order[[#This Row],[Product ID]],SKU[],13,0)</f>
        <v>3000</v>
      </c>
      <c r="AJ430" s="233">
        <f>VLOOKUP(Primary_Order[[#This Row],[Product ID]],SKU[[SKU ID]:[Bottle Size(Ltr)]],6,0)*Primary_Order[[#This Row],[Free Quantity]]</f>
        <v>0</v>
      </c>
      <c r="AK430" s="206" t="str">
        <f>VLOOKUP(Primary_Order[[#This Row],[Product ID]],SKU[[SKU ID]:[Bottle Size(Ltr)]],4,0)</f>
        <v>20x1L</v>
      </c>
      <c r="AL430" s="231">
        <f>VLOOKUP(Primary_Order[[#This Row],[Product ID]],SKU[],14,0)*Primary_Order[[#This Row],[Total Qty]]</f>
        <v>16510.400000000001</v>
      </c>
      <c r="AM430" s="231">
        <f>IF(Primary_Order[[#This Row],[Cost]]=0,0,Primary_Order[[#This Row],[Net Total(-15%)]]-Primary_Order[[#This Row],[Cost]])</f>
        <v>2272.2086956521707</v>
      </c>
      <c r="AN430" s="206" t="str">
        <f>"O-"&amp;Primary_Order[[#This Row],[Date]]&amp;"-"&amp;Primary_Order[[#This Row],[MMD ID]]</f>
        <v>O-45735-D-0023</v>
      </c>
      <c r="AO430" s="206" t="str" cm="1">
        <f t="array" ref="AO43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1" spans="1:41" x14ac:dyDescent="0.5">
      <c r="A431" s="206" t="s">
        <v>1382</v>
      </c>
      <c r="B431" s="230">
        <v>45735</v>
      </c>
      <c r="C431" s="206" t="s">
        <v>108</v>
      </c>
      <c r="D431" s="206" t="s">
        <v>1363</v>
      </c>
      <c r="E431" s="206" t="s">
        <v>1364</v>
      </c>
      <c r="F431" s="206">
        <v>1944283828</v>
      </c>
      <c r="G431" s="206" t="s">
        <v>280</v>
      </c>
      <c r="H431" s="206" t="s">
        <v>84</v>
      </c>
      <c r="I431" s="206" t="s">
        <v>109</v>
      </c>
      <c r="J431" s="206" t="s">
        <v>282</v>
      </c>
      <c r="K431" s="206" t="s">
        <v>54</v>
      </c>
      <c r="L431" s="206" t="str">
        <f>VLOOKUP(Primary_Order[[#This Row],[Product ID]],SKU[],3,0)</f>
        <v>3000 4T PLUS 10W40</v>
      </c>
      <c r="M431" s="231">
        <v>120</v>
      </c>
      <c r="N431" s="231">
        <v>540</v>
      </c>
      <c r="O431" s="231">
        <v>120</v>
      </c>
      <c r="P431" s="232">
        <v>0</v>
      </c>
      <c r="Q431" s="231">
        <v>0</v>
      </c>
      <c r="R431" s="231">
        <v>540</v>
      </c>
      <c r="S431" s="231">
        <v>120</v>
      </c>
      <c r="T431" s="231">
        <v>120</v>
      </c>
      <c r="U431" s="231">
        <v>64800</v>
      </c>
      <c r="V431" s="231">
        <v>0</v>
      </c>
      <c r="W431" s="231">
        <v>64800</v>
      </c>
      <c r="X431" s="231">
        <v>8452.173913043478</v>
      </c>
      <c r="Y431" s="231">
        <v>56347.82608695652</v>
      </c>
      <c r="Z431" s="206" t="s">
        <v>882</v>
      </c>
      <c r="AA431" s="206">
        <v>679</v>
      </c>
      <c r="AB431" s="206" t="s">
        <v>749</v>
      </c>
      <c r="AC431" s="230">
        <v>45739</v>
      </c>
      <c r="AD431" s="206" t="s">
        <v>50</v>
      </c>
      <c r="AE431" s="206" t="str">
        <f>IFERROR(VLOOKUP(Primary_Order[[#This Row],[AM]],SP!$E$19:$F$23,2,0),Primary_Order[[#This Row],[AM]])</f>
        <v>Northern</v>
      </c>
      <c r="AF431" s="206" t="str">
        <f>VLOOKUP(Primary_Order[[#This Row],[Product ID]],SKU[],10,0)</f>
        <v>Mineral</v>
      </c>
      <c r="AG431" s="206" t="str">
        <f>VLOOKUP(Primary_Order[[#This Row],[Product ID]],SKU[],9,0)</f>
        <v>MCO</v>
      </c>
      <c r="AH431" s="206" t="str">
        <f>VLOOKUP(Primary_Order[[#This Row],[Product ID]],SKU[],12,0)</f>
        <v>10W40</v>
      </c>
      <c r="AI431" s="206" t="str">
        <f>VLOOKUP(Primary_Order[[#This Row],[Product ID]],SKU[],13,0)</f>
        <v>3000</v>
      </c>
      <c r="AJ431" s="233">
        <f>VLOOKUP(Primary_Order[[#This Row],[Product ID]],SKU[[SKU ID]:[Bottle Size(Ltr)]],6,0)*Primary_Order[[#This Row],[Free Quantity]]</f>
        <v>0</v>
      </c>
      <c r="AK431" s="206" t="str">
        <f>VLOOKUP(Primary_Order[[#This Row],[Product ID]],SKU[[SKU ID]:[Bottle Size(Ltr)]],4,0)</f>
        <v>20x1L</v>
      </c>
      <c r="AL431" s="231">
        <f>VLOOKUP(Primary_Order[[#This Row],[Product ID]],SKU[],14,0)*Primary_Order[[#This Row],[Total Qty]]</f>
        <v>46182</v>
      </c>
      <c r="AM431" s="231">
        <f>IF(Primary_Order[[#This Row],[Cost]]=0,0,Primary_Order[[#This Row],[Net Total(-15%)]]-Primary_Order[[#This Row],[Cost]])</f>
        <v>10165.82608695652</v>
      </c>
      <c r="AN431" s="206" t="str">
        <f>"O-"&amp;Primary_Order[[#This Row],[Date]]&amp;"-"&amp;Primary_Order[[#This Row],[MMD ID]]</f>
        <v>O-45735-D-0023</v>
      </c>
      <c r="AO431" s="206" t="str" cm="1">
        <f t="array" ref="AO43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2" spans="1:41" x14ac:dyDescent="0.5">
      <c r="A432" s="206" t="s">
        <v>1382</v>
      </c>
      <c r="B432" s="230">
        <v>45735</v>
      </c>
      <c r="C432" s="206" t="s">
        <v>108</v>
      </c>
      <c r="D432" s="206" t="s">
        <v>1363</v>
      </c>
      <c r="E432" s="206" t="s">
        <v>1364</v>
      </c>
      <c r="F432" s="206">
        <v>1944283828</v>
      </c>
      <c r="G432" s="206" t="s">
        <v>280</v>
      </c>
      <c r="H432" s="206" t="s">
        <v>84</v>
      </c>
      <c r="I432" s="206" t="s">
        <v>109</v>
      </c>
      <c r="J432" s="206" t="s">
        <v>282</v>
      </c>
      <c r="K432" s="206" t="s">
        <v>81</v>
      </c>
      <c r="L432" s="206" t="str">
        <f>VLOOKUP(Primary_Order[[#This Row],[Product ID]],SKU[],3,0)</f>
        <v>3000 4T 20W50</v>
      </c>
      <c r="M432" s="231">
        <v>40</v>
      </c>
      <c r="N432" s="231">
        <v>480</v>
      </c>
      <c r="O432" s="231">
        <v>40</v>
      </c>
      <c r="P432" s="232">
        <v>0</v>
      </c>
      <c r="Q432" s="231">
        <v>0</v>
      </c>
      <c r="R432" s="231">
        <v>480</v>
      </c>
      <c r="S432" s="231">
        <v>40</v>
      </c>
      <c r="T432" s="231">
        <v>40</v>
      </c>
      <c r="U432" s="231">
        <v>19200</v>
      </c>
      <c r="V432" s="231">
        <v>0</v>
      </c>
      <c r="W432" s="231">
        <v>19200</v>
      </c>
      <c r="X432" s="231">
        <v>2504.3478260869565</v>
      </c>
      <c r="Y432" s="231">
        <v>16695.652173913044</v>
      </c>
      <c r="Z432" s="206" t="s">
        <v>882</v>
      </c>
      <c r="AA432" s="206">
        <v>679</v>
      </c>
      <c r="AB432" s="206" t="s">
        <v>749</v>
      </c>
      <c r="AC432" s="230">
        <v>45739</v>
      </c>
      <c r="AD432" s="206" t="s">
        <v>50</v>
      </c>
      <c r="AE432" s="206" t="str">
        <f>IFERROR(VLOOKUP(Primary_Order[[#This Row],[AM]],SP!$E$19:$F$23,2,0),Primary_Order[[#This Row],[AM]])</f>
        <v>Northern</v>
      </c>
      <c r="AF432" s="206" t="str">
        <f>VLOOKUP(Primary_Order[[#This Row],[Product ID]],SKU[],10,0)</f>
        <v>Mineral</v>
      </c>
      <c r="AG432" s="206" t="str">
        <f>VLOOKUP(Primary_Order[[#This Row],[Product ID]],SKU[],9,0)</f>
        <v>MCO</v>
      </c>
      <c r="AH432" s="206" t="str">
        <f>VLOOKUP(Primary_Order[[#This Row],[Product ID]],SKU[],12,0)</f>
        <v>20W50</v>
      </c>
      <c r="AI432" s="206" t="str">
        <f>VLOOKUP(Primary_Order[[#This Row],[Product ID]],SKU[],13,0)</f>
        <v>3000</v>
      </c>
      <c r="AJ432" s="233">
        <f>VLOOKUP(Primary_Order[[#This Row],[Product ID]],SKU[[SKU ID]:[Bottle Size(Ltr)]],6,0)*Primary_Order[[#This Row],[Free Quantity]]</f>
        <v>0</v>
      </c>
      <c r="AK432" s="206" t="str">
        <f>VLOOKUP(Primary_Order[[#This Row],[Product ID]],SKU[[SKU ID]:[Bottle Size(Ltr)]],4,0)</f>
        <v>20x1L</v>
      </c>
      <c r="AL432" s="231">
        <f>VLOOKUP(Primary_Order[[#This Row],[Product ID]],SKU[],14,0)*Primary_Order[[#This Row],[Total Qty]]</f>
        <v>14596.800000000001</v>
      </c>
      <c r="AM432" s="231">
        <f>IF(Primary_Order[[#This Row],[Cost]]=0,0,Primary_Order[[#This Row],[Net Total(-15%)]]-Primary_Order[[#This Row],[Cost]])</f>
        <v>2098.8521739130429</v>
      </c>
      <c r="AN432" s="206" t="str">
        <f>"O-"&amp;Primary_Order[[#This Row],[Date]]&amp;"-"&amp;Primary_Order[[#This Row],[MMD ID]]</f>
        <v>O-45735-D-0023</v>
      </c>
      <c r="AO432" s="206" t="str" cm="1">
        <f t="array" ref="AO43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3" spans="1:41" x14ac:dyDescent="0.5">
      <c r="A433" s="206" t="s">
        <v>1383</v>
      </c>
      <c r="B433" s="230">
        <v>45735</v>
      </c>
      <c r="C433" s="206" t="s">
        <v>115</v>
      </c>
      <c r="D433" s="206" t="s">
        <v>70</v>
      </c>
      <c r="E433" s="206" t="s">
        <v>1247</v>
      </c>
      <c r="F433" s="206" t="s">
        <v>1365</v>
      </c>
      <c r="G433" s="206" t="s">
        <v>79</v>
      </c>
      <c r="H433" s="206" t="s">
        <v>40</v>
      </c>
      <c r="I433" s="206" t="s">
        <v>70</v>
      </c>
      <c r="J433" s="206" t="s">
        <v>80</v>
      </c>
      <c r="K433" s="206" t="s">
        <v>43</v>
      </c>
      <c r="L433" s="206" t="str">
        <f>VLOOKUP(Primary_Order[[#This Row],[Product ID]],SKU[],3,0)</f>
        <v>7100 4T 10W30 ESTER CORE®</v>
      </c>
      <c r="M433" s="231">
        <v>100</v>
      </c>
      <c r="N433" s="231">
        <v>1295</v>
      </c>
      <c r="O433" s="231">
        <v>120</v>
      </c>
      <c r="P433" s="232">
        <v>2.7027027027026973E-2</v>
      </c>
      <c r="Q433" s="231">
        <v>0</v>
      </c>
      <c r="R433" s="231">
        <v>1260</v>
      </c>
      <c r="S433" s="231">
        <v>100</v>
      </c>
      <c r="T433" s="231">
        <v>120</v>
      </c>
      <c r="U433" s="231">
        <v>129500</v>
      </c>
      <c r="V433" s="231">
        <v>0</v>
      </c>
      <c r="W433" s="231">
        <v>126000</v>
      </c>
      <c r="X433" s="231">
        <v>16434.782608695652</v>
      </c>
      <c r="Y433" s="231">
        <v>109565.21739130435</v>
      </c>
      <c r="Z433" s="206" t="s">
        <v>882</v>
      </c>
      <c r="AA433" s="206">
        <v>680</v>
      </c>
      <c r="AB433" s="206" t="s">
        <v>1170</v>
      </c>
      <c r="AC433" s="230">
        <v>45739</v>
      </c>
      <c r="AD433" s="206" t="s">
        <v>1336</v>
      </c>
      <c r="AE433" s="206" t="str">
        <f>IFERROR(VLOOKUP(Primary_Order[[#This Row],[AM]],SP!$E$19:$F$23,2,0),Primary_Order[[#This Row],[AM]])</f>
        <v>Central</v>
      </c>
      <c r="AF433" s="206" t="str">
        <f>VLOOKUP(Primary_Order[[#This Row],[Product ID]],SKU[],10,0)</f>
        <v>Synthetic</v>
      </c>
      <c r="AG433" s="206" t="str">
        <f>VLOOKUP(Primary_Order[[#This Row],[Product ID]],SKU[],9,0)</f>
        <v>MCO</v>
      </c>
      <c r="AH433" s="206" t="str">
        <f>VLOOKUP(Primary_Order[[#This Row],[Product ID]],SKU[],12,0)</f>
        <v>10W30</v>
      </c>
      <c r="AI433" s="206" t="str">
        <f>VLOOKUP(Primary_Order[[#This Row],[Product ID]],SKU[],13,0)</f>
        <v>7100</v>
      </c>
      <c r="AJ433" s="233">
        <f>VLOOKUP(Primary_Order[[#This Row],[Product ID]],SKU[[SKU ID]:[Bottle Size(Ltr)]],6,0)*Primary_Order[[#This Row],[Free Quantity]]</f>
        <v>0</v>
      </c>
      <c r="AK433" s="206" t="str">
        <f>VLOOKUP(Primary_Order[[#This Row],[Product ID]],SKU[[SKU ID]:[Bottle Size(Ltr)]],4,0)</f>
        <v>20x1.2L</v>
      </c>
      <c r="AL433" s="231">
        <f>VLOOKUP(Primary_Order[[#This Row],[Product ID]],SKU[],14,0)*Primary_Order[[#This Row],[Total Qty]]</f>
        <v>77730</v>
      </c>
      <c r="AM433" s="231">
        <f>IF(Primary_Order[[#This Row],[Cost]]=0,0,Primary_Order[[#This Row],[Net Total(-15%)]]-Primary_Order[[#This Row],[Cost]])</f>
        <v>31835.217391304352</v>
      </c>
      <c r="AN433" s="206" t="str">
        <f>"O-"&amp;Primary_Order[[#This Row],[Date]]&amp;"-"&amp;Primary_Order[[#This Row],[MMD ID]]</f>
        <v>O-45735-D-0013</v>
      </c>
      <c r="AO433" s="206" t="str" cm="1">
        <f t="array" ref="AO43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4" spans="1:41" x14ac:dyDescent="0.5">
      <c r="A434" s="206" t="s">
        <v>1385</v>
      </c>
      <c r="B434" s="230">
        <v>45740</v>
      </c>
      <c r="C434" s="206" t="s">
        <v>97</v>
      </c>
      <c r="D434" s="206" t="s">
        <v>1386</v>
      </c>
      <c r="E434" s="206" t="s">
        <v>566</v>
      </c>
      <c r="F434" s="206">
        <v>1923641421</v>
      </c>
      <c r="G434" s="206" t="s">
        <v>709</v>
      </c>
      <c r="H434" s="206" t="s">
        <v>40</v>
      </c>
      <c r="I434" s="206" t="s">
        <v>98</v>
      </c>
      <c r="J434" s="206" t="s">
        <v>452</v>
      </c>
      <c r="K434" s="206" t="s">
        <v>31</v>
      </c>
      <c r="L434" s="206" t="str">
        <f>VLOOKUP(Primary_Order[[#This Row],[Product ID]],SKU[],3,0)</f>
        <v>3000 4T PLUS 10W30</v>
      </c>
      <c r="M434" s="231">
        <v>300</v>
      </c>
      <c r="N434" s="231">
        <v>540</v>
      </c>
      <c r="O434" s="231">
        <v>300</v>
      </c>
      <c r="P434" s="232">
        <v>3.703703703703709E-2</v>
      </c>
      <c r="Q434" s="231">
        <v>0</v>
      </c>
      <c r="R434" s="231">
        <v>520</v>
      </c>
      <c r="S434" s="231">
        <v>300</v>
      </c>
      <c r="T434" s="231">
        <v>300</v>
      </c>
      <c r="U434" s="231">
        <v>162000</v>
      </c>
      <c r="V434" s="231">
        <v>0</v>
      </c>
      <c r="W434" s="231">
        <v>156000</v>
      </c>
      <c r="X434" s="231">
        <v>20347.82608695652</v>
      </c>
      <c r="Y434" s="231">
        <v>135652.17391304349</v>
      </c>
      <c r="Z434" s="206" t="s">
        <v>882</v>
      </c>
      <c r="AA434" s="206">
        <v>681</v>
      </c>
      <c r="AB434" s="206" t="s">
        <v>641</v>
      </c>
      <c r="AC434" s="230">
        <v>45740</v>
      </c>
      <c r="AD434" s="206" t="s">
        <v>1384</v>
      </c>
      <c r="AE434" s="206" t="str">
        <f>IFERROR(VLOOKUP(Primary_Order[[#This Row],[AM]],SP!$E$19:$F$23,2,0),Primary_Order[[#This Row],[AM]])</f>
        <v>Central</v>
      </c>
      <c r="AF434" s="206" t="str">
        <f>VLOOKUP(Primary_Order[[#This Row],[Product ID]],SKU[],10,0)</f>
        <v>Mineral</v>
      </c>
      <c r="AG434" s="206" t="str">
        <f>VLOOKUP(Primary_Order[[#This Row],[Product ID]],SKU[],9,0)</f>
        <v>MCO</v>
      </c>
      <c r="AH434" s="206" t="str">
        <f>VLOOKUP(Primary_Order[[#This Row],[Product ID]],SKU[],12,0)</f>
        <v>10W30</v>
      </c>
      <c r="AI434" s="206" t="str">
        <f>VLOOKUP(Primary_Order[[#This Row],[Product ID]],SKU[],13,0)</f>
        <v>3000</v>
      </c>
      <c r="AJ434" s="233">
        <f>VLOOKUP(Primary_Order[[#This Row],[Product ID]],SKU[[SKU ID]:[Bottle Size(Ltr)]],6,0)*Primary_Order[[#This Row],[Free Quantity]]</f>
        <v>0</v>
      </c>
      <c r="AK434" s="206" t="str">
        <f>VLOOKUP(Primary_Order[[#This Row],[Product ID]],SKU[[SKU ID]:[Bottle Size(Ltr)]],4,0)</f>
        <v>20x1L</v>
      </c>
      <c r="AL434" s="231">
        <f>VLOOKUP(Primary_Order[[#This Row],[Product ID]],SKU[],14,0)*Primary_Order[[#This Row],[Total Qty]]</f>
        <v>113799</v>
      </c>
      <c r="AM434" s="231">
        <f>IF(Primary_Order[[#This Row],[Cost]]=0,0,Primary_Order[[#This Row],[Net Total(-15%)]]-Primary_Order[[#This Row],[Cost]])</f>
        <v>21853.173913043487</v>
      </c>
      <c r="AN434" s="206" t="str">
        <f>"O-"&amp;Primary_Order[[#This Row],[Date]]&amp;"-"&amp;Primary_Order[[#This Row],[MMD ID]]</f>
        <v>O-45740-D-0001</v>
      </c>
      <c r="AO434" s="206" t="str" cm="1">
        <f t="array" ref="AO43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5" spans="1:41" x14ac:dyDescent="0.5">
      <c r="A435" s="206" t="s">
        <v>1385</v>
      </c>
      <c r="B435" s="230">
        <v>45740</v>
      </c>
      <c r="C435" s="206" t="s">
        <v>97</v>
      </c>
      <c r="D435" s="206" t="s">
        <v>1386</v>
      </c>
      <c r="E435" s="206" t="s">
        <v>566</v>
      </c>
      <c r="F435" s="206">
        <v>1923641421</v>
      </c>
      <c r="G435" s="206" t="s">
        <v>709</v>
      </c>
      <c r="H435" s="206" t="s">
        <v>40</v>
      </c>
      <c r="I435" s="206" t="s">
        <v>98</v>
      </c>
      <c r="J435" s="206" t="s">
        <v>452</v>
      </c>
      <c r="K435" s="206" t="s">
        <v>53</v>
      </c>
      <c r="L435" s="206" t="str">
        <f>VLOOKUP(Primary_Order[[#This Row],[Product ID]],SKU[],3,0)</f>
        <v>3000 4T PLUS 20W40</v>
      </c>
      <c r="M435" s="231">
        <v>200</v>
      </c>
      <c r="N435" s="231">
        <v>535</v>
      </c>
      <c r="O435" s="231">
        <v>200</v>
      </c>
      <c r="P435" s="232">
        <v>2.8037383177570097E-2</v>
      </c>
      <c r="Q435" s="231">
        <v>0</v>
      </c>
      <c r="R435" s="231">
        <v>520</v>
      </c>
      <c r="S435" s="231">
        <v>200</v>
      </c>
      <c r="T435" s="231">
        <v>200</v>
      </c>
      <c r="U435" s="231">
        <v>107000</v>
      </c>
      <c r="V435" s="231">
        <v>0</v>
      </c>
      <c r="W435" s="231">
        <v>104000</v>
      </c>
      <c r="X435" s="231">
        <v>13565.217391304348</v>
      </c>
      <c r="Y435" s="231">
        <v>90434.782608695648</v>
      </c>
      <c r="Z435" s="206" t="s">
        <v>882</v>
      </c>
      <c r="AA435" s="206">
        <v>681</v>
      </c>
      <c r="AB435" s="206" t="s">
        <v>641</v>
      </c>
      <c r="AC435" s="230">
        <v>45740</v>
      </c>
      <c r="AD435" s="206" t="s">
        <v>1384</v>
      </c>
      <c r="AE435" s="206" t="str">
        <f>IFERROR(VLOOKUP(Primary_Order[[#This Row],[AM]],SP!$E$19:$F$23,2,0),Primary_Order[[#This Row],[AM]])</f>
        <v>Central</v>
      </c>
      <c r="AF435" s="206" t="str">
        <f>VLOOKUP(Primary_Order[[#This Row],[Product ID]],SKU[],10,0)</f>
        <v>Mineral</v>
      </c>
      <c r="AG435" s="206" t="str">
        <f>VLOOKUP(Primary_Order[[#This Row],[Product ID]],SKU[],9,0)</f>
        <v>MCO</v>
      </c>
      <c r="AH435" s="206" t="str">
        <f>VLOOKUP(Primary_Order[[#This Row],[Product ID]],SKU[],12,0)</f>
        <v>20W40</v>
      </c>
      <c r="AI435" s="206" t="str">
        <f>VLOOKUP(Primary_Order[[#This Row],[Product ID]],SKU[],13,0)</f>
        <v>3000</v>
      </c>
      <c r="AJ435" s="233">
        <f>VLOOKUP(Primary_Order[[#This Row],[Product ID]],SKU[[SKU ID]:[Bottle Size(Ltr)]],6,0)*Primary_Order[[#This Row],[Free Quantity]]</f>
        <v>0</v>
      </c>
      <c r="AK435" s="206" t="str">
        <f>VLOOKUP(Primary_Order[[#This Row],[Product ID]],SKU[[SKU ID]:[Bottle Size(Ltr)]],4,0)</f>
        <v>20x1L</v>
      </c>
      <c r="AL435" s="231">
        <f>VLOOKUP(Primary_Order[[#This Row],[Product ID]],SKU[],14,0)*Primary_Order[[#This Row],[Total Qty]]</f>
        <v>82552</v>
      </c>
      <c r="AM435" s="231">
        <f>IF(Primary_Order[[#This Row],[Cost]]=0,0,Primary_Order[[#This Row],[Net Total(-15%)]]-Primary_Order[[#This Row],[Cost]])</f>
        <v>7882.7826086956484</v>
      </c>
      <c r="AN435" s="206" t="str">
        <f>"O-"&amp;Primary_Order[[#This Row],[Date]]&amp;"-"&amp;Primary_Order[[#This Row],[MMD ID]]</f>
        <v>O-45740-D-0001</v>
      </c>
      <c r="AO435" s="206" t="str" cm="1">
        <f t="array" ref="AO43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6" spans="1:41" x14ac:dyDescent="0.5">
      <c r="A436" s="206" t="s">
        <v>1385</v>
      </c>
      <c r="B436" s="230">
        <v>45740</v>
      </c>
      <c r="C436" s="206" t="s">
        <v>97</v>
      </c>
      <c r="D436" s="206" t="s">
        <v>1386</v>
      </c>
      <c r="E436" s="206" t="s">
        <v>566</v>
      </c>
      <c r="F436" s="206">
        <v>1923641421</v>
      </c>
      <c r="G436" s="206" t="s">
        <v>709</v>
      </c>
      <c r="H436" s="206" t="s">
        <v>40</v>
      </c>
      <c r="I436" s="206" t="s">
        <v>98</v>
      </c>
      <c r="J436" s="206" t="s">
        <v>452</v>
      </c>
      <c r="K436" s="206" t="s">
        <v>54</v>
      </c>
      <c r="L436" s="206" t="str">
        <f>VLOOKUP(Primary_Order[[#This Row],[Product ID]],SKU[],3,0)</f>
        <v>3000 4T PLUS 10W40</v>
      </c>
      <c r="M436" s="231">
        <v>1000</v>
      </c>
      <c r="N436" s="231">
        <v>550</v>
      </c>
      <c r="O436" s="231">
        <v>1000</v>
      </c>
      <c r="P436" s="232">
        <v>5.4545454545454564E-2</v>
      </c>
      <c r="Q436" s="231">
        <v>0</v>
      </c>
      <c r="R436" s="231">
        <v>520</v>
      </c>
      <c r="S436" s="231">
        <v>1000</v>
      </c>
      <c r="T436" s="231">
        <v>1000</v>
      </c>
      <c r="U436" s="231">
        <v>550000</v>
      </c>
      <c r="V436" s="231">
        <v>0</v>
      </c>
      <c r="W436" s="231">
        <v>520000</v>
      </c>
      <c r="X436" s="231">
        <v>67826.086956521744</v>
      </c>
      <c r="Y436" s="231">
        <v>452173.91304347827</v>
      </c>
      <c r="Z436" s="206" t="s">
        <v>882</v>
      </c>
      <c r="AA436" s="206">
        <v>681</v>
      </c>
      <c r="AB436" s="206" t="s">
        <v>641</v>
      </c>
      <c r="AC436" s="230">
        <v>45740</v>
      </c>
      <c r="AD436" s="206" t="s">
        <v>1384</v>
      </c>
      <c r="AE436" s="206" t="str">
        <f>IFERROR(VLOOKUP(Primary_Order[[#This Row],[AM]],SP!$E$19:$F$23,2,0),Primary_Order[[#This Row],[AM]])</f>
        <v>Central</v>
      </c>
      <c r="AF436" s="206" t="str">
        <f>VLOOKUP(Primary_Order[[#This Row],[Product ID]],SKU[],10,0)</f>
        <v>Mineral</v>
      </c>
      <c r="AG436" s="206" t="str">
        <f>VLOOKUP(Primary_Order[[#This Row],[Product ID]],SKU[],9,0)</f>
        <v>MCO</v>
      </c>
      <c r="AH436" s="206" t="str">
        <f>VLOOKUP(Primary_Order[[#This Row],[Product ID]],SKU[],12,0)</f>
        <v>10W40</v>
      </c>
      <c r="AI436" s="206" t="str">
        <f>VLOOKUP(Primary_Order[[#This Row],[Product ID]],SKU[],13,0)</f>
        <v>3000</v>
      </c>
      <c r="AJ436" s="233">
        <f>VLOOKUP(Primary_Order[[#This Row],[Product ID]],SKU[[SKU ID]:[Bottle Size(Ltr)]],6,0)*Primary_Order[[#This Row],[Free Quantity]]</f>
        <v>0</v>
      </c>
      <c r="AK436" s="206" t="str">
        <f>VLOOKUP(Primary_Order[[#This Row],[Product ID]],SKU[[SKU ID]:[Bottle Size(Ltr)]],4,0)</f>
        <v>20x1L</v>
      </c>
      <c r="AL436" s="231">
        <f>VLOOKUP(Primary_Order[[#This Row],[Product ID]],SKU[],14,0)*Primary_Order[[#This Row],[Total Qty]]</f>
        <v>384850</v>
      </c>
      <c r="AM436" s="231">
        <f>IF(Primary_Order[[#This Row],[Cost]]=0,0,Primary_Order[[#This Row],[Net Total(-15%)]]-Primary_Order[[#This Row],[Cost]])</f>
        <v>67323.913043478271</v>
      </c>
      <c r="AN436" s="206" t="str">
        <f>"O-"&amp;Primary_Order[[#This Row],[Date]]&amp;"-"&amp;Primary_Order[[#This Row],[MMD ID]]</f>
        <v>O-45740-D-0001</v>
      </c>
      <c r="AO436" s="206" t="str" cm="1">
        <f t="array" ref="AO43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7" spans="1:41" x14ac:dyDescent="0.5">
      <c r="A437" s="206" t="s">
        <v>1385</v>
      </c>
      <c r="B437" s="230">
        <v>45740</v>
      </c>
      <c r="C437" s="206" t="s">
        <v>97</v>
      </c>
      <c r="D437" s="206" t="s">
        <v>1386</v>
      </c>
      <c r="E437" s="206" t="s">
        <v>566</v>
      </c>
      <c r="F437" s="206">
        <v>1923641421</v>
      </c>
      <c r="G437" s="206" t="s">
        <v>709</v>
      </c>
      <c r="H437" s="206" t="s">
        <v>40</v>
      </c>
      <c r="I437" s="206" t="s">
        <v>98</v>
      </c>
      <c r="J437" s="206" t="s">
        <v>452</v>
      </c>
      <c r="K437" s="206" t="s">
        <v>33</v>
      </c>
      <c r="L437" s="206" t="str">
        <f>VLOOKUP(Primary_Order[[#This Row],[Product ID]],SKU[],3,0)</f>
        <v>3000 4T PLUS 20W40</v>
      </c>
      <c r="M437" s="231">
        <v>300</v>
      </c>
      <c r="N437" s="231">
        <v>645</v>
      </c>
      <c r="O437" s="231">
        <v>360</v>
      </c>
      <c r="P437" s="232">
        <v>1.5503875968992276E-2</v>
      </c>
      <c r="Q437" s="231">
        <v>0</v>
      </c>
      <c r="R437" s="231">
        <v>635</v>
      </c>
      <c r="S437" s="231">
        <v>300</v>
      </c>
      <c r="T437" s="231">
        <v>360</v>
      </c>
      <c r="U437" s="231">
        <v>193500</v>
      </c>
      <c r="V437" s="231">
        <v>0</v>
      </c>
      <c r="W437" s="231">
        <v>190500</v>
      </c>
      <c r="X437" s="231">
        <v>24847.82608695652</v>
      </c>
      <c r="Y437" s="231">
        <v>165652.17391304349</v>
      </c>
      <c r="Z437" s="206" t="s">
        <v>882</v>
      </c>
      <c r="AA437" s="206">
        <v>681</v>
      </c>
      <c r="AB437" s="206" t="s">
        <v>641</v>
      </c>
      <c r="AC437" s="230">
        <v>45740</v>
      </c>
      <c r="AD437" s="206" t="s">
        <v>1384</v>
      </c>
      <c r="AE437" s="206" t="str">
        <f>IFERROR(VLOOKUP(Primary_Order[[#This Row],[AM]],SP!$E$19:$F$23,2,0),Primary_Order[[#This Row],[AM]])</f>
        <v>Central</v>
      </c>
      <c r="AF437" s="206" t="str">
        <f>VLOOKUP(Primary_Order[[#This Row],[Product ID]],SKU[],10,0)</f>
        <v>Mineral</v>
      </c>
      <c r="AG437" s="206" t="str">
        <f>VLOOKUP(Primary_Order[[#This Row],[Product ID]],SKU[],9,0)</f>
        <v>MCO</v>
      </c>
      <c r="AH437" s="206" t="str">
        <f>VLOOKUP(Primary_Order[[#This Row],[Product ID]],SKU[],12,0)</f>
        <v>20W40</v>
      </c>
      <c r="AI437" s="206" t="str">
        <f>VLOOKUP(Primary_Order[[#This Row],[Product ID]],SKU[],13,0)</f>
        <v>3000</v>
      </c>
      <c r="AJ437" s="233">
        <f>VLOOKUP(Primary_Order[[#This Row],[Product ID]],SKU[[SKU ID]:[Bottle Size(Ltr)]],6,0)*Primary_Order[[#This Row],[Free Quantity]]</f>
        <v>0</v>
      </c>
      <c r="AK437" s="206" t="str">
        <f>VLOOKUP(Primary_Order[[#This Row],[Product ID]],SKU[[SKU ID]:[Bottle Size(Ltr)]],4,0)</f>
        <v>20x1.2L</v>
      </c>
      <c r="AL437" s="231">
        <f>VLOOKUP(Primary_Order[[#This Row],[Product ID]],SKU[],14,0)*Primary_Order[[#This Row],[Total Qty]]</f>
        <v>140969.33860518291</v>
      </c>
      <c r="AM437" s="231">
        <f>IF(Primary_Order[[#This Row],[Cost]]=0,0,Primary_Order[[#This Row],[Net Total(-15%)]]-Primary_Order[[#This Row],[Cost]])</f>
        <v>24682.835307860572</v>
      </c>
      <c r="AN437" s="206" t="str">
        <f>"O-"&amp;Primary_Order[[#This Row],[Date]]&amp;"-"&amp;Primary_Order[[#This Row],[MMD ID]]</f>
        <v>O-45740-D-0001</v>
      </c>
      <c r="AO437" s="206" t="str" cm="1">
        <f t="array" ref="AO43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8" spans="1:41" x14ac:dyDescent="0.5">
      <c r="A438" s="206" t="s">
        <v>1385</v>
      </c>
      <c r="B438" s="230">
        <v>45740</v>
      </c>
      <c r="C438" s="206" t="s">
        <v>97</v>
      </c>
      <c r="D438" s="206" t="s">
        <v>1386</v>
      </c>
      <c r="E438" s="206" t="s">
        <v>566</v>
      </c>
      <c r="F438" s="206">
        <v>1923641421</v>
      </c>
      <c r="G438" s="206" t="s">
        <v>709</v>
      </c>
      <c r="H438" s="206" t="s">
        <v>40</v>
      </c>
      <c r="I438" s="206" t="s">
        <v>98</v>
      </c>
      <c r="J438" s="206" t="s">
        <v>452</v>
      </c>
      <c r="K438" s="206" t="s">
        <v>56</v>
      </c>
      <c r="L438" s="206" t="str">
        <f>VLOOKUP(Primary_Order[[#This Row],[Product ID]],SKU[],3,0)</f>
        <v>7100 4T 10W30 ESTER CORE®</v>
      </c>
      <c r="M438" s="231">
        <v>48</v>
      </c>
      <c r="N438" s="231">
        <v>1080</v>
      </c>
      <c r="O438" s="231">
        <v>48</v>
      </c>
      <c r="P438" s="232">
        <v>3.703703703703709E-2</v>
      </c>
      <c r="Q438" s="231">
        <v>0</v>
      </c>
      <c r="R438" s="231">
        <v>1040</v>
      </c>
      <c r="S438" s="231">
        <v>48</v>
      </c>
      <c r="T438" s="231">
        <v>48</v>
      </c>
      <c r="U438" s="231">
        <v>51840</v>
      </c>
      <c r="V438" s="231">
        <v>0</v>
      </c>
      <c r="W438" s="231">
        <v>49920</v>
      </c>
      <c r="X438" s="231">
        <v>6511.304347826087</v>
      </c>
      <c r="Y438" s="231">
        <v>43408.695652173912</v>
      </c>
      <c r="Z438" s="206" t="s">
        <v>882</v>
      </c>
      <c r="AA438" s="206">
        <v>681</v>
      </c>
      <c r="AB438" s="206" t="s">
        <v>641</v>
      </c>
      <c r="AC438" s="230">
        <v>45740</v>
      </c>
      <c r="AD438" s="206" t="s">
        <v>1384</v>
      </c>
      <c r="AE438" s="206" t="str">
        <f>IFERROR(VLOOKUP(Primary_Order[[#This Row],[AM]],SP!$E$19:$F$23,2,0),Primary_Order[[#This Row],[AM]])</f>
        <v>Central</v>
      </c>
      <c r="AF438" s="206" t="str">
        <f>VLOOKUP(Primary_Order[[#This Row],[Product ID]],SKU[],10,0)</f>
        <v>Synthetic</v>
      </c>
      <c r="AG438" s="206" t="str">
        <f>VLOOKUP(Primary_Order[[#This Row],[Product ID]],SKU[],9,0)</f>
        <v>MCO</v>
      </c>
      <c r="AH438" s="206" t="str">
        <f>VLOOKUP(Primary_Order[[#This Row],[Product ID]],SKU[],12,0)</f>
        <v>10W30</v>
      </c>
      <c r="AI438" s="206" t="str">
        <f>VLOOKUP(Primary_Order[[#This Row],[Product ID]],SKU[],13,0)</f>
        <v>7100</v>
      </c>
      <c r="AJ438" s="233">
        <f>VLOOKUP(Primary_Order[[#This Row],[Product ID]],SKU[[SKU ID]:[Bottle Size(Ltr)]],6,0)*Primary_Order[[#This Row],[Free Quantity]]</f>
        <v>0</v>
      </c>
      <c r="AK438" s="206" t="str">
        <f>VLOOKUP(Primary_Order[[#This Row],[Product ID]],SKU[[SKU ID]:[Bottle Size(Ltr)]],4,0)</f>
        <v>12x1L</v>
      </c>
      <c r="AL438" s="231">
        <f>VLOOKUP(Primary_Order[[#This Row],[Product ID]],SKU[],14,0)*Primary_Order[[#This Row],[Total Qty]]</f>
        <v>33113.279999999999</v>
      </c>
      <c r="AM438" s="231">
        <f>IF(Primary_Order[[#This Row],[Cost]]=0,0,Primary_Order[[#This Row],[Net Total(-15%)]]-Primary_Order[[#This Row],[Cost]])</f>
        <v>10295.415652173913</v>
      </c>
      <c r="AN438" s="206" t="str">
        <f>"O-"&amp;Primary_Order[[#This Row],[Date]]&amp;"-"&amp;Primary_Order[[#This Row],[MMD ID]]</f>
        <v>O-45740-D-0001</v>
      </c>
      <c r="AO438" s="206" t="str" cm="1">
        <f t="array" ref="AO43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39" spans="1:41" x14ac:dyDescent="0.5">
      <c r="A439" s="206" t="s">
        <v>1385</v>
      </c>
      <c r="B439" s="230">
        <v>45740</v>
      </c>
      <c r="C439" s="206" t="s">
        <v>97</v>
      </c>
      <c r="D439" s="206" t="s">
        <v>1386</v>
      </c>
      <c r="E439" s="206" t="s">
        <v>566</v>
      </c>
      <c r="F439" s="206">
        <v>1923641421</v>
      </c>
      <c r="G439" s="206" t="s">
        <v>709</v>
      </c>
      <c r="H439" s="206" t="s">
        <v>40</v>
      </c>
      <c r="I439" s="206" t="s">
        <v>98</v>
      </c>
      <c r="J439" s="206" t="s">
        <v>452</v>
      </c>
      <c r="K439" s="206" t="s">
        <v>58</v>
      </c>
      <c r="L439" s="206" t="str">
        <f>VLOOKUP(Primary_Order[[#This Row],[Product ID]],SKU[],3,0)</f>
        <v>7100 4T 20W50 ESTER CORE®</v>
      </c>
      <c r="M439" s="231">
        <v>60</v>
      </c>
      <c r="N439" s="231">
        <v>1080</v>
      </c>
      <c r="O439" s="231">
        <v>60</v>
      </c>
      <c r="P439" s="232">
        <v>3.703703703703709E-2</v>
      </c>
      <c r="Q439" s="231">
        <v>0</v>
      </c>
      <c r="R439" s="231">
        <v>1040</v>
      </c>
      <c r="S439" s="231">
        <v>60</v>
      </c>
      <c r="T439" s="231">
        <v>60</v>
      </c>
      <c r="U439" s="231">
        <v>64800</v>
      </c>
      <c r="V439" s="231">
        <v>0</v>
      </c>
      <c r="W439" s="231">
        <v>62400</v>
      </c>
      <c r="X439" s="231">
        <v>8139.130434782609</v>
      </c>
      <c r="Y439" s="231">
        <v>54260.869565217392</v>
      </c>
      <c r="Z439" s="206" t="s">
        <v>882</v>
      </c>
      <c r="AA439" s="206">
        <v>681</v>
      </c>
      <c r="AB439" s="206" t="s">
        <v>641</v>
      </c>
      <c r="AC439" s="230">
        <v>45740</v>
      </c>
      <c r="AD439" s="206" t="s">
        <v>1384</v>
      </c>
      <c r="AE439" s="206" t="str">
        <f>IFERROR(VLOOKUP(Primary_Order[[#This Row],[AM]],SP!$E$19:$F$23,2,0),Primary_Order[[#This Row],[AM]])</f>
        <v>Central</v>
      </c>
      <c r="AF439" s="206" t="str">
        <f>VLOOKUP(Primary_Order[[#This Row],[Product ID]],SKU[],10,0)</f>
        <v>Synthetic</v>
      </c>
      <c r="AG439" s="206" t="str">
        <f>VLOOKUP(Primary_Order[[#This Row],[Product ID]],SKU[],9,0)</f>
        <v>MCO</v>
      </c>
      <c r="AH439" s="206" t="str">
        <f>VLOOKUP(Primary_Order[[#This Row],[Product ID]],SKU[],12,0)</f>
        <v>20W50</v>
      </c>
      <c r="AI439" s="206" t="str">
        <f>VLOOKUP(Primary_Order[[#This Row],[Product ID]],SKU[],13,0)</f>
        <v>7100</v>
      </c>
      <c r="AJ439" s="233">
        <f>VLOOKUP(Primary_Order[[#This Row],[Product ID]],SKU[[SKU ID]:[Bottle Size(Ltr)]],6,0)*Primary_Order[[#This Row],[Free Quantity]]</f>
        <v>0</v>
      </c>
      <c r="AK439" s="206" t="str">
        <f>VLOOKUP(Primary_Order[[#This Row],[Product ID]],SKU[[SKU ID]:[Bottle Size(Ltr)]],4,0)</f>
        <v>12x1L</v>
      </c>
      <c r="AL439" s="231">
        <f>VLOOKUP(Primary_Order[[#This Row],[Product ID]],SKU[],14,0)*Primary_Order[[#This Row],[Total Qty]]</f>
        <v>45821.904000000002</v>
      </c>
      <c r="AM439" s="231">
        <f>IF(Primary_Order[[#This Row],[Cost]]=0,0,Primary_Order[[#This Row],[Net Total(-15%)]]-Primary_Order[[#This Row],[Cost]])</f>
        <v>8438.9655652173897</v>
      </c>
      <c r="AN439" s="206" t="str">
        <f>"O-"&amp;Primary_Order[[#This Row],[Date]]&amp;"-"&amp;Primary_Order[[#This Row],[MMD ID]]</f>
        <v>O-45740-D-0001</v>
      </c>
      <c r="AO439" s="206" t="str" cm="1">
        <f t="array" ref="AO43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0" spans="1:41" x14ac:dyDescent="0.5">
      <c r="A440" s="206" t="s">
        <v>1385</v>
      </c>
      <c r="B440" s="230">
        <v>45740</v>
      </c>
      <c r="C440" s="206" t="s">
        <v>97</v>
      </c>
      <c r="D440" s="206" t="s">
        <v>1386</v>
      </c>
      <c r="E440" s="206" t="s">
        <v>566</v>
      </c>
      <c r="F440" s="206">
        <v>1923641421</v>
      </c>
      <c r="G440" s="206" t="s">
        <v>709</v>
      </c>
      <c r="H440" s="206" t="s">
        <v>40</v>
      </c>
      <c r="I440" s="206" t="s">
        <v>98</v>
      </c>
      <c r="J440" s="206" t="s">
        <v>452</v>
      </c>
      <c r="K440" s="206" t="s">
        <v>43</v>
      </c>
      <c r="L440" s="206" t="str">
        <f>VLOOKUP(Primary_Order[[#This Row],[Product ID]],SKU[],3,0)</f>
        <v>7100 4T 10W30 ESTER CORE®</v>
      </c>
      <c r="M440" s="231">
        <v>60</v>
      </c>
      <c r="N440" s="231">
        <v>1295</v>
      </c>
      <c r="O440" s="231">
        <v>72</v>
      </c>
      <c r="P440" s="232">
        <v>3.4749034749034791E-2</v>
      </c>
      <c r="Q440" s="231">
        <v>0</v>
      </c>
      <c r="R440" s="231">
        <v>1250</v>
      </c>
      <c r="S440" s="231">
        <v>60</v>
      </c>
      <c r="T440" s="231">
        <v>72</v>
      </c>
      <c r="U440" s="231">
        <v>77700</v>
      </c>
      <c r="V440" s="231">
        <v>0</v>
      </c>
      <c r="W440" s="231">
        <v>75000</v>
      </c>
      <c r="X440" s="231">
        <v>9782.608695652174</v>
      </c>
      <c r="Y440" s="231">
        <v>65217.391304347824</v>
      </c>
      <c r="Z440" s="206" t="s">
        <v>882</v>
      </c>
      <c r="AA440" s="206">
        <v>681</v>
      </c>
      <c r="AB440" s="206" t="s">
        <v>641</v>
      </c>
      <c r="AC440" s="230">
        <v>45740</v>
      </c>
      <c r="AD440" s="206" t="s">
        <v>1384</v>
      </c>
      <c r="AE440" s="206" t="str">
        <f>IFERROR(VLOOKUP(Primary_Order[[#This Row],[AM]],SP!$E$19:$F$23,2,0),Primary_Order[[#This Row],[AM]])</f>
        <v>Central</v>
      </c>
      <c r="AF440" s="206" t="str">
        <f>VLOOKUP(Primary_Order[[#This Row],[Product ID]],SKU[],10,0)</f>
        <v>Synthetic</v>
      </c>
      <c r="AG440" s="206" t="str">
        <f>VLOOKUP(Primary_Order[[#This Row],[Product ID]],SKU[],9,0)</f>
        <v>MCO</v>
      </c>
      <c r="AH440" s="206" t="str">
        <f>VLOOKUP(Primary_Order[[#This Row],[Product ID]],SKU[],12,0)</f>
        <v>10W30</v>
      </c>
      <c r="AI440" s="206" t="str">
        <f>VLOOKUP(Primary_Order[[#This Row],[Product ID]],SKU[],13,0)</f>
        <v>7100</v>
      </c>
      <c r="AJ440" s="233">
        <f>VLOOKUP(Primary_Order[[#This Row],[Product ID]],SKU[[SKU ID]:[Bottle Size(Ltr)]],6,0)*Primary_Order[[#This Row],[Free Quantity]]</f>
        <v>0</v>
      </c>
      <c r="AK440" s="206" t="str">
        <f>VLOOKUP(Primary_Order[[#This Row],[Product ID]],SKU[[SKU ID]:[Bottle Size(Ltr)]],4,0)</f>
        <v>20x1.2L</v>
      </c>
      <c r="AL440" s="231">
        <f>VLOOKUP(Primary_Order[[#This Row],[Product ID]],SKU[],14,0)*Primary_Order[[#This Row],[Total Qty]]</f>
        <v>46638</v>
      </c>
      <c r="AM440" s="231">
        <f>IF(Primary_Order[[#This Row],[Cost]]=0,0,Primary_Order[[#This Row],[Net Total(-15%)]]-Primary_Order[[#This Row],[Cost]])</f>
        <v>18579.391304347824</v>
      </c>
      <c r="AN440" s="206" t="str">
        <f>"O-"&amp;Primary_Order[[#This Row],[Date]]&amp;"-"&amp;Primary_Order[[#This Row],[MMD ID]]</f>
        <v>O-45740-D-0001</v>
      </c>
      <c r="AO440" s="206" t="str" cm="1">
        <f t="array" ref="AO44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1" spans="1:41" x14ac:dyDescent="0.5">
      <c r="A441" s="206" t="s">
        <v>1385</v>
      </c>
      <c r="B441" s="230">
        <v>45740</v>
      </c>
      <c r="C441" s="206" t="s">
        <v>97</v>
      </c>
      <c r="D441" s="206" t="s">
        <v>1386</v>
      </c>
      <c r="E441" s="206" t="s">
        <v>566</v>
      </c>
      <c r="F441" s="206">
        <v>1923641421</v>
      </c>
      <c r="G441" s="206" t="s">
        <v>709</v>
      </c>
      <c r="H441" s="206" t="s">
        <v>40</v>
      </c>
      <c r="I441" s="206" t="s">
        <v>98</v>
      </c>
      <c r="J441" s="206" t="s">
        <v>452</v>
      </c>
      <c r="K441" s="206" t="s">
        <v>81</v>
      </c>
      <c r="L441" s="206" t="str">
        <f>VLOOKUP(Primary_Order[[#This Row],[Product ID]],SKU[],3,0)</f>
        <v>3000 4T 20W50</v>
      </c>
      <c r="M441" s="231">
        <v>200</v>
      </c>
      <c r="N441" s="231">
        <v>495</v>
      </c>
      <c r="O441" s="231">
        <v>200</v>
      </c>
      <c r="P441" s="232">
        <v>0.19191919191919193</v>
      </c>
      <c r="Q441" s="231">
        <v>0</v>
      </c>
      <c r="R441" s="231">
        <v>400</v>
      </c>
      <c r="S441" s="231">
        <v>200</v>
      </c>
      <c r="T441" s="231">
        <v>200</v>
      </c>
      <c r="U441" s="231">
        <v>99000</v>
      </c>
      <c r="V441" s="231">
        <v>0</v>
      </c>
      <c r="W441" s="231">
        <v>80000</v>
      </c>
      <c r="X441" s="231">
        <v>10434.782608695652</v>
      </c>
      <c r="Y441" s="231">
        <v>69565.217391304352</v>
      </c>
      <c r="Z441" s="206" t="s">
        <v>882</v>
      </c>
      <c r="AA441" s="206">
        <v>681</v>
      </c>
      <c r="AB441" s="206" t="s">
        <v>641</v>
      </c>
      <c r="AC441" s="230">
        <v>45740</v>
      </c>
      <c r="AD441" s="206" t="s">
        <v>1384</v>
      </c>
      <c r="AE441" s="206" t="str">
        <f>IFERROR(VLOOKUP(Primary_Order[[#This Row],[AM]],SP!$E$19:$F$23,2,0),Primary_Order[[#This Row],[AM]])</f>
        <v>Central</v>
      </c>
      <c r="AF441" s="206" t="str">
        <f>VLOOKUP(Primary_Order[[#This Row],[Product ID]],SKU[],10,0)</f>
        <v>Mineral</v>
      </c>
      <c r="AG441" s="206" t="str">
        <f>VLOOKUP(Primary_Order[[#This Row],[Product ID]],SKU[],9,0)</f>
        <v>MCO</v>
      </c>
      <c r="AH441" s="206" t="str">
        <f>VLOOKUP(Primary_Order[[#This Row],[Product ID]],SKU[],12,0)</f>
        <v>20W50</v>
      </c>
      <c r="AI441" s="206" t="str">
        <f>VLOOKUP(Primary_Order[[#This Row],[Product ID]],SKU[],13,0)</f>
        <v>3000</v>
      </c>
      <c r="AJ441" s="233">
        <f>VLOOKUP(Primary_Order[[#This Row],[Product ID]],SKU[[SKU ID]:[Bottle Size(Ltr)]],6,0)*Primary_Order[[#This Row],[Free Quantity]]</f>
        <v>0</v>
      </c>
      <c r="AK441" s="206" t="str">
        <f>VLOOKUP(Primary_Order[[#This Row],[Product ID]],SKU[[SKU ID]:[Bottle Size(Ltr)]],4,0)</f>
        <v>20x1L</v>
      </c>
      <c r="AL441" s="231">
        <f>VLOOKUP(Primary_Order[[#This Row],[Product ID]],SKU[],14,0)*Primary_Order[[#This Row],[Total Qty]]</f>
        <v>72984</v>
      </c>
      <c r="AM441" s="231">
        <f>IF(Primary_Order[[#This Row],[Cost]]=0,0,Primary_Order[[#This Row],[Net Total(-15%)]]-Primary_Order[[#This Row],[Cost]])</f>
        <v>-3418.7826086956484</v>
      </c>
      <c r="AN441" s="206" t="str">
        <f>"O-"&amp;Primary_Order[[#This Row],[Date]]&amp;"-"&amp;Primary_Order[[#This Row],[MMD ID]]</f>
        <v>O-45740-D-0001</v>
      </c>
      <c r="AO441" s="206" t="str" cm="1">
        <f t="array" ref="AO44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2" spans="1:41" x14ac:dyDescent="0.5">
      <c r="A442" s="206" t="s">
        <v>1387</v>
      </c>
      <c r="B442" s="230">
        <v>45739</v>
      </c>
      <c r="C442" s="206" t="s">
        <v>118</v>
      </c>
      <c r="D442" s="206" t="s">
        <v>905</v>
      </c>
      <c r="E442" s="206" t="s">
        <v>508</v>
      </c>
      <c r="F442" s="206" t="s">
        <v>906</v>
      </c>
      <c r="G442" s="206" t="s">
        <v>45</v>
      </c>
      <c r="H442" s="206" t="s">
        <v>28</v>
      </c>
      <c r="I442" s="206" t="s">
        <v>119</v>
      </c>
      <c r="J442" s="206" t="s">
        <v>508</v>
      </c>
      <c r="K442" s="206" t="s">
        <v>54</v>
      </c>
      <c r="L442" s="206" t="str">
        <f>VLOOKUP(Primary_Order[[#This Row],[Product ID]],SKU[],3,0)</f>
        <v>3000 4T PLUS 10W40</v>
      </c>
      <c r="M442" s="231">
        <v>80</v>
      </c>
      <c r="N442" s="231">
        <v>550</v>
      </c>
      <c r="O442" s="231">
        <v>80</v>
      </c>
      <c r="P442" s="232">
        <v>3.6363636363636376E-2</v>
      </c>
      <c r="Q442" s="231">
        <v>0</v>
      </c>
      <c r="R442" s="231">
        <v>530</v>
      </c>
      <c r="S442" s="231">
        <v>80</v>
      </c>
      <c r="T442" s="231">
        <v>80</v>
      </c>
      <c r="U442" s="231">
        <v>44000</v>
      </c>
      <c r="V442" s="231">
        <v>0</v>
      </c>
      <c r="W442" s="231">
        <v>42400</v>
      </c>
      <c r="X442" s="231">
        <v>5530.434782608696</v>
      </c>
      <c r="Y442" s="231">
        <v>36869.565217391304</v>
      </c>
      <c r="Z442" s="206" t="s">
        <v>882</v>
      </c>
      <c r="AA442" s="206">
        <v>682</v>
      </c>
      <c r="AB442" s="206" t="s">
        <v>641</v>
      </c>
      <c r="AC442" s="230">
        <v>45740</v>
      </c>
      <c r="AD442" s="206" t="s">
        <v>50</v>
      </c>
      <c r="AE442" s="206" t="str">
        <f>IFERROR(VLOOKUP(Primary_Order[[#This Row],[AM]],SP!$E$19:$F$23,2,0),Primary_Order[[#This Row],[AM]])</f>
        <v>Eastern</v>
      </c>
      <c r="AF442" s="206" t="str">
        <f>VLOOKUP(Primary_Order[[#This Row],[Product ID]],SKU[],10,0)</f>
        <v>Mineral</v>
      </c>
      <c r="AG442" s="206" t="str">
        <f>VLOOKUP(Primary_Order[[#This Row],[Product ID]],SKU[],9,0)</f>
        <v>MCO</v>
      </c>
      <c r="AH442" s="206" t="str">
        <f>VLOOKUP(Primary_Order[[#This Row],[Product ID]],SKU[],12,0)</f>
        <v>10W40</v>
      </c>
      <c r="AI442" s="206" t="str">
        <f>VLOOKUP(Primary_Order[[#This Row],[Product ID]],SKU[],13,0)</f>
        <v>3000</v>
      </c>
      <c r="AJ442" s="233">
        <f>VLOOKUP(Primary_Order[[#This Row],[Product ID]],SKU[[SKU ID]:[Bottle Size(Ltr)]],6,0)*Primary_Order[[#This Row],[Free Quantity]]</f>
        <v>0</v>
      </c>
      <c r="AK442" s="206" t="str">
        <f>VLOOKUP(Primary_Order[[#This Row],[Product ID]],SKU[[SKU ID]:[Bottle Size(Ltr)]],4,0)</f>
        <v>20x1L</v>
      </c>
      <c r="AL442" s="231">
        <f>VLOOKUP(Primary_Order[[#This Row],[Product ID]],SKU[],14,0)*Primary_Order[[#This Row],[Total Qty]]</f>
        <v>30788</v>
      </c>
      <c r="AM442" s="231">
        <f>IF(Primary_Order[[#This Row],[Cost]]=0,0,Primary_Order[[#This Row],[Net Total(-15%)]]-Primary_Order[[#This Row],[Cost]])</f>
        <v>6081.565217391304</v>
      </c>
      <c r="AN442" s="206" t="str">
        <f>"O-"&amp;Primary_Order[[#This Row],[Date]]&amp;"-"&amp;Primary_Order[[#This Row],[MMD ID]]</f>
        <v>O-45739-D-0010</v>
      </c>
      <c r="AO442" s="206" t="str" cm="1">
        <f t="array" ref="AO44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3" spans="1:41" x14ac:dyDescent="0.5">
      <c r="A443" s="206" t="s">
        <v>1387</v>
      </c>
      <c r="B443" s="230">
        <v>45739</v>
      </c>
      <c r="C443" s="206" t="s">
        <v>118</v>
      </c>
      <c r="D443" s="206" t="s">
        <v>905</v>
      </c>
      <c r="E443" s="206" t="s">
        <v>508</v>
      </c>
      <c r="F443" s="206" t="s">
        <v>906</v>
      </c>
      <c r="G443" s="206" t="s">
        <v>45</v>
      </c>
      <c r="H443" s="206" t="s">
        <v>28</v>
      </c>
      <c r="I443" s="206" t="s">
        <v>119</v>
      </c>
      <c r="J443" s="206" t="s">
        <v>508</v>
      </c>
      <c r="K443" s="206" t="s">
        <v>81</v>
      </c>
      <c r="L443" s="206" t="str">
        <f>VLOOKUP(Primary_Order[[#This Row],[Product ID]],SKU[],3,0)</f>
        <v>3000 4T 20W50</v>
      </c>
      <c r="M443" s="231">
        <v>20</v>
      </c>
      <c r="N443" s="231">
        <v>495</v>
      </c>
      <c r="O443" s="231">
        <v>20</v>
      </c>
      <c r="P443" s="232">
        <v>5.0505050505050497E-2</v>
      </c>
      <c r="Q443" s="231">
        <v>0</v>
      </c>
      <c r="R443" s="231">
        <v>470</v>
      </c>
      <c r="S443" s="231">
        <v>20</v>
      </c>
      <c r="T443" s="231">
        <v>20</v>
      </c>
      <c r="U443" s="231">
        <v>9900</v>
      </c>
      <c r="V443" s="231">
        <v>0</v>
      </c>
      <c r="W443" s="231">
        <v>9400</v>
      </c>
      <c r="X443" s="231">
        <v>1226.0869565217392</v>
      </c>
      <c r="Y443" s="231">
        <v>8173.913043478261</v>
      </c>
      <c r="Z443" s="206" t="s">
        <v>882</v>
      </c>
      <c r="AA443" s="206">
        <v>682</v>
      </c>
      <c r="AB443" s="206" t="s">
        <v>641</v>
      </c>
      <c r="AC443" s="230">
        <v>45740</v>
      </c>
      <c r="AD443" s="206" t="s">
        <v>50</v>
      </c>
      <c r="AE443" s="206" t="str">
        <f>IFERROR(VLOOKUP(Primary_Order[[#This Row],[AM]],SP!$E$19:$F$23,2,0),Primary_Order[[#This Row],[AM]])</f>
        <v>Eastern</v>
      </c>
      <c r="AF443" s="206" t="str">
        <f>VLOOKUP(Primary_Order[[#This Row],[Product ID]],SKU[],10,0)</f>
        <v>Mineral</v>
      </c>
      <c r="AG443" s="206" t="str">
        <f>VLOOKUP(Primary_Order[[#This Row],[Product ID]],SKU[],9,0)</f>
        <v>MCO</v>
      </c>
      <c r="AH443" s="206" t="str">
        <f>VLOOKUP(Primary_Order[[#This Row],[Product ID]],SKU[],12,0)</f>
        <v>20W50</v>
      </c>
      <c r="AI443" s="206" t="str">
        <f>VLOOKUP(Primary_Order[[#This Row],[Product ID]],SKU[],13,0)</f>
        <v>3000</v>
      </c>
      <c r="AJ443" s="233">
        <f>VLOOKUP(Primary_Order[[#This Row],[Product ID]],SKU[[SKU ID]:[Bottle Size(Ltr)]],6,0)*Primary_Order[[#This Row],[Free Quantity]]</f>
        <v>0</v>
      </c>
      <c r="AK443" s="206" t="str">
        <f>VLOOKUP(Primary_Order[[#This Row],[Product ID]],SKU[[SKU ID]:[Bottle Size(Ltr)]],4,0)</f>
        <v>20x1L</v>
      </c>
      <c r="AL443" s="231">
        <f>VLOOKUP(Primary_Order[[#This Row],[Product ID]],SKU[],14,0)*Primary_Order[[#This Row],[Total Qty]]</f>
        <v>7298.4000000000005</v>
      </c>
      <c r="AM443" s="231">
        <f>IF(Primary_Order[[#This Row],[Cost]]=0,0,Primary_Order[[#This Row],[Net Total(-15%)]]-Primary_Order[[#This Row],[Cost]])</f>
        <v>875.51304347826044</v>
      </c>
      <c r="AN443" s="206" t="str">
        <f>"O-"&amp;Primary_Order[[#This Row],[Date]]&amp;"-"&amp;Primary_Order[[#This Row],[MMD ID]]</f>
        <v>O-45739-D-0010</v>
      </c>
      <c r="AO443" s="206" t="str" cm="1">
        <f t="array" ref="AO44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4" spans="1:41" x14ac:dyDescent="0.5">
      <c r="A444" s="206" t="s">
        <v>1388</v>
      </c>
      <c r="B444" s="230">
        <v>45739</v>
      </c>
      <c r="C444" s="206" t="s">
        <v>118</v>
      </c>
      <c r="D444" s="206" t="s">
        <v>1377</v>
      </c>
      <c r="E444" s="206" t="s">
        <v>1378</v>
      </c>
      <c r="F444" s="206" t="s">
        <v>1379</v>
      </c>
      <c r="G444" s="206" t="s">
        <v>45</v>
      </c>
      <c r="H444" s="206" t="s">
        <v>28</v>
      </c>
      <c r="I444" s="206" t="s">
        <v>119</v>
      </c>
      <c r="J444" s="206" t="s">
        <v>508</v>
      </c>
      <c r="K444" s="206" t="s">
        <v>54</v>
      </c>
      <c r="L444" s="206" t="str">
        <f>VLOOKUP(Primary_Order[[#This Row],[Product ID]],SKU[],3,0)</f>
        <v>3000 4T PLUS 10W40</v>
      </c>
      <c r="M444" s="231">
        <v>60</v>
      </c>
      <c r="N444" s="231">
        <v>550</v>
      </c>
      <c r="O444" s="231">
        <v>60</v>
      </c>
      <c r="P444" s="232">
        <v>2.7272727272727226E-2</v>
      </c>
      <c r="Q444" s="231">
        <v>0</v>
      </c>
      <c r="R444" s="231">
        <v>535</v>
      </c>
      <c r="S444" s="231">
        <v>60</v>
      </c>
      <c r="T444" s="231">
        <v>60</v>
      </c>
      <c r="U444" s="231">
        <v>33000</v>
      </c>
      <c r="V444" s="231">
        <v>0</v>
      </c>
      <c r="W444" s="231">
        <v>32100</v>
      </c>
      <c r="X444" s="231">
        <v>4186.95652173913</v>
      </c>
      <c r="Y444" s="231">
        <v>27913.043478260868</v>
      </c>
      <c r="Z444" s="206" t="s">
        <v>882</v>
      </c>
      <c r="AA444" s="206">
        <v>683</v>
      </c>
      <c r="AB444" s="206" t="s">
        <v>641</v>
      </c>
      <c r="AC444" s="230">
        <v>45740</v>
      </c>
      <c r="AD444" s="206" t="s">
        <v>50</v>
      </c>
      <c r="AE444" s="206" t="str">
        <f>IFERROR(VLOOKUP(Primary_Order[[#This Row],[AM]],SP!$E$19:$F$23,2,0),Primary_Order[[#This Row],[AM]])</f>
        <v>Eastern</v>
      </c>
      <c r="AF444" s="206" t="str">
        <f>VLOOKUP(Primary_Order[[#This Row],[Product ID]],SKU[],10,0)</f>
        <v>Mineral</v>
      </c>
      <c r="AG444" s="206" t="str">
        <f>VLOOKUP(Primary_Order[[#This Row],[Product ID]],SKU[],9,0)</f>
        <v>MCO</v>
      </c>
      <c r="AH444" s="206" t="str">
        <f>VLOOKUP(Primary_Order[[#This Row],[Product ID]],SKU[],12,0)</f>
        <v>10W40</v>
      </c>
      <c r="AI444" s="206" t="str">
        <f>VLOOKUP(Primary_Order[[#This Row],[Product ID]],SKU[],13,0)</f>
        <v>3000</v>
      </c>
      <c r="AJ444" s="233">
        <f>VLOOKUP(Primary_Order[[#This Row],[Product ID]],SKU[[SKU ID]:[Bottle Size(Ltr)]],6,0)*Primary_Order[[#This Row],[Free Quantity]]</f>
        <v>0</v>
      </c>
      <c r="AK444" s="206" t="str">
        <f>VLOOKUP(Primary_Order[[#This Row],[Product ID]],SKU[[SKU ID]:[Bottle Size(Ltr)]],4,0)</f>
        <v>20x1L</v>
      </c>
      <c r="AL444" s="231">
        <f>VLOOKUP(Primary_Order[[#This Row],[Product ID]],SKU[],14,0)*Primary_Order[[#This Row],[Total Qty]]</f>
        <v>23091</v>
      </c>
      <c r="AM444" s="231">
        <f>IF(Primary_Order[[#This Row],[Cost]]=0,0,Primary_Order[[#This Row],[Net Total(-15%)]]-Primary_Order[[#This Row],[Cost]])</f>
        <v>4822.0434782608681</v>
      </c>
      <c r="AN444" s="206" t="str">
        <f>"O-"&amp;Primary_Order[[#This Row],[Date]]&amp;"-"&amp;Primary_Order[[#This Row],[MMD ID]]</f>
        <v>O-45739-D-0010</v>
      </c>
      <c r="AO444" s="206" t="str" cm="1">
        <f t="array" ref="AO44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5" spans="1:41" x14ac:dyDescent="0.5">
      <c r="A445" s="206" t="s">
        <v>1389</v>
      </c>
      <c r="B445" s="230">
        <v>45739</v>
      </c>
      <c r="C445" s="206" t="s">
        <v>108</v>
      </c>
      <c r="D445" s="206" t="s">
        <v>1373</v>
      </c>
      <c r="E445" s="206" t="s">
        <v>1374</v>
      </c>
      <c r="F445" s="206" t="s">
        <v>1375</v>
      </c>
      <c r="G445" s="206" t="s">
        <v>280</v>
      </c>
      <c r="H445" s="206" t="s">
        <v>84</v>
      </c>
      <c r="I445" s="206" t="s">
        <v>109</v>
      </c>
      <c r="J445" s="206" t="s">
        <v>282</v>
      </c>
      <c r="K445" s="206" t="s">
        <v>31</v>
      </c>
      <c r="L445" s="206" t="str">
        <f>VLOOKUP(Primary_Order[[#This Row],[Product ID]],SKU[],3,0)</f>
        <v>3000 4T PLUS 10W30</v>
      </c>
      <c r="M445" s="231">
        <v>60</v>
      </c>
      <c r="N445" s="231">
        <v>540</v>
      </c>
      <c r="O445" s="231">
        <v>60</v>
      </c>
      <c r="P445" s="232">
        <v>9.2592592592593004E-3</v>
      </c>
      <c r="Q445" s="231">
        <v>0</v>
      </c>
      <c r="R445" s="231">
        <v>535</v>
      </c>
      <c r="S445" s="231">
        <v>60</v>
      </c>
      <c r="T445" s="231">
        <v>60</v>
      </c>
      <c r="U445" s="231">
        <v>32400</v>
      </c>
      <c r="V445" s="231">
        <v>0</v>
      </c>
      <c r="W445" s="231">
        <v>32100</v>
      </c>
      <c r="X445" s="231">
        <v>4186.95652173913</v>
      </c>
      <c r="Y445" s="231">
        <v>27913.043478260868</v>
      </c>
      <c r="Z445" s="206" t="s">
        <v>882</v>
      </c>
      <c r="AA445" s="206">
        <v>684</v>
      </c>
      <c r="AB445" s="206" t="s">
        <v>1170</v>
      </c>
      <c r="AC445" s="230">
        <v>45740</v>
      </c>
      <c r="AD445" s="206" t="s">
        <v>50</v>
      </c>
      <c r="AE445" s="206" t="str">
        <f>IFERROR(VLOOKUP(Primary_Order[[#This Row],[AM]],SP!$E$19:$F$23,2,0),Primary_Order[[#This Row],[AM]])</f>
        <v>Northern</v>
      </c>
      <c r="AF445" s="206" t="str">
        <f>VLOOKUP(Primary_Order[[#This Row],[Product ID]],SKU[],10,0)</f>
        <v>Mineral</v>
      </c>
      <c r="AG445" s="206" t="str">
        <f>VLOOKUP(Primary_Order[[#This Row],[Product ID]],SKU[],9,0)</f>
        <v>MCO</v>
      </c>
      <c r="AH445" s="206" t="str">
        <f>VLOOKUP(Primary_Order[[#This Row],[Product ID]],SKU[],12,0)</f>
        <v>10W30</v>
      </c>
      <c r="AI445" s="206" t="str">
        <f>VLOOKUP(Primary_Order[[#This Row],[Product ID]],SKU[],13,0)</f>
        <v>3000</v>
      </c>
      <c r="AJ445" s="233">
        <f>VLOOKUP(Primary_Order[[#This Row],[Product ID]],SKU[[SKU ID]:[Bottle Size(Ltr)]],6,0)*Primary_Order[[#This Row],[Free Quantity]]</f>
        <v>0</v>
      </c>
      <c r="AK445" s="206" t="str">
        <f>VLOOKUP(Primary_Order[[#This Row],[Product ID]],SKU[[SKU ID]:[Bottle Size(Ltr)]],4,0)</f>
        <v>20x1L</v>
      </c>
      <c r="AL445" s="231">
        <f>VLOOKUP(Primary_Order[[#This Row],[Product ID]],SKU[],14,0)*Primary_Order[[#This Row],[Total Qty]]</f>
        <v>22759.8</v>
      </c>
      <c r="AM445" s="231">
        <f>IF(Primary_Order[[#This Row],[Cost]]=0,0,Primary_Order[[#This Row],[Net Total(-15%)]]-Primary_Order[[#This Row],[Cost]])</f>
        <v>5153.2434782608689</v>
      </c>
      <c r="AN445" s="206" t="str">
        <f>"O-"&amp;Primary_Order[[#This Row],[Date]]&amp;"-"&amp;Primary_Order[[#This Row],[MMD ID]]</f>
        <v>O-45739-D-0023</v>
      </c>
      <c r="AO445" s="206" t="str" cm="1">
        <f t="array" ref="AO44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6" spans="1:41" x14ac:dyDescent="0.5">
      <c r="A446" s="206" t="s">
        <v>1389</v>
      </c>
      <c r="B446" s="230">
        <v>45739</v>
      </c>
      <c r="C446" s="206" t="s">
        <v>108</v>
      </c>
      <c r="D446" s="206" t="s">
        <v>1373</v>
      </c>
      <c r="E446" s="206" t="s">
        <v>1374</v>
      </c>
      <c r="F446" s="206" t="s">
        <v>1375</v>
      </c>
      <c r="G446" s="206" t="s">
        <v>280</v>
      </c>
      <c r="H446" s="206" t="s">
        <v>84</v>
      </c>
      <c r="I446" s="206" t="s">
        <v>109</v>
      </c>
      <c r="J446" s="206" t="s">
        <v>282</v>
      </c>
      <c r="K446" s="206" t="s">
        <v>53</v>
      </c>
      <c r="L446" s="206" t="str">
        <f>VLOOKUP(Primary_Order[[#This Row],[Product ID]],SKU[],3,0)</f>
        <v>3000 4T PLUS 20W40</v>
      </c>
      <c r="M446" s="231">
        <v>20</v>
      </c>
      <c r="N446" s="231">
        <v>535</v>
      </c>
      <c r="O446" s="231">
        <v>20</v>
      </c>
      <c r="P446" s="232">
        <v>0</v>
      </c>
      <c r="Q446" s="231">
        <v>0</v>
      </c>
      <c r="R446" s="231">
        <v>535</v>
      </c>
      <c r="S446" s="231">
        <v>20</v>
      </c>
      <c r="T446" s="231">
        <v>20</v>
      </c>
      <c r="U446" s="231">
        <v>10700</v>
      </c>
      <c r="V446" s="231">
        <v>0</v>
      </c>
      <c r="W446" s="231">
        <v>10700</v>
      </c>
      <c r="X446" s="231">
        <v>1395.6521739130435</v>
      </c>
      <c r="Y446" s="231">
        <v>9304.347826086956</v>
      </c>
      <c r="Z446" s="206" t="s">
        <v>882</v>
      </c>
      <c r="AA446" s="206">
        <v>684</v>
      </c>
      <c r="AB446" s="206" t="s">
        <v>1170</v>
      </c>
      <c r="AC446" s="230">
        <v>45740</v>
      </c>
      <c r="AD446" s="206" t="s">
        <v>50</v>
      </c>
      <c r="AE446" s="206" t="str">
        <f>IFERROR(VLOOKUP(Primary_Order[[#This Row],[AM]],SP!$E$19:$F$23,2,0),Primary_Order[[#This Row],[AM]])</f>
        <v>Northern</v>
      </c>
      <c r="AF446" s="206" t="str">
        <f>VLOOKUP(Primary_Order[[#This Row],[Product ID]],SKU[],10,0)</f>
        <v>Mineral</v>
      </c>
      <c r="AG446" s="206" t="str">
        <f>VLOOKUP(Primary_Order[[#This Row],[Product ID]],SKU[],9,0)</f>
        <v>MCO</v>
      </c>
      <c r="AH446" s="206" t="str">
        <f>VLOOKUP(Primary_Order[[#This Row],[Product ID]],SKU[],12,0)</f>
        <v>20W40</v>
      </c>
      <c r="AI446" s="206" t="str">
        <f>VLOOKUP(Primary_Order[[#This Row],[Product ID]],SKU[],13,0)</f>
        <v>3000</v>
      </c>
      <c r="AJ446" s="233">
        <f>VLOOKUP(Primary_Order[[#This Row],[Product ID]],SKU[[SKU ID]:[Bottle Size(Ltr)]],6,0)*Primary_Order[[#This Row],[Free Quantity]]</f>
        <v>0</v>
      </c>
      <c r="AK446" s="206" t="str">
        <f>VLOOKUP(Primary_Order[[#This Row],[Product ID]],SKU[[SKU ID]:[Bottle Size(Ltr)]],4,0)</f>
        <v>20x1L</v>
      </c>
      <c r="AL446" s="231">
        <f>VLOOKUP(Primary_Order[[#This Row],[Product ID]],SKU[],14,0)*Primary_Order[[#This Row],[Total Qty]]</f>
        <v>8255.2000000000007</v>
      </c>
      <c r="AM446" s="231">
        <f>IF(Primary_Order[[#This Row],[Cost]]=0,0,Primary_Order[[#This Row],[Net Total(-15%)]]-Primary_Order[[#This Row],[Cost]])</f>
        <v>1049.1478260869553</v>
      </c>
      <c r="AN446" s="206" t="str">
        <f>"O-"&amp;Primary_Order[[#This Row],[Date]]&amp;"-"&amp;Primary_Order[[#This Row],[MMD ID]]</f>
        <v>O-45739-D-0023</v>
      </c>
      <c r="AO446" s="206" t="str" cm="1">
        <f t="array" ref="AO44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7" spans="1:41" x14ac:dyDescent="0.5">
      <c r="A447" s="206" t="s">
        <v>1389</v>
      </c>
      <c r="B447" s="230">
        <v>45739</v>
      </c>
      <c r="C447" s="206" t="s">
        <v>108</v>
      </c>
      <c r="D447" s="206" t="s">
        <v>1373</v>
      </c>
      <c r="E447" s="206" t="s">
        <v>1374</v>
      </c>
      <c r="F447" s="206" t="s">
        <v>1375</v>
      </c>
      <c r="G447" s="206" t="s">
        <v>280</v>
      </c>
      <c r="H447" s="206" t="s">
        <v>84</v>
      </c>
      <c r="I447" s="206" t="s">
        <v>109</v>
      </c>
      <c r="J447" s="206" t="s">
        <v>282</v>
      </c>
      <c r="K447" s="206" t="s">
        <v>54</v>
      </c>
      <c r="L447" s="206" t="str">
        <f>VLOOKUP(Primary_Order[[#This Row],[Product ID]],SKU[],3,0)</f>
        <v>3000 4T PLUS 10W40</v>
      </c>
      <c r="M447" s="231">
        <v>140</v>
      </c>
      <c r="N447" s="231">
        <v>550</v>
      </c>
      <c r="O447" s="231">
        <v>140</v>
      </c>
      <c r="P447" s="232">
        <v>2.7272727272727226E-2</v>
      </c>
      <c r="Q447" s="231">
        <v>0</v>
      </c>
      <c r="R447" s="231">
        <v>535</v>
      </c>
      <c r="S447" s="231">
        <v>140</v>
      </c>
      <c r="T447" s="231">
        <v>140</v>
      </c>
      <c r="U447" s="231">
        <v>77000</v>
      </c>
      <c r="V447" s="231">
        <v>0</v>
      </c>
      <c r="W447" s="231">
        <v>74900</v>
      </c>
      <c r="X447" s="231">
        <v>9769.565217391304</v>
      </c>
      <c r="Y447" s="231">
        <v>65130.434782608696</v>
      </c>
      <c r="Z447" s="206" t="s">
        <v>882</v>
      </c>
      <c r="AA447" s="206">
        <v>684</v>
      </c>
      <c r="AB447" s="206" t="s">
        <v>1170</v>
      </c>
      <c r="AC447" s="230">
        <v>45740</v>
      </c>
      <c r="AD447" s="206" t="s">
        <v>50</v>
      </c>
      <c r="AE447" s="206" t="str">
        <f>IFERROR(VLOOKUP(Primary_Order[[#This Row],[AM]],SP!$E$19:$F$23,2,0),Primary_Order[[#This Row],[AM]])</f>
        <v>Northern</v>
      </c>
      <c r="AF447" s="206" t="str">
        <f>VLOOKUP(Primary_Order[[#This Row],[Product ID]],SKU[],10,0)</f>
        <v>Mineral</v>
      </c>
      <c r="AG447" s="206" t="str">
        <f>VLOOKUP(Primary_Order[[#This Row],[Product ID]],SKU[],9,0)</f>
        <v>MCO</v>
      </c>
      <c r="AH447" s="206" t="str">
        <f>VLOOKUP(Primary_Order[[#This Row],[Product ID]],SKU[],12,0)</f>
        <v>10W40</v>
      </c>
      <c r="AI447" s="206" t="str">
        <f>VLOOKUP(Primary_Order[[#This Row],[Product ID]],SKU[],13,0)</f>
        <v>3000</v>
      </c>
      <c r="AJ447" s="233">
        <f>VLOOKUP(Primary_Order[[#This Row],[Product ID]],SKU[[SKU ID]:[Bottle Size(Ltr)]],6,0)*Primary_Order[[#This Row],[Free Quantity]]</f>
        <v>0</v>
      </c>
      <c r="AK447" s="206" t="str">
        <f>VLOOKUP(Primary_Order[[#This Row],[Product ID]],SKU[[SKU ID]:[Bottle Size(Ltr)]],4,0)</f>
        <v>20x1L</v>
      </c>
      <c r="AL447" s="231">
        <f>VLOOKUP(Primary_Order[[#This Row],[Product ID]],SKU[],14,0)*Primary_Order[[#This Row],[Total Qty]]</f>
        <v>53879</v>
      </c>
      <c r="AM447" s="231">
        <f>IF(Primary_Order[[#This Row],[Cost]]=0,0,Primary_Order[[#This Row],[Net Total(-15%)]]-Primary_Order[[#This Row],[Cost]])</f>
        <v>11251.434782608696</v>
      </c>
      <c r="AN447" s="206" t="str">
        <f>"O-"&amp;Primary_Order[[#This Row],[Date]]&amp;"-"&amp;Primary_Order[[#This Row],[MMD ID]]</f>
        <v>O-45739-D-0023</v>
      </c>
      <c r="AO447" s="206" t="str" cm="1">
        <f t="array" ref="AO44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8" spans="1:41" x14ac:dyDescent="0.5">
      <c r="A448" s="206" t="s">
        <v>1389</v>
      </c>
      <c r="B448" s="230">
        <v>45739</v>
      </c>
      <c r="C448" s="206" t="s">
        <v>108</v>
      </c>
      <c r="D448" s="206" t="s">
        <v>1373</v>
      </c>
      <c r="E448" s="206" t="s">
        <v>1374</v>
      </c>
      <c r="F448" s="206" t="s">
        <v>1375</v>
      </c>
      <c r="G448" s="206" t="s">
        <v>280</v>
      </c>
      <c r="H448" s="206" t="s">
        <v>84</v>
      </c>
      <c r="I448" s="206" t="s">
        <v>109</v>
      </c>
      <c r="J448" s="206" t="s">
        <v>282</v>
      </c>
      <c r="K448" s="206" t="s">
        <v>33</v>
      </c>
      <c r="L448" s="206" t="str">
        <f>VLOOKUP(Primary_Order[[#This Row],[Product ID]],SKU[],3,0)</f>
        <v>3000 4T PLUS 20W40</v>
      </c>
      <c r="M448" s="231">
        <v>40</v>
      </c>
      <c r="N448" s="231">
        <v>645</v>
      </c>
      <c r="O448" s="231">
        <v>48</v>
      </c>
      <c r="P448" s="232">
        <v>7.7519379844961378E-3</v>
      </c>
      <c r="Q448" s="231">
        <v>0</v>
      </c>
      <c r="R448" s="231">
        <v>640</v>
      </c>
      <c r="S448" s="231">
        <v>40</v>
      </c>
      <c r="T448" s="231">
        <v>48</v>
      </c>
      <c r="U448" s="231">
        <v>25800</v>
      </c>
      <c r="V448" s="231">
        <v>0</v>
      </c>
      <c r="W448" s="231">
        <v>25600</v>
      </c>
      <c r="X448" s="231">
        <v>3339.1304347826085</v>
      </c>
      <c r="Y448" s="231">
        <v>22260.869565217392</v>
      </c>
      <c r="Z448" s="206" t="s">
        <v>882</v>
      </c>
      <c r="AA448" s="206">
        <v>684</v>
      </c>
      <c r="AB448" s="206" t="s">
        <v>1170</v>
      </c>
      <c r="AC448" s="230">
        <v>45740</v>
      </c>
      <c r="AD448" s="206" t="s">
        <v>50</v>
      </c>
      <c r="AE448" s="206" t="str">
        <f>IFERROR(VLOOKUP(Primary_Order[[#This Row],[AM]],SP!$E$19:$F$23,2,0),Primary_Order[[#This Row],[AM]])</f>
        <v>Northern</v>
      </c>
      <c r="AF448" s="206" t="str">
        <f>VLOOKUP(Primary_Order[[#This Row],[Product ID]],SKU[],10,0)</f>
        <v>Mineral</v>
      </c>
      <c r="AG448" s="206" t="str">
        <f>VLOOKUP(Primary_Order[[#This Row],[Product ID]],SKU[],9,0)</f>
        <v>MCO</v>
      </c>
      <c r="AH448" s="206" t="str">
        <f>VLOOKUP(Primary_Order[[#This Row],[Product ID]],SKU[],12,0)</f>
        <v>20W40</v>
      </c>
      <c r="AI448" s="206" t="str">
        <f>VLOOKUP(Primary_Order[[#This Row],[Product ID]],SKU[],13,0)</f>
        <v>3000</v>
      </c>
      <c r="AJ448" s="233">
        <f>VLOOKUP(Primary_Order[[#This Row],[Product ID]],SKU[[SKU ID]:[Bottle Size(Ltr)]],6,0)*Primary_Order[[#This Row],[Free Quantity]]</f>
        <v>0</v>
      </c>
      <c r="AK448" s="206" t="str">
        <f>VLOOKUP(Primary_Order[[#This Row],[Product ID]],SKU[[SKU ID]:[Bottle Size(Ltr)]],4,0)</f>
        <v>20x1.2L</v>
      </c>
      <c r="AL448" s="231">
        <f>VLOOKUP(Primary_Order[[#This Row],[Product ID]],SKU[],14,0)*Primary_Order[[#This Row],[Total Qty]]</f>
        <v>18795.911814024388</v>
      </c>
      <c r="AM448" s="231">
        <f>IF(Primary_Order[[#This Row],[Cost]]=0,0,Primary_Order[[#This Row],[Net Total(-15%)]]-Primary_Order[[#This Row],[Cost]])</f>
        <v>3464.9577511930038</v>
      </c>
      <c r="AN448" s="206" t="str">
        <f>"O-"&amp;Primary_Order[[#This Row],[Date]]&amp;"-"&amp;Primary_Order[[#This Row],[MMD ID]]</f>
        <v>O-45739-D-0023</v>
      </c>
      <c r="AO448" s="206" t="str" cm="1">
        <f t="array" ref="AO44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49" spans="1:41" x14ac:dyDescent="0.5">
      <c r="A449" s="206" t="s">
        <v>1389</v>
      </c>
      <c r="B449" s="230">
        <v>45739</v>
      </c>
      <c r="C449" s="206" t="s">
        <v>108</v>
      </c>
      <c r="D449" s="206" t="s">
        <v>1373</v>
      </c>
      <c r="E449" s="206" t="s">
        <v>1374</v>
      </c>
      <c r="F449" s="206" t="s">
        <v>1375</v>
      </c>
      <c r="G449" s="206" t="s">
        <v>280</v>
      </c>
      <c r="H449" s="206" t="s">
        <v>84</v>
      </c>
      <c r="I449" s="206" t="s">
        <v>109</v>
      </c>
      <c r="J449" s="206" t="s">
        <v>282</v>
      </c>
      <c r="K449" s="206" t="s">
        <v>36</v>
      </c>
      <c r="L449" s="206" t="str">
        <f>VLOOKUP(Primary_Order[[#This Row],[Product ID]],SKU[],3,0)</f>
        <v>51004T 10W40 ESTER</v>
      </c>
      <c r="M449" s="231">
        <v>24</v>
      </c>
      <c r="N449" s="231">
        <v>860</v>
      </c>
      <c r="O449" s="231">
        <v>24</v>
      </c>
      <c r="P449" s="232">
        <v>0</v>
      </c>
      <c r="Q449" s="231">
        <v>0</v>
      </c>
      <c r="R449" s="231">
        <v>860</v>
      </c>
      <c r="S449" s="231">
        <v>24</v>
      </c>
      <c r="T449" s="231">
        <v>24</v>
      </c>
      <c r="U449" s="231">
        <v>20640</v>
      </c>
      <c r="V449" s="231">
        <v>0</v>
      </c>
      <c r="W449" s="231">
        <v>20640</v>
      </c>
      <c r="X449" s="231">
        <v>2692.1739130434785</v>
      </c>
      <c r="Y449" s="231">
        <v>17947.82608695652</v>
      </c>
      <c r="Z449" s="206" t="s">
        <v>882</v>
      </c>
      <c r="AA449" s="206">
        <v>684</v>
      </c>
      <c r="AB449" s="206" t="s">
        <v>1170</v>
      </c>
      <c r="AC449" s="230">
        <v>45740</v>
      </c>
      <c r="AD449" s="206" t="s">
        <v>50</v>
      </c>
      <c r="AE449" s="206" t="str">
        <f>IFERROR(VLOOKUP(Primary_Order[[#This Row],[AM]],SP!$E$19:$F$23,2,0),Primary_Order[[#This Row],[AM]])</f>
        <v>Northern</v>
      </c>
      <c r="AF449" s="206" t="str">
        <f>VLOOKUP(Primary_Order[[#This Row],[Product ID]],SKU[],10,0)</f>
        <v>Technosynthese</v>
      </c>
      <c r="AG449" s="206" t="str">
        <f>VLOOKUP(Primary_Order[[#This Row],[Product ID]],SKU[],9,0)</f>
        <v>MCO</v>
      </c>
      <c r="AH449" s="206" t="str">
        <f>VLOOKUP(Primary_Order[[#This Row],[Product ID]],SKU[],12,0)</f>
        <v>10W40</v>
      </c>
      <c r="AI449" s="206" t="str">
        <f>VLOOKUP(Primary_Order[[#This Row],[Product ID]],SKU[],13,0)</f>
        <v>5100</v>
      </c>
      <c r="AJ449" s="233">
        <f>VLOOKUP(Primary_Order[[#This Row],[Product ID]],SKU[[SKU ID]:[Bottle Size(Ltr)]],6,0)*Primary_Order[[#This Row],[Free Quantity]]</f>
        <v>0</v>
      </c>
      <c r="AK449" s="206" t="str">
        <f>VLOOKUP(Primary_Order[[#This Row],[Product ID]],SKU[[SKU ID]:[Bottle Size(Ltr)]],4,0)</f>
        <v>12x1L</v>
      </c>
      <c r="AL449" s="231">
        <f>VLOOKUP(Primary_Order[[#This Row],[Product ID]],SKU[],14,0)*Primary_Order[[#This Row],[Total Qty]]</f>
        <v>14599.920000000002</v>
      </c>
      <c r="AM449" s="231">
        <f>IF(Primary_Order[[#This Row],[Cost]]=0,0,Primary_Order[[#This Row],[Net Total(-15%)]]-Primary_Order[[#This Row],[Cost]])</f>
        <v>3347.9060869565183</v>
      </c>
      <c r="AN449" s="206" t="str">
        <f>"O-"&amp;Primary_Order[[#This Row],[Date]]&amp;"-"&amp;Primary_Order[[#This Row],[MMD ID]]</f>
        <v>O-45739-D-0023</v>
      </c>
      <c r="AO449" s="206" t="str" cm="1">
        <f t="array" ref="AO44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0" spans="1:41" x14ac:dyDescent="0.5">
      <c r="A450" s="206" t="s">
        <v>1389</v>
      </c>
      <c r="B450" s="230">
        <v>45739</v>
      </c>
      <c r="C450" s="206" t="s">
        <v>108</v>
      </c>
      <c r="D450" s="206" t="s">
        <v>1373</v>
      </c>
      <c r="E450" s="206" t="s">
        <v>1374</v>
      </c>
      <c r="F450" s="206" t="s">
        <v>1375</v>
      </c>
      <c r="G450" s="206" t="s">
        <v>280</v>
      </c>
      <c r="H450" s="206" t="s">
        <v>84</v>
      </c>
      <c r="I450" s="206" t="s">
        <v>109</v>
      </c>
      <c r="J450" s="206" t="s">
        <v>282</v>
      </c>
      <c r="K450" s="206" t="s">
        <v>56</v>
      </c>
      <c r="L450" s="206" t="str">
        <f>VLOOKUP(Primary_Order[[#This Row],[Product ID]],SKU[],3,0)</f>
        <v>7100 4T 10W30 ESTER CORE®</v>
      </c>
      <c r="M450" s="231">
        <v>12</v>
      </c>
      <c r="N450" s="231">
        <v>1080</v>
      </c>
      <c r="O450" s="231">
        <v>12</v>
      </c>
      <c r="P450" s="232">
        <v>4.6296296296296502E-3</v>
      </c>
      <c r="Q450" s="231">
        <v>0</v>
      </c>
      <c r="R450" s="231">
        <v>1075</v>
      </c>
      <c r="S450" s="231">
        <v>12</v>
      </c>
      <c r="T450" s="231">
        <v>12</v>
      </c>
      <c r="U450" s="231">
        <v>12960</v>
      </c>
      <c r="V450" s="231">
        <v>0</v>
      </c>
      <c r="W450" s="231">
        <v>12900</v>
      </c>
      <c r="X450" s="231">
        <v>1682.608695652174</v>
      </c>
      <c r="Y450" s="231">
        <v>11217.391304347826</v>
      </c>
      <c r="Z450" s="206" t="s">
        <v>882</v>
      </c>
      <c r="AA450" s="206">
        <v>684</v>
      </c>
      <c r="AB450" s="206" t="s">
        <v>1170</v>
      </c>
      <c r="AC450" s="230">
        <v>45740</v>
      </c>
      <c r="AD450" s="206" t="s">
        <v>50</v>
      </c>
      <c r="AE450" s="206" t="str">
        <f>IFERROR(VLOOKUP(Primary_Order[[#This Row],[AM]],SP!$E$19:$F$23,2,0),Primary_Order[[#This Row],[AM]])</f>
        <v>Northern</v>
      </c>
      <c r="AF450" s="206" t="str">
        <f>VLOOKUP(Primary_Order[[#This Row],[Product ID]],SKU[],10,0)</f>
        <v>Synthetic</v>
      </c>
      <c r="AG450" s="206" t="str">
        <f>VLOOKUP(Primary_Order[[#This Row],[Product ID]],SKU[],9,0)</f>
        <v>MCO</v>
      </c>
      <c r="AH450" s="206" t="str">
        <f>VLOOKUP(Primary_Order[[#This Row],[Product ID]],SKU[],12,0)</f>
        <v>10W30</v>
      </c>
      <c r="AI450" s="206" t="str">
        <f>VLOOKUP(Primary_Order[[#This Row],[Product ID]],SKU[],13,0)</f>
        <v>7100</v>
      </c>
      <c r="AJ450" s="233">
        <f>VLOOKUP(Primary_Order[[#This Row],[Product ID]],SKU[[SKU ID]:[Bottle Size(Ltr)]],6,0)*Primary_Order[[#This Row],[Free Quantity]]</f>
        <v>0</v>
      </c>
      <c r="AK450" s="206" t="str">
        <f>VLOOKUP(Primary_Order[[#This Row],[Product ID]],SKU[[SKU ID]:[Bottle Size(Ltr)]],4,0)</f>
        <v>12x1L</v>
      </c>
      <c r="AL450" s="231">
        <f>VLOOKUP(Primary_Order[[#This Row],[Product ID]],SKU[],14,0)*Primary_Order[[#This Row],[Total Qty]]</f>
        <v>8278.32</v>
      </c>
      <c r="AM450" s="231">
        <f>IF(Primary_Order[[#This Row],[Cost]]=0,0,Primary_Order[[#This Row],[Net Total(-15%)]]-Primary_Order[[#This Row],[Cost]])</f>
        <v>2939.0713043478263</v>
      </c>
      <c r="AN450" s="206" t="str">
        <f>"O-"&amp;Primary_Order[[#This Row],[Date]]&amp;"-"&amp;Primary_Order[[#This Row],[MMD ID]]</f>
        <v>O-45739-D-0023</v>
      </c>
      <c r="AO450" s="206" t="str" cm="1">
        <f t="array" ref="AO45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1" spans="1:41" x14ac:dyDescent="0.5">
      <c r="A451" s="206" t="s">
        <v>1389</v>
      </c>
      <c r="B451" s="230">
        <v>45739</v>
      </c>
      <c r="C451" s="206" t="s">
        <v>108</v>
      </c>
      <c r="D451" s="206" t="s">
        <v>1373</v>
      </c>
      <c r="E451" s="206" t="s">
        <v>1374</v>
      </c>
      <c r="F451" s="206" t="s">
        <v>1375</v>
      </c>
      <c r="G451" s="206" t="s">
        <v>280</v>
      </c>
      <c r="H451" s="206" t="s">
        <v>84</v>
      </c>
      <c r="I451" s="206" t="s">
        <v>109</v>
      </c>
      <c r="J451" s="206" t="s">
        <v>282</v>
      </c>
      <c r="K451" s="206" t="s">
        <v>58</v>
      </c>
      <c r="L451" s="206" t="str">
        <f>VLOOKUP(Primary_Order[[#This Row],[Product ID]],SKU[],3,0)</f>
        <v>7100 4T 20W50 ESTER CORE®</v>
      </c>
      <c r="M451" s="231">
        <v>24</v>
      </c>
      <c r="N451" s="231">
        <v>1080</v>
      </c>
      <c r="O451" s="231">
        <v>24</v>
      </c>
      <c r="P451" s="232">
        <v>4.6296296296296502E-3</v>
      </c>
      <c r="Q451" s="231">
        <v>0</v>
      </c>
      <c r="R451" s="231">
        <v>1075</v>
      </c>
      <c r="S451" s="231">
        <v>24</v>
      </c>
      <c r="T451" s="231">
        <v>24</v>
      </c>
      <c r="U451" s="231">
        <v>25920</v>
      </c>
      <c r="V451" s="231">
        <v>0</v>
      </c>
      <c r="W451" s="231">
        <v>25800</v>
      </c>
      <c r="X451" s="231">
        <v>3365.217391304348</v>
      </c>
      <c r="Y451" s="231">
        <v>22434.782608695652</v>
      </c>
      <c r="Z451" s="206" t="s">
        <v>882</v>
      </c>
      <c r="AA451" s="206">
        <v>684</v>
      </c>
      <c r="AB451" s="206" t="s">
        <v>1170</v>
      </c>
      <c r="AC451" s="230">
        <v>45740</v>
      </c>
      <c r="AD451" s="206" t="s">
        <v>50</v>
      </c>
      <c r="AE451" s="206" t="str">
        <f>IFERROR(VLOOKUP(Primary_Order[[#This Row],[AM]],SP!$E$19:$F$23,2,0),Primary_Order[[#This Row],[AM]])</f>
        <v>Northern</v>
      </c>
      <c r="AF451" s="206" t="str">
        <f>VLOOKUP(Primary_Order[[#This Row],[Product ID]],SKU[],10,0)</f>
        <v>Synthetic</v>
      </c>
      <c r="AG451" s="206" t="str">
        <f>VLOOKUP(Primary_Order[[#This Row],[Product ID]],SKU[],9,0)</f>
        <v>MCO</v>
      </c>
      <c r="AH451" s="206" t="str">
        <f>VLOOKUP(Primary_Order[[#This Row],[Product ID]],SKU[],12,0)</f>
        <v>20W50</v>
      </c>
      <c r="AI451" s="206" t="str">
        <f>VLOOKUP(Primary_Order[[#This Row],[Product ID]],SKU[],13,0)</f>
        <v>7100</v>
      </c>
      <c r="AJ451" s="233">
        <f>VLOOKUP(Primary_Order[[#This Row],[Product ID]],SKU[[SKU ID]:[Bottle Size(Ltr)]],6,0)*Primary_Order[[#This Row],[Free Quantity]]</f>
        <v>0</v>
      </c>
      <c r="AK451" s="206" t="str">
        <f>VLOOKUP(Primary_Order[[#This Row],[Product ID]],SKU[[SKU ID]:[Bottle Size(Ltr)]],4,0)</f>
        <v>12x1L</v>
      </c>
      <c r="AL451" s="231">
        <f>VLOOKUP(Primary_Order[[#This Row],[Product ID]],SKU[],14,0)*Primary_Order[[#This Row],[Total Qty]]</f>
        <v>18328.761599999998</v>
      </c>
      <c r="AM451" s="231">
        <f>IF(Primary_Order[[#This Row],[Cost]]=0,0,Primary_Order[[#This Row],[Net Total(-15%)]]-Primary_Order[[#This Row],[Cost]])</f>
        <v>4106.021008695654</v>
      </c>
      <c r="AN451" s="206" t="str">
        <f>"O-"&amp;Primary_Order[[#This Row],[Date]]&amp;"-"&amp;Primary_Order[[#This Row],[MMD ID]]</f>
        <v>O-45739-D-0023</v>
      </c>
      <c r="AO451" s="206" t="str" cm="1">
        <f t="array" ref="AO45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2" spans="1:41" x14ac:dyDescent="0.5">
      <c r="A452" s="206" t="s">
        <v>1389</v>
      </c>
      <c r="B452" s="230">
        <v>45739</v>
      </c>
      <c r="C452" s="206" t="s">
        <v>108</v>
      </c>
      <c r="D452" s="206" t="s">
        <v>1373</v>
      </c>
      <c r="E452" s="206" t="s">
        <v>1374</v>
      </c>
      <c r="F452" s="206" t="s">
        <v>1375</v>
      </c>
      <c r="G452" s="206" t="s">
        <v>280</v>
      </c>
      <c r="H452" s="206" t="s">
        <v>84</v>
      </c>
      <c r="I452" s="206" t="s">
        <v>109</v>
      </c>
      <c r="J452" s="206" t="s">
        <v>282</v>
      </c>
      <c r="K452" s="206" t="s">
        <v>152</v>
      </c>
      <c r="L452" s="206" t="str">
        <f>VLOOKUP(Primary_Order[[#This Row],[Product ID]],SKU[],3,0)</f>
        <v>Inugel Expert Coolant</v>
      </c>
      <c r="M452" s="231">
        <v>40</v>
      </c>
      <c r="N452" s="231">
        <v>425</v>
      </c>
      <c r="O452" s="231">
        <v>40</v>
      </c>
      <c r="P452" s="232">
        <v>0</v>
      </c>
      <c r="Q452" s="231">
        <v>0</v>
      </c>
      <c r="R452" s="231">
        <v>425</v>
      </c>
      <c r="S452" s="231">
        <v>40</v>
      </c>
      <c r="T452" s="231">
        <v>40</v>
      </c>
      <c r="U452" s="231">
        <v>17000</v>
      </c>
      <c r="V452" s="231">
        <v>0</v>
      </c>
      <c r="W452" s="231">
        <v>17000</v>
      </c>
      <c r="X452" s="231">
        <v>2217.391304347826</v>
      </c>
      <c r="Y452" s="231">
        <v>14782.608695652174</v>
      </c>
      <c r="Z452" s="206" t="s">
        <v>882</v>
      </c>
      <c r="AA452" s="206">
        <v>684</v>
      </c>
      <c r="AB452" s="206" t="s">
        <v>1170</v>
      </c>
      <c r="AC452" s="230">
        <v>45740</v>
      </c>
      <c r="AD452" s="206" t="s">
        <v>50</v>
      </c>
      <c r="AE452" s="206" t="str">
        <f>IFERROR(VLOOKUP(Primary_Order[[#This Row],[AM]],SP!$E$19:$F$23,2,0),Primary_Order[[#This Row],[AM]])</f>
        <v>Northern</v>
      </c>
      <c r="AF452" s="206" t="str">
        <f>VLOOKUP(Primary_Order[[#This Row],[Product ID]],SKU[],10,0)</f>
        <v>Care Products</v>
      </c>
      <c r="AG452" s="206" t="str">
        <f>VLOOKUP(Primary_Order[[#This Row],[Product ID]],SKU[],9,0)</f>
        <v>Care Products</v>
      </c>
      <c r="AH452" s="206" t="str">
        <f>VLOOKUP(Primary_Order[[#This Row],[Product ID]],SKU[],12,0)</f>
        <v>Care Products</v>
      </c>
      <c r="AI452" s="206" t="str">
        <f>VLOOKUP(Primary_Order[[#This Row],[Product ID]],SKU[],13,0)</f>
        <v>Coolant</v>
      </c>
      <c r="AJ452" s="233">
        <f>VLOOKUP(Primary_Order[[#This Row],[Product ID]],SKU[[SKU ID]:[Bottle Size(Ltr)]],6,0)*Primary_Order[[#This Row],[Free Quantity]]</f>
        <v>0</v>
      </c>
      <c r="AK452" s="206" t="str">
        <f>VLOOKUP(Primary_Order[[#This Row],[Product ID]],SKU[[SKU ID]:[Bottle Size(Ltr)]],4,0)</f>
        <v>20x1L</v>
      </c>
      <c r="AL452" s="231">
        <f>VLOOKUP(Primary_Order[[#This Row],[Product ID]],SKU[],14,0)*Primary_Order[[#This Row],[Total Qty]]</f>
        <v>9225.5999999999985</v>
      </c>
      <c r="AM452" s="231">
        <f>IF(Primary_Order[[#This Row],[Cost]]=0,0,Primary_Order[[#This Row],[Net Total(-15%)]]-Primary_Order[[#This Row],[Cost]])</f>
        <v>5557.0086956521754</v>
      </c>
      <c r="AN452" s="206" t="str">
        <f>"O-"&amp;Primary_Order[[#This Row],[Date]]&amp;"-"&amp;Primary_Order[[#This Row],[MMD ID]]</f>
        <v>O-45739-D-0023</v>
      </c>
      <c r="AO452" s="206" t="str" cm="1">
        <f t="array" ref="AO45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3" spans="1:41" x14ac:dyDescent="0.5">
      <c r="A453" s="206" t="s">
        <v>1389</v>
      </c>
      <c r="B453" s="230">
        <v>45739</v>
      </c>
      <c r="C453" s="206" t="s">
        <v>108</v>
      </c>
      <c r="D453" s="206" t="s">
        <v>1373</v>
      </c>
      <c r="E453" s="206" t="s">
        <v>1374</v>
      </c>
      <c r="F453" s="206" t="s">
        <v>1375</v>
      </c>
      <c r="G453" s="206" t="s">
        <v>280</v>
      </c>
      <c r="H453" s="206" t="s">
        <v>84</v>
      </c>
      <c r="I453" s="206" t="s">
        <v>109</v>
      </c>
      <c r="J453" s="206" t="s">
        <v>282</v>
      </c>
      <c r="K453" s="206" t="s">
        <v>81</v>
      </c>
      <c r="L453" s="206" t="str">
        <f>VLOOKUP(Primary_Order[[#This Row],[Product ID]],SKU[],3,0)</f>
        <v>3000 4T 20W50</v>
      </c>
      <c r="M453" s="231">
        <v>140</v>
      </c>
      <c r="N453" s="231">
        <v>495</v>
      </c>
      <c r="O453" s="231">
        <v>140</v>
      </c>
      <c r="P453" s="232">
        <v>9.0909090909090939E-2</v>
      </c>
      <c r="Q453" s="231">
        <v>0</v>
      </c>
      <c r="R453" s="231">
        <v>450</v>
      </c>
      <c r="S453" s="231">
        <v>140</v>
      </c>
      <c r="T453" s="231">
        <v>140</v>
      </c>
      <c r="U453" s="231">
        <v>69300</v>
      </c>
      <c r="V453" s="231">
        <v>0</v>
      </c>
      <c r="W453" s="231">
        <v>63000</v>
      </c>
      <c r="X453" s="231">
        <v>8217.391304347826</v>
      </c>
      <c r="Y453" s="231">
        <v>54782.608695652176</v>
      </c>
      <c r="Z453" s="206" t="s">
        <v>882</v>
      </c>
      <c r="AA453" s="206">
        <v>684</v>
      </c>
      <c r="AB453" s="206" t="s">
        <v>1170</v>
      </c>
      <c r="AC453" s="230">
        <v>45740</v>
      </c>
      <c r="AD453" s="206" t="s">
        <v>50</v>
      </c>
      <c r="AE453" s="206" t="str">
        <f>IFERROR(VLOOKUP(Primary_Order[[#This Row],[AM]],SP!$E$19:$F$23,2,0),Primary_Order[[#This Row],[AM]])</f>
        <v>Northern</v>
      </c>
      <c r="AF453" s="206" t="str">
        <f>VLOOKUP(Primary_Order[[#This Row],[Product ID]],SKU[],10,0)</f>
        <v>Mineral</v>
      </c>
      <c r="AG453" s="206" t="str">
        <f>VLOOKUP(Primary_Order[[#This Row],[Product ID]],SKU[],9,0)</f>
        <v>MCO</v>
      </c>
      <c r="AH453" s="206" t="str">
        <f>VLOOKUP(Primary_Order[[#This Row],[Product ID]],SKU[],12,0)</f>
        <v>20W50</v>
      </c>
      <c r="AI453" s="206" t="str">
        <f>VLOOKUP(Primary_Order[[#This Row],[Product ID]],SKU[],13,0)</f>
        <v>3000</v>
      </c>
      <c r="AJ453" s="233">
        <f>VLOOKUP(Primary_Order[[#This Row],[Product ID]],SKU[[SKU ID]:[Bottle Size(Ltr)]],6,0)*Primary_Order[[#This Row],[Free Quantity]]</f>
        <v>0</v>
      </c>
      <c r="AK453" s="206" t="str">
        <f>VLOOKUP(Primary_Order[[#This Row],[Product ID]],SKU[[SKU ID]:[Bottle Size(Ltr)]],4,0)</f>
        <v>20x1L</v>
      </c>
      <c r="AL453" s="231">
        <f>VLOOKUP(Primary_Order[[#This Row],[Product ID]],SKU[],14,0)*Primary_Order[[#This Row],[Total Qty]]</f>
        <v>51088.800000000003</v>
      </c>
      <c r="AM453" s="231">
        <f>IF(Primary_Order[[#This Row],[Cost]]=0,0,Primary_Order[[#This Row],[Net Total(-15%)]]-Primary_Order[[#This Row],[Cost]])</f>
        <v>3693.8086956521729</v>
      </c>
      <c r="AN453" s="206" t="str">
        <f>"O-"&amp;Primary_Order[[#This Row],[Date]]&amp;"-"&amp;Primary_Order[[#This Row],[MMD ID]]</f>
        <v>O-45739-D-0023</v>
      </c>
      <c r="AO453" s="206" t="str" cm="1">
        <f t="array" ref="AO45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4" spans="1:41" x14ac:dyDescent="0.5">
      <c r="A454" s="206" t="s">
        <v>1390</v>
      </c>
      <c r="B454" s="230">
        <v>45739</v>
      </c>
      <c r="C454" s="206" t="s">
        <v>108</v>
      </c>
      <c r="D454" s="206" t="s">
        <v>1380</v>
      </c>
      <c r="E454" s="206" t="s">
        <v>1381</v>
      </c>
      <c r="F454" s="206">
        <v>1722254955</v>
      </c>
      <c r="G454" s="206" t="s">
        <v>280</v>
      </c>
      <c r="H454" s="206" t="s">
        <v>84</v>
      </c>
      <c r="I454" s="206" t="s">
        <v>109</v>
      </c>
      <c r="J454" s="206" t="s">
        <v>282</v>
      </c>
      <c r="K454" s="206" t="s">
        <v>31</v>
      </c>
      <c r="L454" s="206" t="str">
        <f>VLOOKUP(Primary_Order[[#This Row],[Product ID]],SKU[],3,0)</f>
        <v>3000 4T PLUS 10W30</v>
      </c>
      <c r="M454" s="231">
        <v>40</v>
      </c>
      <c r="N454" s="231">
        <v>540</v>
      </c>
      <c r="O454" s="231">
        <v>40</v>
      </c>
      <c r="P454" s="232">
        <v>0</v>
      </c>
      <c r="Q454" s="231">
        <v>0</v>
      </c>
      <c r="R454" s="231">
        <v>540</v>
      </c>
      <c r="S454" s="231">
        <v>40</v>
      </c>
      <c r="T454" s="231">
        <v>40</v>
      </c>
      <c r="U454" s="231">
        <v>21600</v>
      </c>
      <c r="V454" s="231">
        <v>0</v>
      </c>
      <c r="W454" s="231">
        <v>21600</v>
      </c>
      <c r="X454" s="231">
        <v>2817.391304347826</v>
      </c>
      <c r="Y454" s="231">
        <v>18782.608695652172</v>
      </c>
      <c r="Z454" s="206" t="s">
        <v>882</v>
      </c>
      <c r="AA454" s="206">
        <v>685</v>
      </c>
      <c r="AB454" s="206" t="s">
        <v>749</v>
      </c>
      <c r="AC454" s="230">
        <v>45740</v>
      </c>
      <c r="AD454" s="206" t="s">
        <v>50</v>
      </c>
      <c r="AE454" s="206" t="str">
        <f>IFERROR(VLOOKUP(Primary_Order[[#This Row],[AM]],SP!$E$19:$F$23,2,0),Primary_Order[[#This Row],[AM]])</f>
        <v>Northern</v>
      </c>
      <c r="AF454" s="206" t="str">
        <f>VLOOKUP(Primary_Order[[#This Row],[Product ID]],SKU[],10,0)</f>
        <v>Mineral</v>
      </c>
      <c r="AG454" s="206" t="str">
        <f>VLOOKUP(Primary_Order[[#This Row],[Product ID]],SKU[],9,0)</f>
        <v>MCO</v>
      </c>
      <c r="AH454" s="206" t="str">
        <f>VLOOKUP(Primary_Order[[#This Row],[Product ID]],SKU[],12,0)</f>
        <v>10W30</v>
      </c>
      <c r="AI454" s="206" t="str">
        <f>VLOOKUP(Primary_Order[[#This Row],[Product ID]],SKU[],13,0)</f>
        <v>3000</v>
      </c>
      <c r="AJ454" s="233">
        <f>VLOOKUP(Primary_Order[[#This Row],[Product ID]],SKU[[SKU ID]:[Bottle Size(Ltr)]],6,0)*Primary_Order[[#This Row],[Free Quantity]]</f>
        <v>0</v>
      </c>
      <c r="AK454" s="206" t="str">
        <f>VLOOKUP(Primary_Order[[#This Row],[Product ID]],SKU[[SKU ID]:[Bottle Size(Ltr)]],4,0)</f>
        <v>20x1L</v>
      </c>
      <c r="AL454" s="231">
        <f>VLOOKUP(Primary_Order[[#This Row],[Product ID]],SKU[],14,0)*Primary_Order[[#This Row],[Total Qty]]</f>
        <v>15173.199999999999</v>
      </c>
      <c r="AM454" s="231">
        <f>IF(Primary_Order[[#This Row],[Cost]]=0,0,Primary_Order[[#This Row],[Net Total(-15%)]]-Primary_Order[[#This Row],[Cost]])</f>
        <v>3609.4086956521733</v>
      </c>
      <c r="AN454" s="206" t="str">
        <f>"O-"&amp;Primary_Order[[#This Row],[Date]]&amp;"-"&amp;Primary_Order[[#This Row],[MMD ID]]</f>
        <v>O-45739-D-0023</v>
      </c>
      <c r="AO454" s="206" t="str" cm="1">
        <f t="array" ref="AO45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5" spans="1:41" x14ac:dyDescent="0.5">
      <c r="A455" s="206" t="s">
        <v>1390</v>
      </c>
      <c r="B455" s="230">
        <v>45739</v>
      </c>
      <c r="C455" s="206" t="s">
        <v>108</v>
      </c>
      <c r="D455" s="206" t="s">
        <v>1380</v>
      </c>
      <c r="E455" s="206" t="s">
        <v>1381</v>
      </c>
      <c r="F455" s="206">
        <v>1722254955</v>
      </c>
      <c r="G455" s="206" t="s">
        <v>280</v>
      </c>
      <c r="H455" s="206" t="s">
        <v>84</v>
      </c>
      <c r="I455" s="206" t="s">
        <v>109</v>
      </c>
      <c r="J455" s="206" t="s">
        <v>282</v>
      </c>
      <c r="K455" s="206" t="s">
        <v>54</v>
      </c>
      <c r="L455" s="206" t="str">
        <f>VLOOKUP(Primary_Order[[#This Row],[Product ID]],SKU[],3,0)</f>
        <v>3000 4T PLUS 10W40</v>
      </c>
      <c r="M455" s="231">
        <v>140</v>
      </c>
      <c r="N455" s="231">
        <v>550</v>
      </c>
      <c r="O455" s="231">
        <v>140</v>
      </c>
      <c r="P455" s="232">
        <v>1.8181818181818188E-2</v>
      </c>
      <c r="Q455" s="231">
        <v>0</v>
      </c>
      <c r="R455" s="231">
        <v>540</v>
      </c>
      <c r="S455" s="231">
        <v>140</v>
      </c>
      <c r="T455" s="231">
        <v>140</v>
      </c>
      <c r="U455" s="231">
        <v>77000</v>
      </c>
      <c r="V455" s="231">
        <v>0</v>
      </c>
      <c r="W455" s="231">
        <v>75600</v>
      </c>
      <c r="X455" s="231">
        <v>9860.8695652173919</v>
      </c>
      <c r="Y455" s="231">
        <v>65739.130434782608</v>
      </c>
      <c r="Z455" s="206" t="s">
        <v>882</v>
      </c>
      <c r="AA455" s="206">
        <v>685</v>
      </c>
      <c r="AB455" s="206" t="s">
        <v>749</v>
      </c>
      <c r="AC455" s="230">
        <v>45740</v>
      </c>
      <c r="AD455" s="206" t="s">
        <v>50</v>
      </c>
      <c r="AE455" s="206" t="str">
        <f>IFERROR(VLOOKUP(Primary_Order[[#This Row],[AM]],SP!$E$19:$F$23,2,0),Primary_Order[[#This Row],[AM]])</f>
        <v>Northern</v>
      </c>
      <c r="AF455" s="206" t="str">
        <f>VLOOKUP(Primary_Order[[#This Row],[Product ID]],SKU[],10,0)</f>
        <v>Mineral</v>
      </c>
      <c r="AG455" s="206" t="str">
        <f>VLOOKUP(Primary_Order[[#This Row],[Product ID]],SKU[],9,0)</f>
        <v>MCO</v>
      </c>
      <c r="AH455" s="206" t="str">
        <f>VLOOKUP(Primary_Order[[#This Row],[Product ID]],SKU[],12,0)</f>
        <v>10W40</v>
      </c>
      <c r="AI455" s="206" t="str">
        <f>VLOOKUP(Primary_Order[[#This Row],[Product ID]],SKU[],13,0)</f>
        <v>3000</v>
      </c>
      <c r="AJ455" s="233">
        <f>VLOOKUP(Primary_Order[[#This Row],[Product ID]],SKU[[SKU ID]:[Bottle Size(Ltr)]],6,0)*Primary_Order[[#This Row],[Free Quantity]]</f>
        <v>0</v>
      </c>
      <c r="AK455" s="206" t="str">
        <f>VLOOKUP(Primary_Order[[#This Row],[Product ID]],SKU[[SKU ID]:[Bottle Size(Ltr)]],4,0)</f>
        <v>20x1L</v>
      </c>
      <c r="AL455" s="231">
        <f>VLOOKUP(Primary_Order[[#This Row],[Product ID]],SKU[],14,0)*Primary_Order[[#This Row],[Total Qty]]</f>
        <v>53879</v>
      </c>
      <c r="AM455" s="231">
        <f>IF(Primary_Order[[#This Row],[Cost]]=0,0,Primary_Order[[#This Row],[Net Total(-15%)]]-Primary_Order[[#This Row],[Cost]])</f>
        <v>11860.130434782608</v>
      </c>
      <c r="AN455" s="206" t="str">
        <f>"O-"&amp;Primary_Order[[#This Row],[Date]]&amp;"-"&amp;Primary_Order[[#This Row],[MMD ID]]</f>
        <v>O-45739-D-0023</v>
      </c>
      <c r="AO455" s="206" t="str" cm="1">
        <f t="array" ref="AO45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6" spans="1:41" x14ac:dyDescent="0.5">
      <c r="A456" s="206" t="s">
        <v>1390</v>
      </c>
      <c r="B456" s="230">
        <v>45739</v>
      </c>
      <c r="C456" s="206" t="s">
        <v>108</v>
      </c>
      <c r="D456" s="206" t="s">
        <v>1380</v>
      </c>
      <c r="E456" s="206" t="s">
        <v>1381</v>
      </c>
      <c r="F456" s="206">
        <v>1722254955</v>
      </c>
      <c r="G456" s="206" t="s">
        <v>280</v>
      </c>
      <c r="H456" s="206" t="s">
        <v>84</v>
      </c>
      <c r="I456" s="206" t="s">
        <v>109</v>
      </c>
      <c r="J456" s="206" t="s">
        <v>282</v>
      </c>
      <c r="K456" s="206" t="s">
        <v>33</v>
      </c>
      <c r="L456" s="206" t="str">
        <f>VLOOKUP(Primary_Order[[#This Row],[Product ID]],SKU[],3,0)</f>
        <v>3000 4T PLUS 20W40</v>
      </c>
      <c r="M456" s="231">
        <v>20</v>
      </c>
      <c r="N456" s="231">
        <v>645</v>
      </c>
      <c r="O456" s="231">
        <v>24</v>
      </c>
      <c r="P456" s="232">
        <v>7.7519379844961378E-3</v>
      </c>
      <c r="Q456" s="231">
        <v>0</v>
      </c>
      <c r="R456" s="231">
        <v>640</v>
      </c>
      <c r="S456" s="231">
        <v>20</v>
      </c>
      <c r="T456" s="231">
        <v>24</v>
      </c>
      <c r="U456" s="231">
        <v>12900</v>
      </c>
      <c r="V456" s="231">
        <v>0</v>
      </c>
      <c r="W456" s="231">
        <v>12800</v>
      </c>
      <c r="X456" s="231">
        <v>1669.5652173913043</v>
      </c>
      <c r="Y456" s="231">
        <v>11130.434782608696</v>
      </c>
      <c r="Z456" s="206" t="s">
        <v>882</v>
      </c>
      <c r="AA456" s="206">
        <v>685</v>
      </c>
      <c r="AB456" s="206" t="s">
        <v>749</v>
      </c>
      <c r="AC456" s="230">
        <v>45740</v>
      </c>
      <c r="AD456" s="206" t="s">
        <v>50</v>
      </c>
      <c r="AE456" s="206" t="str">
        <f>IFERROR(VLOOKUP(Primary_Order[[#This Row],[AM]],SP!$E$19:$F$23,2,0),Primary_Order[[#This Row],[AM]])</f>
        <v>Northern</v>
      </c>
      <c r="AF456" s="206" t="str">
        <f>VLOOKUP(Primary_Order[[#This Row],[Product ID]],SKU[],10,0)</f>
        <v>Mineral</v>
      </c>
      <c r="AG456" s="206" t="str">
        <f>VLOOKUP(Primary_Order[[#This Row],[Product ID]],SKU[],9,0)</f>
        <v>MCO</v>
      </c>
      <c r="AH456" s="206" t="str">
        <f>VLOOKUP(Primary_Order[[#This Row],[Product ID]],SKU[],12,0)</f>
        <v>20W40</v>
      </c>
      <c r="AI456" s="206" t="str">
        <f>VLOOKUP(Primary_Order[[#This Row],[Product ID]],SKU[],13,0)</f>
        <v>3000</v>
      </c>
      <c r="AJ456" s="233">
        <f>VLOOKUP(Primary_Order[[#This Row],[Product ID]],SKU[[SKU ID]:[Bottle Size(Ltr)]],6,0)*Primary_Order[[#This Row],[Free Quantity]]</f>
        <v>0</v>
      </c>
      <c r="AK456" s="206" t="str">
        <f>VLOOKUP(Primary_Order[[#This Row],[Product ID]],SKU[[SKU ID]:[Bottle Size(Ltr)]],4,0)</f>
        <v>20x1.2L</v>
      </c>
      <c r="AL456" s="231">
        <f>VLOOKUP(Primary_Order[[#This Row],[Product ID]],SKU[],14,0)*Primary_Order[[#This Row],[Total Qty]]</f>
        <v>9397.9559070121941</v>
      </c>
      <c r="AM456" s="231">
        <f>IF(Primary_Order[[#This Row],[Cost]]=0,0,Primary_Order[[#This Row],[Net Total(-15%)]]-Primary_Order[[#This Row],[Cost]])</f>
        <v>1732.4788755965019</v>
      </c>
      <c r="AN456" s="206" t="str">
        <f>"O-"&amp;Primary_Order[[#This Row],[Date]]&amp;"-"&amp;Primary_Order[[#This Row],[MMD ID]]</f>
        <v>O-45739-D-0023</v>
      </c>
      <c r="AO456" s="206" t="str" cm="1">
        <f t="array" ref="AO45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7" spans="1:41" x14ac:dyDescent="0.5">
      <c r="A457" s="206" t="s">
        <v>1390</v>
      </c>
      <c r="B457" s="230">
        <v>45739</v>
      </c>
      <c r="C457" s="206" t="s">
        <v>108</v>
      </c>
      <c r="D457" s="206" t="s">
        <v>1380</v>
      </c>
      <c r="E457" s="206" t="s">
        <v>1381</v>
      </c>
      <c r="F457" s="206">
        <v>1722254955</v>
      </c>
      <c r="G457" s="206" t="s">
        <v>280</v>
      </c>
      <c r="H457" s="206" t="s">
        <v>84</v>
      </c>
      <c r="I457" s="206" t="s">
        <v>109</v>
      </c>
      <c r="J457" s="206" t="s">
        <v>282</v>
      </c>
      <c r="K457" s="206" t="s">
        <v>56</v>
      </c>
      <c r="L457" s="206" t="str">
        <f>VLOOKUP(Primary_Order[[#This Row],[Product ID]],SKU[],3,0)</f>
        <v>7100 4T 10W30 ESTER CORE®</v>
      </c>
      <c r="M457" s="231">
        <v>12</v>
      </c>
      <c r="N457" s="231">
        <v>1080</v>
      </c>
      <c r="O457" s="231">
        <v>12</v>
      </c>
      <c r="P457" s="232">
        <v>0</v>
      </c>
      <c r="Q457" s="231">
        <v>0</v>
      </c>
      <c r="R457" s="231">
        <v>1080</v>
      </c>
      <c r="S457" s="231">
        <v>12</v>
      </c>
      <c r="T457" s="231">
        <v>12</v>
      </c>
      <c r="U457" s="231">
        <v>12960</v>
      </c>
      <c r="V457" s="231">
        <v>0</v>
      </c>
      <c r="W457" s="231">
        <v>12960</v>
      </c>
      <c r="X457" s="231">
        <v>1690.4347826086957</v>
      </c>
      <c r="Y457" s="231">
        <v>11269.565217391304</v>
      </c>
      <c r="Z457" s="206" t="s">
        <v>882</v>
      </c>
      <c r="AA457" s="206">
        <v>685</v>
      </c>
      <c r="AB457" s="206" t="s">
        <v>749</v>
      </c>
      <c r="AC457" s="230">
        <v>45740</v>
      </c>
      <c r="AD457" s="206" t="s">
        <v>50</v>
      </c>
      <c r="AE457" s="206" t="str">
        <f>IFERROR(VLOOKUP(Primary_Order[[#This Row],[AM]],SP!$E$19:$F$23,2,0),Primary_Order[[#This Row],[AM]])</f>
        <v>Northern</v>
      </c>
      <c r="AF457" s="206" t="str">
        <f>VLOOKUP(Primary_Order[[#This Row],[Product ID]],SKU[],10,0)</f>
        <v>Synthetic</v>
      </c>
      <c r="AG457" s="206" t="str">
        <f>VLOOKUP(Primary_Order[[#This Row],[Product ID]],SKU[],9,0)</f>
        <v>MCO</v>
      </c>
      <c r="AH457" s="206" t="str">
        <f>VLOOKUP(Primary_Order[[#This Row],[Product ID]],SKU[],12,0)</f>
        <v>10W30</v>
      </c>
      <c r="AI457" s="206" t="str">
        <f>VLOOKUP(Primary_Order[[#This Row],[Product ID]],SKU[],13,0)</f>
        <v>7100</v>
      </c>
      <c r="AJ457" s="233">
        <f>VLOOKUP(Primary_Order[[#This Row],[Product ID]],SKU[[SKU ID]:[Bottle Size(Ltr)]],6,0)*Primary_Order[[#This Row],[Free Quantity]]</f>
        <v>0</v>
      </c>
      <c r="AK457" s="206" t="str">
        <f>VLOOKUP(Primary_Order[[#This Row],[Product ID]],SKU[[SKU ID]:[Bottle Size(Ltr)]],4,0)</f>
        <v>12x1L</v>
      </c>
      <c r="AL457" s="231">
        <f>VLOOKUP(Primary_Order[[#This Row],[Product ID]],SKU[],14,0)*Primary_Order[[#This Row],[Total Qty]]</f>
        <v>8278.32</v>
      </c>
      <c r="AM457" s="231">
        <f>IF(Primary_Order[[#This Row],[Cost]]=0,0,Primary_Order[[#This Row],[Net Total(-15%)]]-Primary_Order[[#This Row],[Cost]])</f>
        <v>2991.2452173913043</v>
      </c>
      <c r="AN457" s="206" t="str">
        <f>"O-"&amp;Primary_Order[[#This Row],[Date]]&amp;"-"&amp;Primary_Order[[#This Row],[MMD ID]]</f>
        <v>O-45739-D-0023</v>
      </c>
      <c r="AO457" s="206" t="str" cm="1">
        <f t="array" ref="AO45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8" spans="1:41" x14ac:dyDescent="0.5">
      <c r="A458" s="206" t="s">
        <v>1394</v>
      </c>
      <c r="B458" s="230">
        <v>45740</v>
      </c>
      <c r="C458" s="206" t="s">
        <v>97</v>
      </c>
      <c r="D458" s="206" t="s">
        <v>1298</v>
      </c>
      <c r="E458" s="206" t="s">
        <v>1299</v>
      </c>
      <c r="F458" s="206">
        <v>1711154387</v>
      </c>
      <c r="G458" s="206" t="s">
        <v>709</v>
      </c>
      <c r="H458" s="206" t="s">
        <v>40</v>
      </c>
      <c r="I458" s="206" t="s">
        <v>98</v>
      </c>
      <c r="J458" s="206" t="s">
        <v>452</v>
      </c>
      <c r="K458" s="206" t="s">
        <v>31</v>
      </c>
      <c r="L458" s="206" t="str">
        <f>VLOOKUP(Primary_Order[[#This Row],[Product ID]],SKU[],3,0)</f>
        <v>3000 4T PLUS 10W30</v>
      </c>
      <c r="M458" s="231">
        <v>400</v>
      </c>
      <c r="N458" s="231">
        <v>540</v>
      </c>
      <c r="O458" s="231">
        <v>400</v>
      </c>
      <c r="P458" s="232">
        <v>3.703703703703709E-2</v>
      </c>
      <c r="Q458" s="231">
        <v>0</v>
      </c>
      <c r="R458" s="231">
        <v>520</v>
      </c>
      <c r="S458" s="231">
        <v>400</v>
      </c>
      <c r="T458" s="231">
        <v>400</v>
      </c>
      <c r="U458" s="231">
        <v>216000</v>
      </c>
      <c r="V458" s="231">
        <v>0</v>
      </c>
      <c r="W458" s="231">
        <v>208000</v>
      </c>
      <c r="X458" s="231">
        <v>27130.434782608696</v>
      </c>
      <c r="Y458" s="231">
        <v>180869.5652173913</v>
      </c>
      <c r="Z458" s="206" t="s">
        <v>882</v>
      </c>
      <c r="AA458" s="206">
        <v>686</v>
      </c>
      <c r="AB458" s="206" t="s">
        <v>641</v>
      </c>
      <c r="AC458" s="230">
        <v>45741</v>
      </c>
      <c r="AD458" s="206" t="s">
        <v>50</v>
      </c>
      <c r="AE458" s="206" t="str">
        <f>IFERROR(VLOOKUP(Primary_Order[[#This Row],[AM]],SP!$E$19:$F$23,2,0),Primary_Order[[#This Row],[AM]])</f>
        <v>Central</v>
      </c>
      <c r="AF458" s="206" t="str">
        <f>VLOOKUP(Primary_Order[[#This Row],[Product ID]],SKU[],10,0)</f>
        <v>Mineral</v>
      </c>
      <c r="AG458" s="206" t="str">
        <f>VLOOKUP(Primary_Order[[#This Row],[Product ID]],SKU[],9,0)</f>
        <v>MCO</v>
      </c>
      <c r="AH458" s="206" t="str">
        <f>VLOOKUP(Primary_Order[[#This Row],[Product ID]],SKU[],12,0)</f>
        <v>10W30</v>
      </c>
      <c r="AI458" s="206" t="str">
        <f>VLOOKUP(Primary_Order[[#This Row],[Product ID]],SKU[],13,0)</f>
        <v>3000</v>
      </c>
      <c r="AJ458" s="233">
        <f>VLOOKUP(Primary_Order[[#This Row],[Product ID]],SKU[[SKU ID]:[Bottle Size(Ltr)]],6,0)*Primary_Order[[#This Row],[Free Quantity]]</f>
        <v>0</v>
      </c>
      <c r="AK458" s="206" t="str">
        <f>VLOOKUP(Primary_Order[[#This Row],[Product ID]],SKU[[SKU ID]:[Bottle Size(Ltr)]],4,0)</f>
        <v>20x1L</v>
      </c>
      <c r="AL458" s="231">
        <f>VLOOKUP(Primary_Order[[#This Row],[Product ID]],SKU[],14,0)*Primary_Order[[#This Row],[Total Qty]]</f>
        <v>151732</v>
      </c>
      <c r="AM458" s="231">
        <f>IF(Primary_Order[[#This Row],[Cost]]=0,0,Primary_Order[[#This Row],[Net Total(-15%)]]-Primary_Order[[#This Row],[Cost]])</f>
        <v>29137.565217391297</v>
      </c>
      <c r="AN458" s="206" t="str">
        <f>"O-"&amp;Primary_Order[[#This Row],[Date]]&amp;"-"&amp;Primary_Order[[#This Row],[MMD ID]]</f>
        <v>O-45740-D-0001</v>
      </c>
      <c r="AO458" s="206" t="str" cm="1">
        <f t="array" ref="AO45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59" spans="1:41" x14ac:dyDescent="0.5">
      <c r="A459" s="206" t="s">
        <v>1394</v>
      </c>
      <c r="B459" s="230">
        <v>45740</v>
      </c>
      <c r="C459" s="206" t="s">
        <v>97</v>
      </c>
      <c r="D459" s="206" t="s">
        <v>1298</v>
      </c>
      <c r="E459" s="206" t="s">
        <v>1299</v>
      </c>
      <c r="F459" s="206">
        <v>1711154387</v>
      </c>
      <c r="G459" s="206" t="s">
        <v>709</v>
      </c>
      <c r="H459" s="206" t="s">
        <v>40</v>
      </c>
      <c r="I459" s="206" t="s">
        <v>98</v>
      </c>
      <c r="J459" s="206" t="s">
        <v>452</v>
      </c>
      <c r="K459" s="206" t="s">
        <v>53</v>
      </c>
      <c r="L459" s="206" t="str">
        <f>VLOOKUP(Primary_Order[[#This Row],[Product ID]],SKU[],3,0)</f>
        <v>3000 4T PLUS 20W40</v>
      </c>
      <c r="M459" s="231">
        <v>300</v>
      </c>
      <c r="N459" s="231">
        <v>535</v>
      </c>
      <c r="O459" s="231">
        <v>300</v>
      </c>
      <c r="P459" s="232">
        <v>2.8037383177570097E-2</v>
      </c>
      <c r="Q459" s="231">
        <v>0</v>
      </c>
      <c r="R459" s="231">
        <v>520</v>
      </c>
      <c r="S459" s="231">
        <v>300</v>
      </c>
      <c r="T459" s="231">
        <v>300</v>
      </c>
      <c r="U459" s="231">
        <v>160500</v>
      </c>
      <c r="V459" s="231">
        <v>0</v>
      </c>
      <c r="W459" s="231">
        <v>156000</v>
      </c>
      <c r="X459" s="231">
        <v>20347.82608695652</v>
      </c>
      <c r="Y459" s="231">
        <v>135652.17391304349</v>
      </c>
      <c r="Z459" s="206" t="s">
        <v>882</v>
      </c>
      <c r="AA459" s="206">
        <v>686</v>
      </c>
      <c r="AB459" s="206" t="s">
        <v>641</v>
      </c>
      <c r="AC459" s="230">
        <v>45741</v>
      </c>
      <c r="AD459" s="206" t="s">
        <v>50</v>
      </c>
      <c r="AE459" s="206" t="str">
        <f>IFERROR(VLOOKUP(Primary_Order[[#This Row],[AM]],SP!$E$19:$F$23,2,0),Primary_Order[[#This Row],[AM]])</f>
        <v>Central</v>
      </c>
      <c r="AF459" s="206" t="str">
        <f>VLOOKUP(Primary_Order[[#This Row],[Product ID]],SKU[],10,0)</f>
        <v>Mineral</v>
      </c>
      <c r="AG459" s="206" t="str">
        <f>VLOOKUP(Primary_Order[[#This Row],[Product ID]],SKU[],9,0)</f>
        <v>MCO</v>
      </c>
      <c r="AH459" s="206" t="str">
        <f>VLOOKUP(Primary_Order[[#This Row],[Product ID]],SKU[],12,0)</f>
        <v>20W40</v>
      </c>
      <c r="AI459" s="206" t="str">
        <f>VLOOKUP(Primary_Order[[#This Row],[Product ID]],SKU[],13,0)</f>
        <v>3000</v>
      </c>
      <c r="AJ459" s="233">
        <f>VLOOKUP(Primary_Order[[#This Row],[Product ID]],SKU[[SKU ID]:[Bottle Size(Ltr)]],6,0)*Primary_Order[[#This Row],[Free Quantity]]</f>
        <v>0</v>
      </c>
      <c r="AK459" s="206" t="str">
        <f>VLOOKUP(Primary_Order[[#This Row],[Product ID]],SKU[[SKU ID]:[Bottle Size(Ltr)]],4,0)</f>
        <v>20x1L</v>
      </c>
      <c r="AL459" s="231">
        <f>VLOOKUP(Primary_Order[[#This Row],[Product ID]],SKU[],14,0)*Primary_Order[[#This Row],[Total Qty]]</f>
        <v>123828</v>
      </c>
      <c r="AM459" s="231">
        <f>IF(Primary_Order[[#This Row],[Cost]]=0,0,Primary_Order[[#This Row],[Net Total(-15%)]]-Primary_Order[[#This Row],[Cost]])</f>
        <v>11824.173913043487</v>
      </c>
      <c r="AN459" s="206" t="str">
        <f>"O-"&amp;Primary_Order[[#This Row],[Date]]&amp;"-"&amp;Primary_Order[[#This Row],[MMD ID]]</f>
        <v>O-45740-D-0001</v>
      </c>
      <c r="AO459" s="206" t="str" cm="1">
        <f t="array" ref="AO45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0" spans="1:41" x14ac:dyDescent="0.5">
      <c r="A460" s="206" t="s">
        <v>1394</v>
      </c>
      <c r="B460" s="230">
        <v>45740</v>
      </c>
      <c r="C460" s="206" t="s">
        <v>97</v>
      </c>
      <c r="D460" s="206" t="s">
        <v>1298</v>
      </c>
      <c r="E460" s="206" t="s">
        <v>1299</v>
      </c>
      <c r="F460" s="206">
        <v>1711154387</v>
      </c>
      <c r="G460" s="206" t="s">
        <v>709</v>
      </c>
      <c r="H460" s="206" t="s">
        <v>40</v>
      </c>
      <c r="I460" s="206" t="s">
        <v>98</v>
      </c>
      <c r="J460" s="206" t="s">
        <v>452</v>
      </c>
      <c r="K460" s="206" t="s">
        <v>54</v>
      </c>
      <c r="L460" s="206" t="str">
        <f>VLOOKUP(Primary_Order[[#This Row],[Product ID]],SKU[],3,0)</f>
        <v>3000 4T PLUS 10W40</v>
      </c>
      <c r="M460" s="231">
        <v>1200</v>
      </c>
      <c r="N460" s="231">
        <v>550</v>
      </c>
      <c r="O460" s="231">
        <v>1200</v>
      </c>
      <c r="P460" s="232">
        <v>5.4545454545454564E-2</v>
      </c>
      <c r="Q460" s="231">
        <v>0</v>
      </c>
      <c r="R460" s="231">
        <v>520</v>
      </c>
      <c r="S460" s="231">
        <v>1200</v>
      </c>
      <c r="T460" s="231">
        <v>1200</v>
      </c>
      <c r="U460" s="231">
        <v>660000</v>
      </c>
      <c r="V460" s="231">
        <v>0</v>
      </c>
      <c r="W460" s="231">
        <v>624000</v>
      </c>
      <c r="X460" s="231">
        <v>81391.304347826081</v>
      </c>
      <c r="Y460" s="231">
        <v>542608.69565217395</v>
      </c>
      <c r="Z460" s="206" t="s">
        <v>882</v>
      </c>
      <c r="AA460" s="206">
        <v>686</v>
      </c>
      <c r="AB460" s="206" t="s">
        <v>641</v>
      </c>
      <c r="AC460" s="230">
        <v>45741</v>
      </c>
      <c r="AD460" s="206" t="s">
        <v>50</v>
      </c>
      <c r="AE460" s="206" t="str">
        <f>IFERROR(VLOOKUP(Primary_Order[[#This Row],[AM]],SP!$E$19:$F$23,2,0),Primary_Order[[#This Row],[AM]])</f>
        <v>Central</v>
      </c>
      <c r="AF460" s="206" t="str">
        <f>VLOOKUP(Primary_Order[[#This Row],[Product ID]],SKU[],10,0)</f>
        <v>Mineral</v>
      </c>
      <c r="AG460" s="206" t="str">
        <f>VLOOKUP(Primary_Order[[#This Row],[Product ID]],SKU[],9,0)</f>
        <v>MCO</v>
      </c>
      <c r="AH460" s="206" t="str">
        <f>VLOOKUP(Primary_Order[[#This Row],[Product ID]],SKU[],12,0)</f>
        <v>10W40</v>
      </c>
      <c r="AI460" s="206" t="str">
        <f>VLOOKUP(Primary_Order[[#This Row],[Product ID]],SKU[],13,0)</f>
        <v>3000</v>
      </c>
      <c r="AJ460" s="233">
        <f>VLOOKUP(Primary_Order[[#This Row],[Product ID]],SKU[[SKU ID]:[Bottle Size(Ltr)]],6,0)*Primary_Order[[#This Row],[Free Quantity]]</f>
        <v>0</v>
      </c>
      <c r="AK460" s="206" t="str">
        <f>VLOOKUP(Primary_Order[[#This Row],[Product ID]],SKU[[SKU ID]:[Bottle Size(Ltr)]],4,0)</f>
        <v>20x1L</v>
      </c>
      <c r="AL460" s="231">
        <f>VLOOKUP(Primary_Order[[#This Row],[Product ID]],SKU[],14,0)*Primary_Order[[#This Row],[Total Qty]]</f>
        <v>461820</v>
      </c>
      <c r="AM460" s="231">
        <f>IF(Primary_Order[[#This Row],[Cost]]=0,0,Primary_Order[[#This Row],[Net Total(-15%)]]-Primary_Order[[#This Row],[Cost]])</f>
        <v>80788.695652173948</v>
      </c>
      <c r="AN460" s="206" t="str">
        <f>"O-"&amp;Primary_Order[[#This Row],[Date]]&amp;"-"&amp;Primary_Order[[#This Row],[MMD ID]]</f>
        <v>O-45740-D-0001</v>
      </c>
      <c r="AO460" s="206" t="str" cm="1">
        <f t="array" ref="AO46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1" spans="1:41" x14ac:dyDescent="0.5">
      <c r="A461" s="206" t="s">
        <v>1394</v>
      </c>
      <c r="B461" s="230">
        <v>45740</v>
      </c>
      <c r="C461" s="206" t="s">
        <v>97</v>
      </c>
      <c r="D461" s="206" t="s">
        <v>1298</v>
      </c>
      <c r="E461" s="206" t="s">
        <v>1299</v>
      </c>
      <c r="F461" s="206">
        <v>1711154387</v>
      </c>
      <c r="G461" s="206" t="s">
        <v>709</v>
      </c>
      <c r="H461" s="206" t="s">
        <v>40</v>
      </c>
      <c r="I461" s="206" t="s">
        <v>98</v>
      </c>
      <c r="J461" s="206" t="s">
        <v>452</v>
      </c>
      <c r="K461" s="206" t="s">
        <v>33</v>
      </c>
      <c r="L461" s="206" t="str">
        <f>VLOOKUP(Primary_Order[[#This Row],[Product ID]],SKU[],3,0)</f>
        <v>3000 4T PLUS 20W40</v>
      </c>
      <c r="M461" s="231">
        <v>200</v>
      </c>
      <c r="N461" s="231">
        <v>645</v>
      </c>
      <c r="O461" s="231">
        <v>240</v>
      </c>
      <c r="P461" s="232">
        <v>1.5503875968992276E-2</v>
      </c>
      <c r="Q461" s="231">
        <v>0</v>
      </c>
      <c r="R461" s="231">
        <v>635</v>
      </c>
      <c r="S461" s="231">
        <v>200</v>
      </c>
      <c r="T461" s="231">
        <v>240</v>
      </c>
      <c r="U461" s="231">
        <v>129000</v>
      </c>
      <c r="V461" s="231">
        <v>0</v>
      </c>
      <c r="W461" s="231">
        <v>127000</v>
      </c>
      <c r="X461" s="231">
        <v>16565.217391304348</v>
      </c>
      <c r="Y461" s="231">
        <v>110434.78260869565</v>
      </c>
      <c r="Z461" s="206" t="s">
        <v>882</v>
      </c>
      <c r="AA461" s="206">
        <v>686</v>
      </c>
      <c r="AB461" s="206" t="s">
        <v>641</v>
      </c>
      <c r="AC461" s="230">
        <v>45741</v>
      </c>
      <c r="AD461" s="206" t="s">
        <v>50</v>
      </c>
      <c r="AE461" s="206" t="str">
        <f>IFERROR(VLOOKUP(Primary_Order[[#This Row],[AM]],SP!$E$19:$F$23,2,0),Primary_Order[[#This Row],[AM]])</f>
        <v>Central</v>
      </c>
      <c r="AF461" s="206" t="str">
        <f>VLOOKUP(Primary_Order[[#This Row],[Product ID]],SKU[],10,0)</f>
        <v>Mineral</v>
      </c>
      <c r="AG461" s="206" t="str">
        <f>VLOOKUP(Primary_Order[[#This Row],[Product ID]],SKU[],9,0)</f>
        <v>MCO</v>
      </c>
      <c r="AH461" s="206" t="str">
        <f>VLOOKUP(Primary_Order[[#This Row],[Product ID]],SKU[],12,0)</f>
        <v>20W40</v>
      </c>
      <c r="AI461" s="206" t="str">
        <f>VLOOKUP(Primary_Order[[#This Row],[Product ID]],SKU[],13,0)</f>
        <v>3000</v>
      </c>
      <c r="AJ461" s="233">
        <f>VLOOKUP(Primary_Order[[#This Row],[Product ID]],SKU[[SKU ID]:[Bottle Size(Ltr)]],6,0)*Primary_Order[[#This Row],[Free Quantity]]</f>
        <v>0</v>
      </c>
      <c r="AK461" s="206" t="str">
        <f>VLOOKUP(Primary_Order[[#This Row],[Product ID]],SKU[[SKU ID]:[Bottle Size(Ltr)]],4,0)</f>
        <v>20x1.2L</v>
      </c>
      <c r="AL461" s="231">
        <f>VLOOKUP(Primary_Order[[#This Row],[Product ID]],SKU[],14,0)*Primary_Order[[#This Row],[Total Qty]]</f>
        <v>93979.559070121948</v>
      </c>
      <c r="AM461" s="231">
        <f>IF(Primary_Order[[#This Row],[Cost]]=0,0,Primary_Order[[#This Row],[Net Total(-15%)]]-Primary_Order[[#This Row],[Cost]])</f>
        <v>16455.2235385737</v>
      </c>
      <c r="AN461" s="206" t="str">
        <f>"O-"&amp;Primary_Order[[#This Row],[Date]]&amp;"-"&amp;Primary_Order[[#This Row],[MMD ID]]</f>
        <v>O-45740-D-0001</v>
      </c>
      <c r="AO461" s="206" t="str" cm="1">
        <f t="array" ref="AO46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2" spans="1:41" x14ac:dyDescent="0.5">
      <c r="A462" s="206" t="s">
        <v>1394</v>
      </c>
      <c r="B462" s="230">
        <v>45740</v>
      </c>
      <c r="C462" s="206" t="s">
        <v>97</v>
      </c>
      <c r="D462" s="206" t="s">
        <v>1298</v>
      </c>
      <c r="E462" s="206" t="s">
        <v>1299</v>
      </c>
      <c r="F462" s="206">
        <v>1711154387</v>
      </c>
      <c r="G462" s="206" t="s">
        <v>709</v>
      </c>
      <c r="H462" s="206" t="s">
        <v>40</v>
      </c>
      <c r="I462" s="206" t="s">
        <v>98</v>
      </c>
      <c r="J462" s="206" t="s">
        <v>452</v>
      </c>
      <c r="K462" s="206" t="s">
        <v>81</v>
      </c>
      <c r="L462" s="206" t="str">
        <f>VLOOKUP(Primary_Order[[#This Row],[Product ID]],SKU[],3,0)</f>
        <v>3000 4T 20W50</v>
      </c>
      <c r="M462" s="231">
        <v>400</v>
      </c>
      <c r="N462" s="231">
        <v>495</v>
      </c>
      <c r="O462" s="231">
        <v>400</v>
      </c>
      <c r="P462" s="232">
        <v>0.19191919191919193</v>
      </c>
      <c r="Q462" s="231">
        <v>0</v>
      </c>
      <c r="R462" s="231">
        <v>400</v>
      </c>
      <c r="S462" s="231">
        <v>400</v>
      </c>
      <c r="T462" s="231">
        <v>400</v>
      </c>
      <c r="U462" s="231">
        <v>198000</v>
      </c>
      <c r="V462" s="231">
        <v>0</v>
      </c>
      <c r="W462" s="231">
        <v>160000</v>
      </c>
      <c r="X462" s="231">
        <v>20869.565217391304</v>
      </c>
      <c r="Y462" s="231">
        <v>139130.4347826087</v>
      </c>
      <c r="Z462" s="206" t="s">
        <v>882</v>
      </c>
      <c r="AA462" s="206">
        <v>686</v>
      </c>
      <c r="AB462" s="206" t="s">
        <v>641</v>
      </c>
      <c r="AC462" s="230">
        <v>45741</v>
      </c>
      <c r="AD462" s="206" t="s">
        <v>50</v>
      </c>
      <c r="AE462" s="206" t="str">
        <f>IFERROR(VLOOKUP(Primary_Order[[#This Row],[AM]],SP!$E$19:$F$23,2,0),Primary_Order[[#This Row],[AM]])</f>
        <v>Central</v>
      </c>
      <c r="AF462" s="206" t="str">
        <f>VLOOKUP(Primary_Order[[#This Row],[Product ID]],SKU[],10,0)</f>
        <v>Mineral</v>
      </c>
      <c r="AG462" s="206" t="str">
        <f>VLOOKUP(Primary_Order[[#This Row],[Product ID]],SKU[],9,0)</f>
        <v>MCO</v>
      </c>
      <c r="AH462" s="206" t="str">
        <f>VLOOKUP(Primary_Order[[#This Row],[Product ID]],SKU[],12,0)</f>
        <v>20W50</v>
      </c>
      <c r="AI462" s="206" t="str">
        <f>VLOOKUP(Primary_Order[[#This Row],[Product ID]],SKU[],13,0)</f>
        <v>3000</v>
      </c>
      <c r="AJ462" s="233">
        <f>VLOOKUP(Primary_Order[[#This Row],[Product ID]],SKU[[SKU ID]:[Bottle Size(Ltr)]],6,0)*Primary_Order[[#This Row],[Free Quantity]]</f>
        <v>0</v>
      </c>
      <c r="AK462" s="206" t="str">
        <f>VLOOKUP(Primary_Order[[#This Row],[Product ID]],SKU[[SKU ID]:[Bottle Size(Ltr)]],4,0)</f>
        <v>20x1L</v>
      </c>
      <c r="AL462" s="231">
        <f>VLOOKUP(Primary_Order[[#This Row],[Product ID]],SKU[],14,0)*Primary_Order[[#This Row],[Total Qty]]</f>
        <v>145968</v>
      </c>
      <c r="AM462" s="231">
        <f>IF(Primary_Order[[#This Row],[Cost]]=0,0,Primary_Order[[#This Row],[Net Total(-15%)]]-Primary_Order[[#This Row],[Cost]])</f>
        <v>-6837.5652173912968</v>
      </c>
      <c r="AN462" s="206" t="str">
        <f>"O-"&amp;Primary_Order[[#This Row],[Date]]&amp;"-"&amp;Primary_Order[[#This Row],[MMD ID]]</f>
        <v>O-45740-D-0001</v>
      </c>
      <c r="AO462" s="206" t="str" cm="1">
        <f t="array" ref="AO46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3" spans="1:41" x14ac:dyDescent="0.5">
      <c r="A463" s="206" t="s">
        <v>1395</v>
      </c>
      <c r="B463" s="230">
        <v>45739</v>
      </c>
      <c r="C463" s="206" t="s">
        <v>90</v>
      </c>
      <c r="D463" s="206" t="s">
        <v>91</v>
      </c>
      <c r="E463" s="206" t="s">
        <v>93</v>
      </c>
      <c r="F463" s="206" t="s">
        <v>50</v>
      </c>
      <c r="G463" s="206" t="s">
        <v>39</v>
      </c>
      <c r="H463" s="206" t="s">
        <v>40</v>
      </c>
      <c r="I463" s="206" t="s">
        <v>91</v>
      </c>
      <c r="J463" s="206" t="s">
        <v>93</v>
      </c>
      <c r="K463" s="206" t="s">
        <v>53</v>
      </c>
      <c r="L463" s="206" t="str">
        <f>VLOOKUP(Primary_Order[[#This Row],[Product ID]],SKU[],3,0)</f>
        <v>3000 4T PLUS 20W40</v>
      </c>
      <c r="M463" s="231">
        <v>600</v>
      </c>
      <c r="N463" s="231">
        <v>535</v>
      </c>
      <c r="O463" s="231">
        <v>600</v>
      </c>
      <c r="P463" s="232">
        <v>2.8037383177570097E-2</v>
      </c>
      <c r="Q463" s="231">
        <v>0</v>
      </c>
      <c r="R463" s="231">
        <v>520</v>
      </c>
      <c r="S463" s="231">
        <v>600</v>
      </c>
      <c r="T463" s="231">
        <v>600</v>
      </c>
      <c r="U463" s="231">
        <v>321000</v>
      </c>
      <c r="V463" s="231">
        <v>0</v>
      </c>
      <c r="W463" s="231">
        <v>312000</v>
      </c>
      <c r="X463" s="231">
        <v>40695.65217391304</v>
      </c>
      <c r="Y463" s="231">
        <v>271304.34782608697</v>
      </c>
      <c r="Z463" s="206" t="s">
        <v>882</v>
      </c>
      <c r="AA463" s="206">
        <v>687</v>
      </c>
      <c r="AB463" s="206" t="s">
        <v>1170</v>
      </c>
      <c r="AC463" s="230">
        <v>45741</v>
      </c>
      <c r="AD463" s="206" t="s">
        <v>1376</v>
      </c>
      <c r="AE463" s="206" t="str">
        <f>IFERROR(VLOOKUP(Primary_Order[[#This Row],[AM]],SP!$E$19:$F$23,2,0),Primary_Order[[#This Row],[AM]])</f>
        <v>Central</v>
      </c>
      <c r="AF463" s="206" t="str">
        <f>VLOOKUP(Primary_Order[[#This Row],[Product ID]],SKU[],10,0)</f>
        <v>Mineral</v>
      </c>
      <c r="AG463" s="206" t="str">
        <f>VLOOKUP(Primary_Order[[#This Row],[Product ID]],SKU[],9,0)</f>
        <v>MCO</v>
      </c>
      <c r="AH463" s="206" t="str">
        <f>VLOOKUP(Primary_Order[[#This Row],[Product ID]],SKU[],12,0)</f>
        <v>20W40</v>
      </c>
      <c r="AI463" s="206" t="str">
        <f>VLOOKUP(Primary_Order[[#This Row],[Product ID]],SKU[],13,0)</f>
        <v>3000</v>
      </c>
      <c r="AJ463" s="233">
        <f>VLOOKUP(Primary_Order[[#This Row],[Product ID]],SKU[[SKU ID]:[Bottle Size(Ltr)]],6,0)*Primary_Order[[#This Row],[Free Quantity]]</f>
        <v>0</v>
      </c>
      <c r="AK463" s="206" t="str">
        <f>VLOOKUP(Primary_Order[[#This Row],[Product ID]],SKU[[SKU ID]:[Bottle Size(Ltr)]],4,0)</f>
        <v>20x1L</v>
      </c>
      <c r="AL463" s="231">
        <f>VLOOKUP(Primary_Order[[#This Row],[Product ID]],SKU[],14,0)*Primary_Order[[#This Row],[Total Qty]]</f>
        <v>247656</v>
      </c>
      <c r="AM463" s="231">
        <f>IF(Primary_Order[[#This Row],[Cost]]=0,0,Primary_Order[[#This Row],[Net Total(-15%)]]-Primary_Order[[#This Row],[Cost]])</f>
        <v>23648.347826086974</v>
      </c>
      <c r="AN463" s="206" t="str">
        <f>"O-"&amp;Primary_Order[[#This Row],[Date]]&amp;"-"&amp;Primary_Order[[#This Row],[MMD ID]]</f>
        <v>O-45739-D-0006</v>
      </c>
      <c r="AO463" s="206" t="str" cm="1">
        <f t="array" ref="AO46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4" spans="1:41" x14ac:dyDescent="0.5">
      <c r="A464" s="206" t="s">
        <v>1395</v>
      </c>
      <c r="B464" s="230">
        <v>45739</v>
      </c>
      <c r="C464" s="206" t="s">
        <v>90</v>
      </c>
      <c r="D464" s="206" t="s">
        <v>91</v>
      </c>
      <c r="E464" s="206" t="s">
        <v>93</v>
      </c>
      <c r="F464" s="206" t="s">
        <v>50</v>
      </c>
      <c r="G464" s="206" t="s">
        <v>39</v>
      </c>
      <c r="H464" s="206" t="s">
        <v>40</v>
      </c>
      <c r="I464" s="206" t="s">
        <v>91</v>
      </c>
      <c r="J464" s="206" t="s">
        <v>93</v>
      </c>
      <c r="K464" s="206" t="s">
        <v>56</v>
      </c>
      <c r="L464" s="206" t="str">
        <f>VLOOKUP(Primary_Order[[#This Row],[Product ID]],SKU[],3,0)</f>
        <v>7100 4T 10W30 ESTER CORE®</v>
      </c>
      <c r="M464" s="231">
        <v>120</v>
      </c>
      <c r="N464" s="231">
        <v>1080</v>
      </c>
      <c r="O464" s="231">
        <v>120</v>
      </c>
      <c r="P464" s="232">
        <v>3.703703703703709E-2</v>
      </c>
      <c r="Q464" s="231">
        <v>0</v>
      </c>
      <c r="R464" s="231">
        <v>1040</v>
      </c>
      <c r="S464" s="231">
        <v>120</v>
      </c>
      <c r="T464" s="231">
        <v>120</v>
      </c>
      <c r="U464" s="231">
        <v>129600</v>
      </c>
      <c r="V464" s="231">
        <v>0</v>
      </c>
      <c r="W464" s="231">
        <v>124800</v>
      </c>
      <c r="X464" s="231">
        <v>16278.260869565218</v>
      </c>
      <c r="Y464" s="231">
        <v>108521.73913043478</v>
      </c>
      <c r="Z464" s="206" t="s">
        <v>882</v>
      </c>
      <c r="AA464" s="206">
        <v>687</v>
      </c>
      <c r="AB464" s="206" t="s">
        <v>1170</v>
      </c>
      <c r="AC464" s="230">
        <v>45741</v>
      </c>
      <c r="AD464" s="206" t="s">
        <v>1376</v>
      </c>
      <c r="AE464" s="206" t="str">
        <f>IFERROR(VLOOKUP(Primary_Order[[#This Row],[AM]],SP!$E$19:$F$23,2,0),Primary_Order[[#This Row],[AM]])</f>
        <v>Central</v>
      </c>
      <c r="AF464" s="206" t="str">
        <f>VLOOKUP(Primary_Order[[#This Row],[Product ID]],SKU[],10,0)</f>
        <v>Synthetic</v>
      </c>
      <c r="AG464" s="206" t="str">
        <f>VLOOKUP(Primary_Order[[#This Row],[Product ID]],SKU[],9,0)</f>
        <v>MCO</v>
      </c>
      <c r="AH464" s="206" t="str">
        <f>VLOOKUP(Primary_Order[[#This Row],[Product ID]],SKU[],12,0)</f>
        <v>10W30</v>
      </c>
      <c r="AI464" s="206" t="str">
        <f>VLOOKUP(Primary_Order[[#This Row],[Product ID]],SKU[],13,0)</f>
        <v>7100</v>
      </c>
      <c r="AJ464" s="233">
        <f>VLOOKUP(Primary_Order[[#This Row],[Product ID]],SKU[[SKU ID]:[Bottle Size(Ltr)]],6,0)*Primary_Order[[#This Row],[Free Quantity]]</f>
        <v>0</v>
      </c>
      <c r="AK464" s="206" t="str">
        <f>VLOOKUP(Primary_Order[[#This Row],[Product ID]],SKU[[SKU ID]:[Bottle Size(Ltr)]],4,0)</f>
        <v>12x1L</v>
      </c>
      <c r="AL464" s="231">
        <f>VLOOKUP(Primary_Order[[#This Row],[Product ID]],SKU[],14,0)*Primary_Order[[#This Row],[Total Qty]]</f>
        <v>82783.199999999997</v>
      </c>
      <c r="AM464" s="231">
        <f>IF(Primary_Order[[#This Row],[Cost]]=0,0,Primary_Order[[#This Row],[Net Total(-15%)]]-Primary_Order[[#This Row],[Cost]])</f>
        <v>25738.539130434787</v>
      </c>
      <c r="AN464" s="206" t="str">
        <f>"O-"&amp;Primary_Order[[#This Row],[Date]]&amp;"-"&amp;Primary_Order[[#This Row],[MMD ID]]</f>
        <v>O-45739-D-0006</v>
      </c>
      <c r="AO464" s="206" t="str" cm="1">
        <f t="array" ref="AO46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5" spans="1:41" x14ac:dyDescent="0.5">
      <c r="A465" s="206" t="s">
        <v>1395</v>
      </c>
      <c r="B465" s="230">
        <v>45739</v>
      </c>
      <c r="C465" s="206" t="s">
        <v>90</v>
      </c>
      <c r="D465" s="206" t="s">
        <v>91</v>
      </c>
      <c r="E465" s="206" t="s">
        <v>93</v>
      </c>
      <c r="F465" s="206" t="s">
        <v>50</v>
      </c>
      <c r="G465" s="206" t="s">
        <v>39</v>
      </c>
      <c r="H465" s="206" t="s">
        <v>40</v>
      </c>
      <c r="I465" s="206" t="s">
        <v>91</v>
      </c>
      <c r="J465" s="206" t="s">
        <v>93</v>
      </c>
      <c r="K465" s="206" t="s">
        <v>58</v>
      </c>
      <c r="L465" s="206" t="str">
        <f>VLOOKUP(Primary_Order[[#This Row],[Product ID]],SKU[],3,0)</f>
        <v>7100 4T 20W50 ESTER CORE®</v>
      </c>
      <c r="M465" s="231">
        <v>120</v>
      </c>
      <c r="N465" s="231">
        <v>1080</v>
      </c>
      <c r="O465" s="231">
        <v>120</v>
      </c>
      <c r="P465" s="232">
        <v>3.703703703703709E-2</v>
      </c>
      <c r="Q465" s="231">
        <v>0</v>
      </c>
      <c r="R465" s="231">
        <v>1040</v>
      </c>
      <c r="S465" s="231">
        <v>120</v>
      </c>
      <c r="T465" s="231">
        <v>120</v>
      </c>
      <c r="U465" s="231">
        <v>129600</v>
      </c>
      <c r="V465" s="231">
        <v>0</v>
      </c>
      <c r="W465" s="231">
        <v>124800</v>
      </c>
      <c r="X465" s="231">
        <v>16278.260869565218</v>
      </c>
      <c r="Y465" s="231">
        <v>108521.73913043478</v>
      </c>
      <c r="Z465" s="206" t="s">
        <v>882</v>
      </c>
      <c r="AA465" s="206">
        <v>687</v>
      </c>
      <c r="AB465" s="206" t="s">
        <v>1170</v>
      </c>
      <c r="AC465" s="230">
        <v>45741</v>
      </c>
      <c r="AD465" s="206" t="s">
        <v>1376</v>
      </c>
      <c r="AE465" s="206" t="str">
        <f>IFERROR(VLOOKUP(Primary_Order[[#This Row],[AM]],SP!$E$19:$F$23,2,0),Primary_Order[[#This Row],[AM]])</f>
        <v>Central</v>
      </c>
      <c r="AF465" s="206" t="str">
        <f>VLOOKUP(Primary_Order[[#This Row],[Product ID]],SKU[],10,0)</f>
        <v>Synthetic</v>
      </c>
      <c r="AG465" s="206" t="str">
        <f>VLOOKUP(Primary_Order[[#This Row],[Product ID]],SKU[],9,0)</f>
        <v>MCO</v>
      </c>
      <c r="AH465" s="206" t="str">
        <f>VLOOKUP(Primary_Order[[#This Row],[Product ID]],SKU[],12,0)</f>
        <v>20W50</v>
      </c>
      <c r="AI465" s="206" t="str">
        <f>VLOOKUP(Primary_Order[[#This Row],[Product ID]],SKU[],13,0)</f>
        <v>7100</v>
      </c>
      <c r="AJ465" s="233">
        <f>VLOOKUP(Primary_Order[[#This Row],[Product ID]],SKU[[SKU ID]:[Bottle Size(Ltr)]],6,0)*Primary_Order[[#This Row],[Free Quantity]]</f>
        <v>0</v>
      </c>
      <c r="AK465" s="206" t="str">
        <f>VLOOKUP(Primary_Order[[#This Row],[Product ID]],SKU[[SKU ID]:[Bottle Size(Ltr)]],4,0)</f>
        <v>12x1L</v>
      </c>
      <c r="AL465" s="231">
        <f>VLOOKUP(Primary_Order[[#This Row],[Product ID]],SKU[],14,0)*Primary_Order[[#This Row],[Total Qty]]</f>
        <v>91643.808000000005</v>
      </c>
      <c r="AM465" s="231">
        <f>IF(Primary_Order[[#This Row],[Cost]]=0,0,Primary_Order[[#This Row],[Net Total(-15%)]]-Primary_Order[[#This Row],[Cost]])</f>
        <v>16877.931130434779</v>
      </c>
      <c r="AN465" s="206" t="str">
        <f>"O-"&amp;Primary_Order[[#This Row],[Date]]&amp;"-"&amp;Primary_Order[[#This Row],[MMD ID]]</f>
        <v>O-45739-D-0006</v>
      </c>
      <c r="AO465" s="206" t="str" cm="1">
        <f t="array" ref="AO46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6" spans="1:41" x14ac:dyDescent="0.5">
      <c r="A466" s="206" t="s">
        <v>1396</v>
      </c>
      <c r="B466" s="230">
        <v>45740</v>
      </c>
      <c r="C466" s="206" t="s">
        <v>108</v>
      </c>
      <c r="D466" s="206" t="s">
        <v>1397</v>
      </c>
      <c r="E466" s="206" t="s">
        <v>1364</v>
      </c>
      <c r="F466" s="206">
        <v>1912060295</v>
      </c>
      <c r="G466" s="206" t="s">
        <v>280</v>
      </c>
      <c r="H466" s="206" t="s">
        <v>84</v>
      </c>
      <c r="I466" s="206" t="s">
        <v>109</v>
      </c>
      <c r="J466" s="206" t="s">
        <v>282</v>
      </c>
      <c r="K466" s="206" t="s">
        <v>54</v>
      </c>
      <c r="L466" s="206" t="str">
        <f>VLOOKUP(Primary_Order[[#This Row],[Product ID]],SKU[],3,0)</f>
        <v>3000 4T PLUS 10W40</v>
      </c>
      <c r="M466" s="231">
        <v>20</v>
      </c>
      <c r="N466" s="231">
        <v>550</v>
      </c>
      <c r="O466" s="231">
        <v>20</v>
      </c>
      <c r="P466" s="232">
        <v>1.8181818181818188E-2</v>
      </c>
      <c r="Q466" s="231">
        <v>0</v>
      </c>
      <c r="R466" s="231">
        <v>540</v>
      </c>
      <c r="S466" s="231">
        <v>20</v>
      </c>
      <c r="T466" s="231">
        <v>20</v>
      </c>
      <c r="U466" s="231">
        <v>11000</v>
      </c>
      <c r="V466" s="231">
        <v>0</v>
      </c>
      <c r="W466" s="231">
        <v>10800</v>
      </c>
      <c r="X466" s="231">
        <v>1408.695652173913</v>
      </c>
      <c r="Y466" s="231">
        <v>9391.3043478260861</v>
      </c>
      <c r="Z466" s="206" t="s">
        <v>882</v>
      </c>
      <c r="AA466" s="206">
        <v>688</v>
      </c>
      <c r="AB466" s="206" t="s">
        <v>641</v>
      </c>
      <c r="AC466" s="230">
        <v>45741</v>
      </c>
      <c r="AD466" s="206" t="s">
        <v>50</v>
      </c>
      <c r="AE466" s="206" t="str">
        <f>IFERROR(VLOOKUP(Primary_Order[[#This Row],[AM]],SP!$E$19:$F$23,2,0),Primary_Order[[#This Row],[AM]])</f>
        <v>Northern</v>
      </c>
      <c r="AF466" s="206" t="str">
        <f>VLOOKUP(Primary_Order[[#This Row],[Product ID]],SKU[],10,0)</f>
        <v>Mineral</v>
      </c>
      <c r="AG466" s="206" t="str">
        <f>VLOOKUP(Primary_Order[[#This Row],[Product ID]],SKU[],9,0)</f>
        <v>MCO</v>
      </c>
      <c r="AH466" s="206" t="str">
        <f>VLOOKUP(Primary_Order[[#This Row],[Product ID]],SKU[],12,0)</f>
        <v>10W40</v>
      </c>
      <c r="AI466" s="206" t="str">
        <f>VLOOKUP(Primary_Order[[#This Row],[Product ID]],SKU[],13,0)</f>
        <v>3000</v>
      </c>
      <c r="AJ466" s="233">
        <f>VLOOKUP(Primary_Order[[#This Row],[Product ID]],SKU[[SKU ID]:[Bottle Size(Ltr)]],6,0)*Primary_Order[[#This Row],[Free Quantity]]</f>
        <v>0</v>
      </c>
      <c r="AK466" s="206" t="str">
        <f>VLOOKUP(Primary_Order[[#This Row],[Product ID]],SKU[[SKU ID]:[Bottle Size(Ltr)]],4,0)</f>
        <v>20x1L</v>
      </c>
      <c r="AL466" s="231">
        <f>VLOOKUP(Primary_Order[[#This Row],[Product ID]],SKU[],14,0)*Primary_Order[[#This Row],[Total Qty]]</f>
        <v>7697</v>
      </c>
      <c r="AM466" s="231">
        <f>IF(Primary_Order[[#This Row],[Cost]]=0,0,Primary_Order[[#This Row],[Net Total(-15%)]]-Primary_Order[[#This Row],[Cost]])</f>
        <v>1694.3043478260861</v>
      </c>
      <c r="AN466" s="206" t="str">
        <f>"O-"&amp;Primary_Order[[#This Row],[Date]]&amp;"-"&amp;Primary_Order[[#This Row],[MMD ID]]</f>
        <v>O-45740-D-0023</v>
      </c>
      <c r="AO466" s="206" t="str" cm="1">
        <f t="array" ref="AO46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7" spans="1:41" x14ac:dyDescent="0.5">
      <c r="A467" s="206" t="s">
        <v>1396</v>
      </c>
      <c r="B467" s="230">
        <v>45740</v>
      </c>
      <c r="C467" s="206" t="s">
        <v>108</v>
      </c>
      <c r="D467" s="206" t="s">
        <v>1397</v>
      </c>
      <c r="E467" s="206" t="s">
        <v>1364</v>
      </c>
      <c r="F467" s="206">
        <v>1912060295</v>
      </c>
      <c r="G467" s="206" t="s">
        <v>280</v>
      </c>
      <c r="H467" s="206" t="s">
        <v>84</v>
      </c>
      <c r="I467" s="206" t="s">
        <v>109</v>
      </c>
      <c r="J467" s="206" t="s">
        <v>282</v>
      </c>
      <c r="K467" s="206" t="s">
        <v>152</v>
      </c>
      <c r="L467" s="206" t="str">
        <f>VLOOKUP(Primary_Order[[#This Row],[Product ID]],SKU[],3,0)</f>
        <v>Inugel Expert Coolant</v>
      </c>
      <c r="M467" s="231">
        <v>40</v>
      </c>
      <c r="N467" s="231">
        <v>425</v>
      </c>
      <c r="O467" s="231">
        <v>40</v>
      </c>
      <c r="P467" s="232">
        <v>1.1764705882352899E-2</v>
      </c>
      <c r="Q467" s="231">
        <v>0</v>
      </c>
      <c r="R467" s="231">
        <v>420</v>
      </c>
      <c r="S467" s="231">
        <v>40</v>
      </c>
      <c r="T467" s="231">
        <v>40</v>
      </c>
      <c r="U467" s="231">
        <v>17000</v>
      </c>
      <c r="V467" s="231">
        <v>0</v>
      </c>
      <c r="W467" s="231">
        <v>16800</v>
      </c>
      <c r="X467" s="231">
        <v>2191.304347826087</v>
      </c>
      <c r="Y467" s="231">
        <v>14608.695652173914</v>
      </c>
      <c r="Z467" s="206" t="s">
        <v>882</v>
      </c>
      <c r="AA467" s="206">
        <v>688</v>
      </c>
      <c r="AB467" s="206" t="s">
        <v>641</v>
      </c>
      <c r="AC467" s="230">
        <v>45741</v>
      </c>
      <c r="AD467" s="206" t="s">
        <v>50</v>
      </c>
      <c r="AE467" s="206" t="str">
        <f>IFERROR(VLOOKUP(Primary_Order[[#This Row],[AM]],SP!$E$19:$F$23,2,0),Primary_Order[[#This Row],[AM]])</f>
        <v>Northern</v>
      </c>
      <c r="AF467" s="206" t="str">
        <f>VLOOKUP(Primary_Order[[#This Row],[Product ID]],SKU[],10,0)</f>
        <v>Care Products</v>
      </c>
      <c r="AG467" s="206" t="str">
        <f>VLOOKUP(Primary_Order[[#This Row],[Product ID]],SKU[],9,0)</f>
        <v>Care Products</v>
      </c>
      <c r="AH467" s="206" t="str">
        <f>VLOOKUP(Primary_Order[[#This Row],[Product ID]],SKU[],12,0)</f>
        <v>Care Products</v>
      </c>
      <c r="AI467" s="206" t="str">
        <f>VLOOKUP(Primary_Order[[#This Row],[Product ID]],SKU[],13,0)</f>
        <v>Coolant</v>
      </c>
      <c r="AJ467" s="233">
        <f>VLOOKUP(Primary_Order[[#This Row],[Product ID]],SKU[[SKU ID]:[Bottle Size(Ltr)]],6,0)*Primary_Order[[#This Row],[Free Quantity]]</f>
        <v>0</v>
      </c>
      <c r="AK467" s="206" t="str">
        <f>VLOOKUP(Primary_Order[[#This Row],[Product ID]],SKU[[SKU ID]:[Bottle Size(Ltr)]],4,0)</f>
        <v>20x1L</v>
      </c>
      <c r="AL467" s="231">
        <f>VLOOKUP(Primary_Order[[#This Row],[Product ID]],SKU[],14,0)*Primary_Order[[#This Row],[Total Qty]]</f>
        <v>9225.5999999999985</v>
      </c>
      <c r="AM467" s="231">
        <f>IF(Primary_Order[[#This Row],[Cost]]=0,0,Primary_Order[[#This Row],[Net Total(-15%)]]-Primary_Order[[#This Row],[Cost]])</f>
        <v>5383.0956521739154</v>
      </c>
      <c r="AN467" s="206" t="str">
        <f>"O-"&amp;Primary_Order[[#This Row],[Date]]&amp;"-"&amp;Primary_Order[[#This Row],[MMD ID]]</f>
        <v>O-45740-D-0023</v>
      </c>
      <c r="AO467" s="206" t="str" cm="1">
        <f t="array" ref="AO46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8" spans="1:41" x14ac:dyDescent="0.5">
      <c r="A468" s="206" t="s">
        <v>1396</v>
      </c>
      <c r="B468" s="230">
        <v>45740</v>
      </c>
      <c r="C468" s="206" t="s">
        <v>108</v>
      </c>
      <c r="D468" s="206" t="s">
        <v>1397</v>
      </c>
      <c r="E468" s="206" t="s">
        <v>1364</v>
      </c>
      <c r="F468" s="206">
        <v>1912060295</v>
      </c>
      <c r="G468" s="206" t="s">
        <v>280</v>
      </c>
      <c r="H468" s="206" t="s">
        <v>84</v>
      </c>
      <c r="I468" s="206" t="s">
        <v>109</v>
      </c>
      <c r="J468" s="206" t="s">
        <v>282</v>
      </c>
      <c r="K468" s="206" t="s">
        <v>81</v>
      </c>
      <c r="L468" s="206" t="str">
        <f>VLOOKUP(Primary_Order[[#This Row],[Product ID]],SKU[],3,0)</f>
        <v>3000 4T 20W50</v>
      </c>
      <c r="M468" s="231">
        <v>40</v>
      </c>
      <c r="N468" s="231">
        <v>495</v>
      </c>
      <c r="O468" s="231">
        <v>40</v>
      </c>
      <c r="P468" s="232">
        <v>5.0505050505050497E-2</v>
      </c>
      <c r="Q468" s="231">
        <v>0</v>
      </c>
      <c r="R468" s="231">
        <v>470</v>
      </c>
      <c r="S468" s="231">
        <v>40</v>
      </c>
      <c r="T468" s="231">
        <v>40</v>
      </c>
      <c r="U468" s="231">
        <v>19800</v>
      </c>
      <c r="V468" s="231">
        <v>0</v>
      </c>
      <c r="W468" s="231">
        <v>18800</v>
      </c>
      <c r="X468" s="231">
        <v>2452.1739130434785</v>
      </c>
      <c r="Y468" s="231">
        <v>16347.826086956522</v>
      </c>
      <c r="Z468" s="206" t="s">
        <v>882</v>
      </c>
      <c r="AA468" s="206">
        <v>688</v>
      </c>
      <c r="AB468" s="206" t="s">
        <v>641</v>
      </c>
      <c r="AC468" s="230">
        <v>45741</v>
      </c>
      <c r="AD468" s="206" t="s">
        <v>50</v>
      </c>
      <c r="AE468" s="206" t="str">
        <f>IFERROR(VLOOKUP(Primary_Order[[#This Row],[AM]],SP!$E$19:$F$23,2,0),Primary_Order[[#This Row],[AM]])</f>
        <v>Northern</v>
      </c>
      <c r="AF468" s="206" t="str">
        <f>VLOOKUP(Primary_Order[[#This Row],[Product ID]],SKU[],10,0)</f>
        <v>Mineral</v>
      </c>
      <c r="AG468" s="206" t="str">
        <f>VLOOKUP(Primary_Order[[#This Row],[Product ID]],SKU[],9,0)</f>
        <v>MCO</v>
      </c>
      <c r="AH468" s="206" t="str">
        <f>VLOOKUP(Primary_Order[[#This Row],[Product ID]],SKU[],12,0)</f>
        <v>20W50</v>
      </c>
      <c r="AI468" s="206" t="str">
        <f>VLOOKUP(Primary_Order[[#This Row],[Product ID]],SKU[],13,0)</f>
        <v>3000</v>
      </c>
      <c r="AJ468" s="233">
        <f>VLOOKUP(Primary_Order[[#This Row],[Product ID]],SKU[[SKU ID]:[Bottle Size(Ltr)]],6,0)*Primary_Order[[#This Row],[Free Quantity]]</f>
        <v>0</v>
      </c>
      <c r="AK468" s="206" t="str">
        <f>VLOOKUP(Primary_Order[[#This Row],[Product ID]],SKU[[SKU ID]:[Bottle Size(Ltr)]],4,0)</f>
        <v>20x1L</v>
      </c>
      <c r="AL468" s="231">
        <f>VLOOKUP(Primary_Order[[#This Row],[Product ID]],SKU[],14,0)*Primary_Order[[#This Row],[Total Qty]]</f>
        <v>14596.800000000001</v>
      </c>
      <c r="AM468" s="231">
        <f>IF(Primary_Order[[#This Row],[Cost]]=0,0,Primary_Order[[#This Row],[Net Total(-15%)]]-Primary_Order[[#This Row],[Cost]])</f>
        <v>1751.0260869565209</v>
      </c>
      <c r="AN468" s="206" t="str">
        <f>"O-"&amp;Primary_Order[[#This Row],[Date]]&amp;"-"&amp;Primary_Order[[#This Row],[MMD ID]]</f>
        <v>O-45740-D-0023</v>
      </c>
      <c r="AO468" s="206" t="str" cm="1">
        <f t="array" ref="AO46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69" spans="1:41" x14ac:dyDescent="0.5">
      <c r="A469" s="206" t="s">
        <v>1398</v>
      </c>
      <c r="B469" s="230">
        <v>45741</v>
      </c>
      <c r="C469" s="206" t="s">
        <v>102</v>
      </c>
      <c r="D469" s="206" t="s">
        <v>1391</v>
      </c>
      <c r="E469" s="206" t="s">
        <v>1392</v>
      </c>
      <c r="F469" s="206" t="s">
        <v>1393</v>
      </c>
      <c r="G469" s="206" t="s">
        <v>45</v>
      </c>
      <c r="H469" s="206" t="s">
        <v>28</v>
      </c>
      <c r="I469" s="206" t="s">
        <v>46</v>
      </c>
      <c r="J469" s="206" t="s">
        <v>47</v>
      </c>
      <c r="K469" s="206" t="s">
        <v>54</v>
      </c>
      <c r="L469" s="206" t="str">
        <f>VLOOKUP(Primary_Order[[#This Row],[Product ID]],SKU[],3,0)</f>
        <v>3000 4T PLUS 10W40</v>
      </c>
      <c r="M469" s="231">
        <v>100</v>
      </c>
      <c r="N469" s="231">
        <v>550</v>
      </c>
      <c r="O469" s="231">
        <v>100</v>
      </c>
      <c r="P469" s="232">
        <v>0</v>
      </c>
      <c r="Q469" s="231">
        <v>0</v>
      </c>
      <c r="R469" s="231">
        <v>550</v>
      </c>
      <c r="S469" s="231">
        <v>100</v>
      </c>
      <c r="T469" s="231">
        <v>100</v>
      </c>
      <c r="U469" s="231">
        <v>55000</v>
      </c>
      <c r="V469" s="231">
        <v>0</v>
      </c>
      <c r="W469" s="231">
        <v>55000</v>
      </c>
      <c r="X469" s="231">
        <v>7173.913043478261</v>
      </c>
      <c r="Y469" s="231">
        <v>47826.086956521736</v>
      </c>
      <c r="Z469" s="206" t="s">
        <v>882</v>
      </c>
      <c r="AA469" s="206">
        <v>689</v>
      </c>
      <c r="AB469" s="206" t="s">
        <v>641</v>
      </c>
      <c r="AC469" s="230">
        <v>45741</v>
      </c>
      <c r="AD469" s="206" t="s">
        <v>50</v>
      </c>
      <c r="AE469" s="206" t="str">
        <f>IFERROR(VLOOKUP(Primary_Order[[#This Row],[AM]],SP!$E$19:$F$23,2,0),Primary_Order[[#This Row],[AM]])</f>
        <v>Eastern</v>
      </c>
      <c r="AF469" s="206" t="str">
        <f>VLOOKUP(Primary_Order[[#This Row],[Product ID]],SKU[],10,0)</f>
        <v>Mineral</v>
      </c>
      <c r="AG469" s="206" t="str">
        <f>VLOOKUP(Primary_Order[[#This Row],[Product ID]],SKU[],9,0)</f>
        <v>MCO</v>
      </c>
      <c r="AH469" s="206" t="str">
        <f>VLOOKUP(Primary_Order[[#This Row],[Product ID]],SKU[],12,0)</f>
        <v>10W40</v>
      </c>
      <c r="AI469" s="206" t="str">
        <f>VLOOKUP(Primary_Order[[#This Row],[Product ID]],SKU[],13,0)</f>
        <v>3000</v>
      </c>
      <c r="AJ469" s="233">
        <f>VLOOKUP(Primary_Order[[#This Row],[Product ID]],SKU[[SKU ID]:[Bottle Size(Ltr)]],6,0)*Primary_Order[[#This Row],[Free Quantity]]</f>
        <v>0</v>
      </c>
      <c r="AK469" s="206" t="str">
        <f>VLOOKUP(Primary_Order[[#This Row],[Product ID]],SKU[[SKU ID]:[Bottle Size(Ltr)]],4,0)</f>
        <v>20x1L</v>
      </c>
      <c r="AL469" s="231">
        <f>VLOOKUP(Primary_Order[[#This Row],[Product ID]],SKU[],14,0)*Primary_Order[[#This Row],[Total Qty]]</f>
        <v>38485</v>
      </c>
      <c r="AM469" s="231">
        <f>IF(Primary_Order[[#This Row],[Cost]]=0,0,Primary_Order[[#This Row],[Net Total(-15%)]]-Primary_Order[[#This Row],[Cost]])</f>
        <v>9341.0869565217363</v>
      </c>
      <c r="AN469" s="206" t="str">
        <f>"O-"&amp;Primary_Order[[#This Row],[Date]]&amp;"-"&amp;Primary_Order[[#This Row],[MMD ID]]</f>
        <v>O-45741-D-0003</v>
      </c>
      <c r="AO469" s="206" t="str" cm="1">
        <f t="array" ref="AO46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0" spans="1:41" x14ac:dyDescent="0.5">
      <c r="A470" s="206" t="s">
        <v>1398</v>
      </c>
      <c r="B470" s="230">
        <v>45741</v>
      </c>
      <c r="C470" s="206" t="s">
        <v>102</v>
      </c>
      <c r="D470" s="206" t="s">
        <v>1391</v>
      </c>
      <c r="E470" s="206" t="s">
        <v>1392</v>
      </c>
      <c r="F470" s="206" t="s">
        <v>1393</v>
      </c>
      <c r="G470" s="206" t="s">
        <v>45</v>
      </c>
      <c r="H470" s="206" t="s">
        <v>28</v>
      </c>
      <c r="I470" s="206" t="s">
        <v>46</v>
      </c>
      <c r="J470" s="206" t="s">
        <v>47</v>
      </c>
      <c r="K470" s="206" t="s">
        <v>58</v>
      </c>
      <c r="L470" s="206" t="str">
        <f>VLOOKUP(Primary_Order[[#This Row],[Product ID]],SKU[],3,0)</f>
        <v>7100 4T 20W50 ESTER CORE®</v>
      </c>
      <c r="M470" s="231">
        <v>36</v>
      </c>
      <c r="N470" s="231">
        <v>1080</v>
      </c>
      <c r="O470" s="231">
        <v>36</v>
      </c>
      <c r="P470" s="232">
        <v>0</v>
      </c>
      <c r="Q470" s="231">
        <v>0</v>
      </c>
      <c r="R470" s="231">
        <v>1080</v>
      </c>
      <c r="S470" s="231">
        <v>36</v>
      </c>
      <c r="T470" s="231">
        <v>36</v>
      </c>
      <c r="U470" s="231">
        <v>38880</v>
      </c>
      <c r="V470" s="231">
        <v>0</v>
      </c>
      <c r="W470" s="231">
        <v>38880</v>
      </c>
      <c r="X470" s="231">
        <v>5071.304347826087</v>
      </c>
      <c r="Y470" s="231">
        <v>33808.695652173912</v>
      </c>
      <c r="Z470" s="206" t="s">
        <v>882</v>
      </c>
      <c r="AA470" s="206">
        <v>689</v>
      </c>
      <c r="AB470" s="206" t="s">
        <v>641</v>
      </c>
      <c r="AC470" s="230">
        <v>45741</v>
      </c>
      <c r="AD470" s="206" t="s">
        <v>50</v>
      </c>
      <c r="AE470" s="206" t="str">
        <f>IFERROR(VLOOKUP(Primary_Order[[#This Row],[AM]],SP!$E$19:$F$23,2,0),Primary_Order[[#This Row],[AM]])</f>
        <v>Eastern</v>
      </c>
      <c r="AF470" s="206" t="str">
        <f>VLOOKUP(Primary_Order[[#This Row],[Product ID]],SKU[],10,0)</f>
        <v>Synthetic</v>
      </c>
      <c r="AG470" s="206" t="str">
        <f>VLOOKUP(Primary_Order[[#This Row],[Product ID]],SKU[],9,0)</f>
        <v>MCO</v>
      </c>
      <c r="AH470" s="206" t="str">
        <f>VLOOKUP(Primary_Order[[#This Row],[Product ID]],SKU[],12,0)</f>
        <v>20W50</v>
      </c>
      <c r="AI470" s="206" t="str">
        <f>VLOOKUP(Primary_Order[[#This Row],[Product ID]],SKU[],13,0)</f>
        <v>7100</v>
      </c>
      <c r="AJ470" s="233">
        <f>VLOOKUP(Primary_Order[[#This Row],[Product ID]],SKU[[SKU ID]:[Bottle Size(Ltr)]],6,0)*Primary_Order[[#This Row],[Free Quantity]]</f>
        <v>0</v>
      </c>
      <c r="AK470" s="206" t="str">
        <f>VLOOKUP(Primary_Order[[#This Row],[Product ID]],SKU[[SKU ID]:[Bottle Size(Ltr)]],4,0)</f>
        <v>12x1L</v>
      </c>
      <c r="AL470" s="231">
        <f>VLOOKUP(Primary_Order[[#This Row],[Product ID]],SKU[],14,0)*Primary_Order[[#This Row],[Total Qty]]</f>
        <v>27493.142400000001</v>
      </c>
      <c r="AM470" s="231">
        <f>IF(Primary_Order[[#This Row],[Cost]]=0,0,Primary_Order[[#This Row],[Net Total(-15%)]]-Primary_Order[[#This Row],[Cost]])</f>
        <v>6315.5532521739115</v>
      </c>
      <c r="AN470" s="206" t="str">
        <f>"O-"&amp;Primary_Order[[#This Row],[Date]]&amp;"-"&amp;Primary_Order[[#This Row],[MMD ID]]</f>
        <v>O-45741-D-0003</v>
      </c>
      <c r="AO470" s="206" t="str" cm="1">
        <f t="array" ref="AO47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1" spans="1:41" x14ac:dyDescent="0.5">
      <c r="A471" s="206" t="s">
        <v>1413</v>
      </c>
      <c r="B471" s="230">
        <v>45754</v>
      </c>
      <c r="C471" s="206" t="s">
        <v>123</v>
      </c>
      <c r="D471" s="206" t="s">
        <v>124</v>
      </c>
      <c r="E471" s="206" t="s">
        <v>80</v>
      </c>
      <c r="F471" s="206" t="s">
        <v>50</v>
      </c>
      <c r="G471" s="206" t="s">
        <v>79</v>
      </c>
      <c r="H471" s="206" t="s">
        <v>40</v>
      </c>
      <c r="I471" s="206" t="s">
        <v>124</v>
      </c>
      <c r="J471" s="206" t="s">
        <v>80</v>
      </c>
      <c r="K471" s="206" t="s">
        <v>31</v>
      </c>
      <c r="L471" s="206" t="str">
        <f>VLOOKUP(Primary_Order[[#This Row],[Product ID]],SKU[],3,0)</f>
        <v>3000 4T PLUS 10W30</v>
      </c>
      <c r="M471" s="231">
        <v>1000</v>
      </c>
      <c r="N471" s="231">
        <v>540</v>
      </c>
      <c r="O471" s="231">
        <v>1000</v>
      </c>
      <c r="P471" s="232">
        <v>2.777777777777779E-2</v>
      </c>
      <c r="Q471" s="231">
        <v>0</v>
      </c>
      <c r="R471" s="231">
        <v>525</v>
      </c>
      <c r="S471" s="231">
        <v>1000</v>
      </c>
      <c r="T471" s="231">
        <v>1000</v>
      </c>
      <c r="U471" s="231">
        <v>540000</v>
      </c>
      <c r="V471" s="231">
        <v>0</v>
      </c>
      <c r="W471" s="231">
        <v>525000</v>
      </c>
      <c r="X471" s="231">
        <v>68478.260869565216</v>
      </c>
      <c r="Y471" s="231">
        <v>456521.73913043475</v>
      </c>
      <c r="Z471" s="206" t="s">
        <v>882</v>
      </c>
      <c r="AA471" s="206">
        <v>690</v>
      </c>
      <c r="AB471" s="206" t="s">
        <v>1170</v>
      </c>
      <c r="AC471" s="230">
        <v>45755</v>
      </c>
      <c r="AD471" s="206" t="s">
        <v>1336</v>
      </c>
      <c r="AE471" s="206" t="str">
        <f>IFERROR(VLOOKUP(Primary_Order[[#This Row],[AM]],SP!$E$19:$F$23,2,0),Primary_Order[[#This Row],[AM]])</f>
        <v>Central</v>
      </c>
      <c r="AF471" s="206" t="str">
        <f>VLOOKUP(Primary_Order[[#This Row],[Product ID]],SKU[],10,0)</f>
        <v>Mineral</v>
      </c>
      <c r="AG471" s="206" t="str">
        <f>VLOOKUP(Primary_Order[[#This Row],[Product ID]],SKU[],9,0)</f>
        <v>MCO</v>
      </c>
      <c r="AH471" s="206" t="str">
        <f>VLOOKUP(Primary_Order[[#This Row],[Product ID]],SKU[],12,0)</f>
        <v>10W30</v>
      </c>
      <c r="AI471" s="206" t="str">
        <f>VLOOKUP(Primary_Order[[#This Row],[Product ID]],SKU[],13,0)</f>
        <v>3000</v>
      </c>
      <c r="AJ471" s="233">
        <f>VLOOKUP(Primary_Order[[#This Row],[Product ID]],SKU[[SKU ID]:[Bottle Size(Ltr)]],6,0)*Primary_Order[[#This Row],[Free Quantity]]</f>
        <v>0</v>
      </c>
      <c r="AK471" s="206" t="str">
        <f>VLOOKUP(Primary_Order[[#This Row],[Product ID]],SKU[[SKU ID]:[Bottle Size(Ltr)]],4,0)</f>
        <v>20x1L</v>
      </c>
      <c r="AL471" s="231">
        <f>VLOOKUP(Primary_Order[[#This Row],[Product ID]],SKU[],14,0)*Primary_Order[[#This Row],[Total Qty]]</f>
        <v>379330</v>
      </c>
      <c r="AM471" s="231">
        <f>IF(Primary_Order[[#This Row],[Cost]]=0,0,Primary_Order[[#This Row],[Net Total(-15%)]]-Primary_Order[[#This Row],[Cost]])</f>
        <v>77191.739130434755</v>
      </c>
      <c r="AN471" s="206" t="str">
        <f>"O-"&amp;Primary_Order[[#This Row],[Date]]&amp;"-"&amp;Primary_Order[[#This Row],[MMD ID]]</f>
        <v>O-45754-D-0015</v>
      </c>
      <c r="AO471" s="206" t="str" cm="1">
        <f t="array" ref="AO47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2" spans="1:41" x14ac:dyDescent="0.5">
      <c r="A472" s="206" t="s">
        <v>1413</v>
      </c>
      <c r="B472" s="230">
        <v>45754</v>
      </c>
      <c r="C472" s="206" t="s">
        <v>123</v>
      </c>
      <c r="D472" s="206" t="s">
        <v>124</v>
      </c>
      <c r="E472" s="206" t="s">
        <v>80</v>
      </c>
      <c r="F472" s="206" t="s">
        <v>50</v>
      </c>
      <c r="G472" s="206" t="s">
        <v>79</v>
      </c>
      <c r="H472" s="206" t="s">
        <v>40</v>
      </c>
      <c r="I472" s="206" t="s">
        <v>124</v>
      </c>
      <c r="J472" s="206" t="s">
        <v>80</v>
      </c>
      <c r="K472" s="206" t="s">
        <v>53</v>
      </c>
      <c r="L472" s="206" t="str">
        <f>VLOOKUP(Primary_Order[[#This Row],[Product ID]],SKU[],3,0)</f>
        <v>3000 4T PLUS 20W40</v>
      </c>
      <c r="M472" s="231">
        <v>380</v>
      </c>
      <c r="N472" s="231">
        <v>535</v>
      </c>
      <c r="O472" s="231">
        <v>380</v>
      </c>
      <c r="P472" s="232">
        <v>1.8691588785046731E-2</v>
      </c>
      <c r="Q472" s="231">
        <v>0</v>
      </c>
      <c r="R472" s="231">
        <v>525</v>
      </c>
      <c r="S472" s="231">
        <v>380</v>
      </c>
      <c r="T472" s="231">
        <v>380</v>
      </c>
      <c r="U472" s="231">
        <v>203300</v>
      </c>
      <c r="V472" s="231">
        <v>0</v>
      </c>
      <c r="W472" s="231">
        <v>199500</v>
      </c>
      <c r="X472" s="231">
        <v>26021.739130434784</v>
      </c>
      <c r="Y472" s="231">
        <v>173478.26086956522</v>
      </c>
      <c r="Z472" s="206" t="s">
        <v>882</v>
      </c>
      <c r="AA472" s="206">
        <v>690</v>
      </c>
      <c r="AB472" s="206" t="s">
        <v>1170</v>
      </c>
      <c r="AC472" s="230">
        <v>45755</v>
      </c>
      <c r="AD472" s="206" t="s">
        <v>1336</v>
      </c>
      <c r="AE472" s="206" t="str">
        <f>IFERROR(VLOOKUP(Primary_Order[[#This Row],[AM]],SP!$E$19:$F$23,2,0),Primary_Order[[#This Row],[AM]])</f>
        <v>Central</v>
      </c>
      <c r="AF472" s="206" t="str">
        <f>VLOOKUP(Primary_Order[[#This Row],[Product ID]],SKU[],10,0)</f>
        <v>Mineral</v>
      </c>
      <c r="AG472" s="206" t="str">
        <f>VLOOKUP(Primary_Order[[#This Row],[Product ID]],SKU[],9,0)</f>
        <v>MCO</v>
      </c>
      <c r="AH472" s="206" t="str">
        <f>VLOOKUP(Primary_Order[[#This Row],[Product ID]],SKU[],12,0)</f>
        <v>20W40</v>
      </c>
      <c r="AI472" s="206" t="str">
        <f>VLOOKUP(Primary_Order[[#This Row],[Product ID]],SKU[],13,0)</f>
        <v>3000</v>
      </c>
      <c r="AJ472" s="233">
        <f>VLOOKUP(Primary_Order[[#This Row],[Product ID]],SKU[[SKU ID]:[Bottle Size(Ltr)]],6,0)*Primary_Order[[#This Row],[Free Quantity]]</f>
        <v>0</v>
      </c>
      <c r="AK472" s="206" t="str">
        <f>VLOOKUP(Primary_Order[[#This Row],[Product ID]],SKU[[SKU ID]:[Bottle Size(Ltr)]],4,0)</f>
        <v>20x1L</v>
      </c>
      <c r="AL472" s="231">
        <f>VLOOKUP(Primary_Order[[#This Row],[Product ID]],SKU[],14,0)*Primary_Order[[#This Row],[Total Qty]]</f>
        <v>156848.79999999999</v>
      </c>
      <c r="AM472" s="231">
        <f>IF(Primary_Order[[#This Row],[Cost]]=0,0,Primary_Order[[#This Row],[Net Total(-15%)]]-Primary_Order[[#This Row],[Cost]])</f>
        <v>16629.460869565228</v>
      </c>
      <c r="AN472" s="206" t="str">
        <f>"O-"&amp;Primary_Order[[#This Row],[Date]]&amp;"-"&amp;Primary_Order[[#This Row],[MMD ID]]</f>
        <v>O-45754-D-0015</v>
      </c>
      <c r="AO472" s="206" t="str" cm="1">
        <f t="array" ref="AO47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3" spans="1:41" x14ac:dyDescent="0.5">
      <c r="A473" s="206" t="s">
        <v>1413</v>
      </c>
      <c r="B473" s="230">
        <v>45754</v>
      </c>
      <c r="C473" s="206" t="s">
        <v>123</v>
      </c>
      <c r="D473" s="206" t="s">
        <v>124</v>
      </c>
      <c r="E473" s="206" t="s">
        <v>80</v>
      </c>
      <c r="F473" s="206" t="s">
        <v>50</v>
      </c>
      <c r="G473" s="206" t="s">
        <v>79</v>
      </c>
      <c r="H473" s="206" t="s">
        <v>40</v>
      </c>
      <c r="I473" s="206" t="s">
        <v>124</v>
      </c>
      <c r="J473" s="206" t="s">
        <v>80</v>
      </c>
      <c r="K473" s="206" t="s">
        <v>54</v>
      </c>
      <c r="L473" s="206" t="str">
        <f>VLOOKUP(Primary_Order[[#This Row],[Product ID]],SKU[],3,0)</f>
        <v>3000 4T PLUS 10W40</v>
      </c>
      <c r="M473" s="231">
        <v>1000</v>
      </c>
      <c r="N473" s="231">
        <v>550</v>
      </c>
      <c r="O473" s="231">
        <v>1000</v>
      </c>
      <c r="P473" s="232">
        <v>4.5454545454545414E-2</v>
      </c>
      <c r="Q473" s="231">
        <v>0</v>
      </c>
      <c r="R473" s="231">
        <v>525</v>
      </c>
      <c r="S473" s="231">
        <v>1000</v>
      </c>
      <c r="T473" s="231">
        <v>1000</v>
      </c>
      <c r="U473" s="231">
        <v>550000</v>
      </c>
      <c r="V473" s="231">
        <v>0</v>
      </c>
      <c r="W473" s="231">
        <v>525000</v>
      </c>
      <c r="X473" s="231">
        <v>68478.260869565216</v>
      </c>
      <c r="Y473" s="231">
        <v>456521.73913043475</v>
      </c>
      <c r="Z473" s="206" t="s">
        <v>882</v>
      </c>
      <c r="AA473" s="206">
        <v>690</v>
      </c>
      <c r="AB473" s="206" t="s">
        <v>1170</v>
      </c>
      <c r="AC473" s="230">
        <v>45755</v>
      </c>
      <c r="AD473" s="206" t="s">
        <v>1336</v>
      </c>
      <c r="AE473" s="206" t="str">
        <f>IFERROR(VLOOKUP(Primary_Order[[#This Row],[AM]],SP!$E$19:$F$23,2,0),Primary_Order[[#This Row],[AM]])</f>
        <v>Central</v>
      </c>
      <c r="AF473" s="206" t="str">
        <f>VLOOKUP(Primary_Order[[#This Row],[Product ID]],SKU[],10,0)</f>
        <v>Mineral</v>
      </c>
      <c r="AG473" s="206" t="str">
        <f>VLOOKUP(Primary_Order[[#This Row],[Product ID]],SKU[],9,0)</f>
        <v>MCO</v>
      </c>
      <c r="AH473" s="206" t="str">
        <f>VLOOKUP(Primary_Order[[#This Row],[Product ID]],SKU[],12,0)</f>
        <v>10W40</v>
      </c>
      <c r="AI473" s="206" t="str">
        <f>VLOOKUP(Primary_Order[[#This Row],[Product ID]],SKU[],13,0)</f>
        <v>3000</v>
      </c>
      <c r="AJ473" s="233">
        <f>VLOOKUP(Primary_Order[[#This Row],[Product ID]],SKU[[SKU ID]:[Bottle Size(Ltr)]],6,0)*Primary_Order[[#This Row],[Free Quantity]]</f>
        <v>0</v>
      </c>
      <c r="AK473" s="206" t="str">
        <f>VLOOKUP(Primary_Order[[#This Row],[Product ID]],SKU[[SKU ID]:[Bottle Size(Ltr)]],4,0)</f>
        <v>20x1L</v>
      </c>
      <c r="AL473" s="231">
        <f>VLOOKUP(Primary_Order[[#This Row],[Product ID]],SKU[],14,0)*Primary_Order[[#This Row],[Total Qty]]</f>
        <v>384850</v>
      </c>
      <c r="AM473" s="231">
        <f>IF(Primary_Order[[#This Row],[Cost]]=0,0,Primary_Order[[#This Row],[Net Total(-15%)]]-Primary_Order[[#This Row],[Cost]])</f>
        <v>71671.739130434755</v>
      </c>
      <c r="AN473" s="206" t="str">
        <f>"O-"&amp;Primary_Order[[#This Row],[Date]]&amp;"-"&amp;Primary_Order[[#This Row],[MMD ID]]</f>
        <v>O-45754-D-0015</v>
      </c>
      <c r="AO473" s="206" t="str" cm="1">
        <f t="array" ref="AO47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4" spans="1:41" x14ac:dyDescent="0.5">
      <c r="A474" s="206" t="s">
        <v>1413</v>
      </c>
      <c r="B474" s="230">
        <v>45754</v>
      </c>
      <c r="C474" s="206" t="s">
        <v>123</v>
      </c>
      <c r="D474" s="206" t="s">
        <v>124</v>
      </c>
      <c r="E474" s="206" t="s">
        <v>80</v>
      </c>
      <c r="F474" s="206" t="s">
        <v>50</v>
      </c>
      <c r="G474" s="206" t="s">
        <v>79</v>
      </c>
      <c r="H474" s="206" t="s">
        <v>40</v>
      </c>
      <c r="I474" s="206" t="s">
        <v>124</v>
      </c>
      <c r="J474" s="206" t="s">
        <v>80</v>
      </c>
      <c r="K474" s="206" t="s">
        <v>33</v>
      </c>
      <c r="L474" s="206" t="str">
        <f>VLOOKUP(Primary_Order[[#This Row],[Product ID]],SKU[],3,0)</f>
        <v>3000 4T PLUS 20W40</v>
      </c>
      <c r="M474" s="231">
        <v>400</v>
      </c>
      <c r="N474" s="231">
        <v>645</v>
      </c>
      <c r="O474" s="231">
        <v>480</v>
      </c>
      <c r="P474" s="232">
        <v>2.3255813953488413E-2</v>
      </c>
      <c r="Q474" s="231">
        <v>0</v>
      </c>
      <c r="R474" s="231">
        <v>630</v>
      </c>
      <c r="S474" s="231">
        <v>400</v>
      </c>
      <c r="T474" s="231">
        <v>480</v>
      </c>
      <c r="U474" s="231">
        <v>258000</v>
      </c>
      <c r="V474" s="231">
        <v>0</v>
      </c>
      <c r="W474" s="231">
        <v>252000</v>
      </c>
      <c r="X474" s="231">
        <v>32869.565217391304</v>
      </c>
      <c r="Y474" s="231">
        <v>219130.4347826087</v>
      </c>
      <c r="Z474" s="206" t="s">
        <v>882</v>
      </c>
      <c r="AA474" s="206">
        <v>690</v>
      </c>
      <c r="AB474" s="206" t="s">
        <v>1170</v>
      </c>
      <c r="AC474" s="230">
        <v>45755</v>
      </c>
      <c r="AD474" s="206" t="s">
        <v>1336</v>
      </c>
      <c r="AE474" s="206" t="str">
        <f>IFERROR(VLOOKUP(Primary_Order[[#This Row],[AM]],SP!$E$19:$F$23,2,0),Primary_Order[[#This Row],[AM]])</f>
        <v>Central</v>
      </c>
      <c r="AF474" s="206" t="str">
        <f>VLOOKUP(Primary_Order[[#This Row],[Product ID]],SKU[],10,0)</f>
        <v>Mineral</v>
      </c>
      <c r="AG474" s="206" t="str">
        <f>VLOOKUP(Primary_Order[[#This Row],[Product ID]],SKU[],9,0)</f>
        <v>MCO</v>
      </c>
      <c r="AH474" s="206" t="str">
        <f>VLOOKUP(Primary_Order[[#This Row],[Product ID]],SKU[],12,0)</f>
        <v>20W40</v>
      </c>
      <c r="AI474" s="206" t="str">
        <f>VLOOKUP(Primary_Order[[#This Row],[Product ID]],SKU[],13,0)</f>
        <v>3000</v>
      </c>
      <c r="AJ474" s="233">
        <f>VLOOKUP(Primary_Order[[#This Row],[Product ID]],SKU[[SKU ID]:[Bottle Size(Ltr)]],6,0)*Primary_Order[[#This Row],[Free Quantity]]</f>
        <v>0</v>
      </c>
      <c r="AK474" s="206" t="str">
        <f>VLOOKUP(Primary_Order[[#This Row],[Product ID]],SKU[[SKU ID]:[Bottle Size(Ltr)]],4,0)</f>
        <v>20x1.2L</v>
      </c>
      <c r="AL474" s="231">
        <f>VLOOKUP(Primary_Order[[#This Row],[Product ID]],SKU[],14,0)*Primary_Order[[#This Row],[Total Qty]]</f>
        <v>187959.1181402439</v>
      </c>
      <c r="AM474" s="231">
        <f>IF(Primary_Order[[#This Row],[Cost]]=0,0,Primary_Order[[#This Row],[Net Total(-15%)]]-Primary_Order[[#This Row],[Cost]])</f>
        <v>31171.316642364807</v>
      </c>
      <c r="AN474" s="206" t="str">
        <f>"O-"&amp;Primary_Order[[#This Row],[Date]]&amp;"-"&amp;Primary_Order[[#This Row],[MMD ID]]</f>
        <v>O-45754-D-0015</v>
      </c>
      <c r="AO474" s="206" t="str" cm="1">
        <f t="array" ref="AO47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5" spans="1:41" x14ac:dyDescent="0.5">
      <c r="A475" s="206" t="s">
        <v>1413</v>
      </c>
      <c r="B475" s="230">
        <v>45754</v>
      </c>
      <c r="C475" s="206" t="s">
        <v>123</v>
      </c>
      <c r="D475" s="206" t="s">
        <v>124</v>
      </c>
      <c r="E475" s="206" t="s">
        <v>80</v>
      </c>
      <c r="F475" s="206" t="s">
        <v>50</v>
      </c>
      <c r="G475" s="206" t="s">
        <v>79</v>
      </c>
      <c r="H475" s="206" t="s">
        <v>40</v>
      </c>
      <c r="I475" s="206" t="s">
        <v>124</v>
      </c>
      <c r="J475" s="206" t="s">
        <v>80</v>
      </c>
      <c r="K475" s="206" t="s">
        <v>75</v>
      </c>
      <c r="L475" s="206" t="str">
        <f>VLOOKUP(Primary_Order[[#This Row],[Product ID]],SKU[],3,0)</f>
        <v>31004T GOLD 20W50</v>
      </c>
      <c r="M475" s="231">
        <v>400</v>
      </c>
      <c r="N475" s="231">
        <v>600</v>
      </c>
      <c r="O475" s="231">
        <v>400</v>
      </c>
      <c r="P475" s="232">
        <v>1.6666666666666718E-2</v>
      </c>
      <c r="Q475" s="231">
        <v>0</v>
      </c>
      <c r="R475" s="231">
        <v>590</v>
      </c>
      <c r="S475" s="231">
        <v>400</v>
      </c>
      <c r="T475" s="231">
        <v>400</v>
      </c>
      <c r="U475" s="231">
        <v>240000</v>
      </c>
      <c r="V475" s="231">
        <v>0</v>
      </c>
      <c r="W475" s="231">
        <v>236000</v>
      </c>
      <c r="X475" s="231">
        <v>30782.608695652172</v>
      </c>
      <c r="Y475" s="231">
        <v>205217.39130434784</v>
      </c>
      <c r="Z475" s="206" t="s">
        <v>882</v>
      </c>
      <c r="AA475" s="206">
        <v>690</v>
      </c>
      <c r="AB475" s="206" t="s">
        <v>1170</v>
      </c>
      <c r="AC475" s="230">
        <v>45755</v>
      </c>
      <c r="AD475" s="206" t="s">
        <v>1336</v>
      </c>
      <c r="AE475" s="206" t="str">
        <f>IFERROR(VLOOKUP(Primary_Order[[#This Row],[AM]],SP!$E$19:$F$23,2,0),Primary_Order[[#This Row],[AM]])</f>
        <v>Central</v>
      </c>
      <c r="AF475" s="206" t="str">
        <f>VLOOKUP(Primary_Order[[#This Row],[Product ID]],SKU[],10,0)</f>
        <v>Technosynthese</v>
      </c>
      <c r="AG475" s="206" t="str">
        <f>VLOOKUP(Primary_Order[[#This Row],[Product ID]],SKU[],9,0)</f>
        <v>MCO</v>
      </c>
      <c r="AH475" s="206" t="str">
        <f>VLOOKUP(Primary_Order[[#This Row],[Product ID]],SKU[],12,0)</f>
        <v>20W50</v>
      </c>
      <c r="AI475" s="206" t="str">
        <f>VLOOKUP(Primary_Order[[#This Row],[Product ID]],SKU[],13,0)</f>
        <v>3100</v>
      </c>
      <c r="AJ475" s="233">
        <f>VLOOKUP(Primary_Order[[#This Row],[Product ID]],SKU[[SKU ID]:[Bottle Size(Ltr)]],6,0)*Primary_Order[[#This Row],[Free Quantity]]</f>
        <v>0</v>
      </c>
      <c r="AK475" s="206" t="str">
        <f>VLOOKUP(Primary_Order[[#This Row],[Product ID]],SKU[[SKU ID]:[Bottle Size(Ltr)]],4,0)</f>
        <v>20x1L</v>
      </c>
      <c r="AL475" s="231">
        <f>VLOOKUP(Primary_Order[[#This Row],[Product ID]],SKU[],14,0)*Primary_Order[[#This Row],[Total Qty]]</f>
        <v>187756</v>
      </c>
      <c r="AM475" s="231">
        <f>IF(Primary_Order[[#This Row],[Cost]]=0,0,Primary_Order[[#This Row],[Net Total(-15%)]]-Primary_Order[[#This Row],[Cost]])</f>
        <v>17461.391304347839</v>
      </c>
      <c r="AN475" s="206" t="str">
        <f>"O-"&amp;Primary_Order[[#This Row],[Date]]&amp;"-"&amp;Primary_Order[[#This Row],[MMD ID]]</f>
        <v>O-45754-D-0015</v>
      </c>
      <c r="AO475" s="206" t="str" cm="1">
        <f t="array" ref="AO47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6" spans="1:41" x14ac:dyDescent="0.5">
      <c r="A476" s="206" t="s">
        <v>1413</v>
      </c>
      <c r="B476" s="230">
        <v>45754</v>
      </c>
      <c r="C476" s="206" t="s">
        <v>123</v>
      </c>
      <c r="D476" s="206" t="s">
        <v>124</v>
      </c>
      <c r="E476" s="206" t="s">
        <v>80</v>
      </c>
      <c r="F476" s="206" t="s">
        <v>50</v>
      </c>
      <c r="G476" s="206" t="s">
        <v>79</v>
      </c>
      <c r="H476" s="206" t="s">
        <v>40</v>
      </c>
      <c r="I476" s="206" t="s">
        <v>124</v>
      </c>
      <c r="J476" s="206" t="s">
        <v>80</v>
      </c>
      <c r="K476" s="206" t="s">
        <v>56</v>
      </c>
      <c r="L476" s="206" t="str">
        <f>VLOOKUP(Primary_Order[[#This Row],[Product ID]],SKU[],3,0)</f>
        <v>7100 4T 10W30 ESTER CORE®</v>
      </c>
      <c r="M476" s="231">
        <v>300</v>
      </c>
      <c r="N476" s="231">
        <v>1080</v>
      </c>
      <c r="O476" s="231">
        <v>300</v>
      </c>
      <c r="P476" s="232">
        <v>3.703703703703709E-2</v>
      </c>
      <c r="Q476" s="231">
        <v>0</v>
      </c>
      <c r="R476" s="231">
        <v>1040</v>
      </c>
      <c r="S476" s="231">
        <v>300</v>
      </c>
      <c r="T476" s="231">
        <v>300</v>
      </c>
      <c r="U476" s="231">
        <v>324000</v>
      </c>
      <c r="V476" s="231">
        <v>0</v>
      </c>
      <c r="W476" s="231">
        <v>312000</v>
      </c>
      <c r="X476" s="231">
        <v>40695.65217391304</v>
      </c>
      <c r="Y476" s="231">
        <v>271304.34782608697</v>
      </c>
      <c r="Z476" s="206" t="s">
        <v>882</v>
      </c>
      <c r="AA476" s="206">
        <v>690</v>
      </c>
      <c r="AB476" s="206" t="s">
        <v>1170</v>
      </c>
      <c r="AC476" s="230">
        <v>45755</v>
      </c>
      <c r="AD476" s="206" t="s">
        <v>1336</v>
      </c>
      <c r="AE476" s="206" t="str">
        <f>IFERROR(VLOOKUP(Primary_Order[[#This Row],[AM]],SP!$E$19:$F$23,2,0),Primary_Order[[#This Row],[AM]])</f>
        <v>Central</v>
      </c>
      <c r="AF476" s="206" t="str">
        <f>VLOOKUP(Primary_Order[[#This Row],[Product ID]],SKU[],10,0)</f>
        <v>Synthetic</v>
      </c>
      <c r="AG476" s="206" t="str">
        <f>VLOOKUP(Primary_Order[[#This Row],[Product ID]],SKU[],9,0)</f>
        <v>MCO</v>
      </c>
      <c r="AH476" s="206" t="str">
        <f>VLOOKUP(Primary_Order[[#This Row],[Product ID]],SKU[],12,0)</f>
        <v>10W30</v>
      </c>
      <c r="AI476" s="206" t="str">
        <f>VLOOKUP(Primary_Order[[#This Row],[Product ID]],SKU[],13,0)</f>
        <v>7100</v>
      </c>
      <c r="AJ476" s="233">
        <f>VLOOKUP(Primary_Order[[#This Row],[Product ID]],SKU[[SKU ID]:[Bottle Size(Ltr)]],6,0)*Primary_Order[[#This Row],[Free Quantity]]</f>
        <v>0</v>
      </c>
      <c r="AK476" s="206" t="str">
        <f>VLOOKUP(Primary_Order[[#This Row],[Product ID]],SKU[[SKU ID]:[Bottle Size(Ltr)]],4,0)</f>
        <v>12x1L</v>
      </c>
      <c r="AL476" s="231">
        <f>VLOOKUP(Primary_Order[[#This Row],[Product ID]],SKU[],14,0)*Primary_Order[[#This Row],[Total Qty]]</f>
        <v>206958</v>
      </c>
      <c r="AM476" s="231">
        <f>IF(Primary_Order[[#This Row],[Cost]]=0,0,Primary_Order[[#This Row],[Net Total(-15%)]]-Primary_Order[[#This Row],[Cost]])</f>
        <v>64346.347826086974</v>
      </c>
      <c r="AN476" s="206" t="str">
        <f>"O-"&amp;Primary_Order[[#This Row],[Date]]&amp;"-"&amp;Primary_Order[[#This Row],[MMD ID]]</f>
        <v>O-45754-D-0015</v>
      </c>
      <c r="AO476" s="206" t="str" cm="1">
        <f t="array" ref="AO47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7" spans="1:41" x14ac:dyDescent="0.5">
      <c r="A477" s="206" t="s">
        <v>1413</v>
      </c>
      <c r="B477" s="230">
        <v>45754</v>
      </c>
      <c r="C477" s="206" t="s">
        <v>123</v>
      </c>
      <c r="D477" s="206" t="s">
        <v>124</v>
      </c>
      <c r="E477" s="206" t="s">
        <v>80</v>
      </c>
      <c r="F477" s="206" t="s">
        <v>50</v>
      </c>
      <c r="G477" s="206" t="s">
        <v>79</v>
      </c>
      <c r="H477" s="206" t="s">
        <v>40</v>
      </c>
      <c r="I477" s="206" t="s">
        <v>124</v>
      </c>
      <c r="J477" s="206" t="s">
        <v>80</v>
      </c>
      <c r="K477" s="206" t="s">
        <v>58</v>
      </c>
      <c r="L477" s="206" t="str">
        <f>VLOOKUP(Primary_Order[[#This Row],[Product ID]],SKU[],3,0)</f>
        <v>7100 4T 20W50 ESTER CORE®</v>
      </c>
      <c r="M477" s="231">
        <v>300</v>
      </c>
      <c r="N477" s="231">
        <v>1080</v>
      </c>
      <c r="O477" s="231">
        <v>300</v>
      </c>
      <c r="P477" s="232">
        <v>3.703703703703709E-2</v>
      </c>
      <c r="Q477" s="231">
        <v>0</v>
      </c>
      <c r="R477" s="231">
        <v>1040</v>
      </c>
      <c r="S477" s="231">
        <v>300</v>
      </c>
      <c r="T477" s="231">
        <v>300</v>
      </c>
      <c r="U477" s="231">
        <v>324000</v>
      </c>
      <c r="V477" s="231">
        <v>0</v>
      </c>
      <c r="W477" s="231">
        <v>312000</v>
      </c>
      <c r="X477" s="231">
        <v>40695.65217391304</v>
      </c>
      <c r="Y477" s="231">
        <v>271304.34782608697</v>
      </c>
      <c r="Z477" s="206" t="s">
        <v>882</v>
      </c>
      <c r="AA477" s="206">
        <v>690</v>
      </c>
      <c r="AB477" s="206" t="s">
        <v>1170</v>
      </c>
      <c r="AC477" s="230">
        <v>45755</v>
      </c>
      <c r="AD477" s="206" t="s">
        <v>1336</v>
      </c>
      <c r="AE477" s="206" t="str">
        <f>IFERROR(VLOOKUP(Primary_Order[[#This Row],[AM]],SP!$E$19:$F$23,2,0),Primary_Order[[#This Row],[AM]])</f>
        <v>Central</v>
      </c>
      <c r="AF477" s="206" t="str">
        <f>VLOOKUP(Primary_Order[[#This Row],[Product ID]],SKU[],10,0)</f>
        <v>Synthetic</v>
      </c>
      <c r="AG477" s="206" t="str">
        <f>VLOOKUP(Primary_Order[[#This Row],[Product ID]],SKU[],9,0)</f>
        <v>MCO</v>
      </c>
      <c r="AH477" s="206" t="str">
        <f>VLOOKUP(Primary_Order[[#This Row],[Product ID]],SKU[],12,0)</f>
        <v>20W50</v>
      </c>
      <c r="AI477" s="206" t="str">
        <f>VLOOKUP(Primary_Order[[#This Row],[Product ID]],SKU[],13,0)</f>
        <v>7100</v>
      </c>
      <c r="AJ477" s="233">
        <f>VLOOKUP(Primary_Order[[#This Row],[Product ID]],SKU[[SKU ID]:[Bottle Size(Ltr)]],6,0)*Primary_Order[[#This Row],[Free Quantity]]</f>
        <v>0</v>
      </c>
      <c r="AK477" s="206" t="str">
        <f>VLOOKUP(Primary_Order[[#This Row],[Product ID]],SKU[[SKU ID]:[Bottle Size(Ltr)]],4,0)</f>
        <v>12x1L</v>
      </c>
      <c r="AL477" s="231">
        <f>VLOOKUP(Primary_Order[[#This Row],[Product ID]],SKU[],14,0)*Primary_Order[[#This Row],[Total Qty]]</f>
        <v>229109.52</v>
      </c>
      <c r="AM477" s="231">
        <f>IF(Primary_Order[[#This Row],[Cost]]=0,0,Primary_Order[[#This Row],[Net Total(-15%)]]-Primary_Order[[#This Row],[Cost]])</f>
        <v>42194.827826086985</v>
      </c>
      <c r="AN477" s="206" t="str">
        <f>"O-"&amp;Primary_Order[[#This Row],[Date]]&amp;"-"&amp;Primary_Order[[#This Row],[MMD ID]]</f>
        <v>O-45754-D-0015</v>
      </c>
      <c r="AO477" s="206" t="str" cm="1">
        <f t="array" ref="AO47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8" spans="1:41" x14ac:dyDescent="0.5">
      <c r="A478" s="206" t="s">
        <v>1413</v>
      </c>
      <c r="B478" s="230">
        <v>45754</v>
      </c>
      <c r="C478" s="206" t="s">
        <v>123</v>
      </c>
      <c r="D478" s="206" t="s">
        <v>124</v>
      </c>
      <c r="E478" s="206" t="s">
        <v>80</v>
      </c>
      <c r="F478" s="206" t="s">
        <v>50</v>
      </c>
      <c r="G478" s="206" t="s">
        <v>79</v>
      </c>
      <c r="H478" s="206" t="s">
        <v>40</v>
      </c>
      <c r="I478" s="206" t="s">
        <v>124</v>
      </c>
      <c r="J478" s="206" t="s">
        <v>80</v>
      </c>
      <c r="K478" s="206" t="s">
        <v>43</v>
      </c>
      <c r="L478" s="206" t="str">
        <f>VLOOKUP(Primary_Order[[#This Row],[Product ID]],SKU[],3,0)</f>
        <v>7100 4T 10W30 ESTER CORE®</v>
      </c>
      <c r="M478" s="231">
        <v>516</v>
      </c>
      <c r="N478" s="231">
        <v>1295</v>
      </c>
      <c r="O478" s="231">
        <v>619.19999999999993</v>
      </c>
      <c r="P478" s="232">
        <v>2.7027027027026973E-2</v>
      </c>
      <c r="Q478" s="231">
        <v>0</v>
      </c>
      <c r="R478" s="231">
        <v>1260</v>
      </c>
      <c r="S478" s="231">
        <v>516</v>
      </c>
      <c r="T478" s="231">
        <v>619.19999999999993</v>
      </c>
      <c r="U478" s="231">
        <v>668220</v>
      </c>
      <c r="V478" s="231">
        <v>0</v>
      </c>
      <c r="W478" s="231">
        <v>650160</v>
      </c>
      <c r="X478" s="231">
        <v>84803.478260869568</v>
      </c>
      <c r="Y478" s="231">
        <v>565356.52173913049</v>
      </c>
      <c r="Z478" s="206" t="s">
        <v>882</v>
      </c>
      <c r="AA478" s="206">
        <v>690</v>
      </c>
      <c r="AB478" s="206" t="s">
        <v>1170</v>
      </c>
      <c r="AC478" s="230">
        <v>45755</v>
      </c>
      <c r="AD478" s="206" t="s">
        <v>1336</v>
      </c>
      <c r="AE478" s="206" t="str">
        <f>IFERROR(VLOOKUP(Primary_Order[[#This Row],[AM]],SP!$E$19:$F$23,2,0),Primary_Order[[#This Row],[AM]])</f>
        <v>Central</v>
      </c>
      <c r="AF478" s="206" t="str">
        <f>VLOOKUP(Primary_Order[[#This Row],[Product ID]],SKU[],10,0)</f>
        <v>Synthetic</v>
      </c>
      <c r="AG478" s="206" t="str">
        <f>VLOOKUP(Primary_Order[[#This Row],[Product ID]],SKU[],9,0)</f>
        <v>MCO</v>
      </c>
      <c r="AH478" s="206" t="str">
        <f>VLOOKUP(Primary_Order[[#This Row],[Product ID]],SKU[],12,0)</f>
        <v>10W30</v>
      </c>
      <c r="AI478" s="206" t="str">
        <f>VLOOKUP(Primary_Order[[#This Row],[Product ID]],SKU[],13,0)</f>
        <v>7100</v>
      </c>
      <c r="AJ478" s="233">
        <f>VLOOKUP(Primary_Order[[#This Row],[Product ID]],SKU[[SKU ID]:[Bottle Size(Ltr)]],6,0)*Primary_Order[[#This Row],[Free Quantity]]</f>
        <v>0</v>
      </c>
      <c r="AK478" s="206" t="str">
        <f>VLOOKUP(Primary_Order[[#This Row],[Product ID]],SKU[[SKU ID]:[Bottle Size(Ltr)]],4,0)</f>
        <v>20x1.2L</v>
      </c>
      <c r="AL478" s="231">
        <f>VLOOKUP(Primary_Order[[#This Row],[Product ID]],SKU[],14,0)*Primary_Order[[#This Row],[Total Qty]]</f>
        <v>401086.8</v>
      </c>
      <c r="AM478" s="231">
        <f>IF(Primary_Order[[#This Row],[Cost]]=0,0,Primary_Order[[#This Row],[Net Total(-15%)]]-Primary_Order[[#This Row],[Cost]])</f>
        <v>164269.7217391305</v>
      </c>
      <c r="AN478" s="206" t="str">
        <f>"O-"&amp;Primary_Order[[#This Row],[Date]]&amp;"-"&amp;Primary_Order[[#This Row],[MMD ID]]</f>
        <v>O-45754-D-0015</v>
      </c>
      <c r="AO478" s="206" t="str" cm="1">
        <f t="array" ref="AO47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79" spans="1:41" x14ac:dyDescent="0.5">
      <c r="A479" s="206" t="s">
        <v>1414</v>
      </c>
      <c r="B479" s="230">
        <v>45754</v>
      </c>
      <c r="C479" s="206" t="s">
        <v>273</v>
      </c>
      <c r="D479" s="206" t="s">
        <v>1349</v>
      </c>
      <c r="E479" s="206" t="s">
        <v>275</v>
      </c>
      <c r="F479" s="206" t="s">
        <v>1403</v>
      </c>
      <c r="G479" s="206" t="s">
        <v>39</v>
      </c>
      <c r="H479" s="206" t="s">
        <v>40</v>
      </c>
      <c r="I479" s="206" t="s">
        <v>274</v>
      </c>
      <c r="J479" s="206" t="s">
        <v>275</v>
      </c>
      <c r="K479" s="206" t="s">
        <v>81</v>
      </c>
      <c r="L479" s="206" t="str">
        <f>VLOOKUP(Primary_Order[[#This Row],[Product ID]],SKU[],3,0)</f>
        <v>3000 4T 20W50</v>
      </c>
      <c r="M479" s="231">
        <v>100</v>
      </c>
      <c r="N479" s="231">
        <v>495</v>
      </c>
      <c r="O479" s="231">
        <v>100</v>
      </c>
      <c r="P479" s="232">
        <v>9.0909090909090939E-2</v>
      </c>
      <c r="Q479" s="231">
        <v>0</v>
      </c>
      <c r="R479" s="231">
        <v>450</v>
      </c>
      <c r="S479" s="231">
        <v>100</v>
      </c>
      <c r="T479" s="231">
        <v>100</v>
      </c>
      <c r="U479" s="231">
        <v>49500</v>
      </c>
      <c r="V479" s="231">
        <v>0</v>
      </c>
      <c r="W479" s="231">
        <v>45000</v>
      </c>
      <c r="X479" s="231">
        <v>5869.565217391304</v>
      </c>
      <c r="Y479" s="231">
        <v>39130.434782608696</v>
      </c>
      <c r="Z479" s="206" t="s">
        <v>882</v>
      </c>
      <c r="AA479" s="206">
        <v>691</v>
      </c>
      <c r="AB479" s="206" t="s">
        <v>1170</v>
      </c>
      <c r="AC479" s="230">
        <v>45755</v>
      </c>
      <c r="AD479" s="206" t="s">
        <v>50</v>
      </c>
      <c r="AE479" s="206" t="str">
        <f>IFERROR(VLOOKUP(Primary_Order[[#This Row],[AM]],SP!$E$19:$F$23,2,0),Primary_Order[[#This Row],[AM]])</f>
        <v>Central</v>
      </c>
      <c r="AF479" s="206" t="str">
        <f>VLOOKUP(Primary_Order[[#This Row],[Product ID]],SKU[],10,0)</f>
        <v>Mineral</v>
      </c>
      <c r="AG479" s="206" t="str">
        <f>VLOOKUP(Primary_Order[[#This Row],[Product ID]],SKU[],9,0)</f>
        <v>MCO</v>
      </c>
      <c r="AH479" s="206" t="str">
        <f>VLOOKUP(Primary_Order[[#This Row],[Product ID]],SKU[],12,0)</f>
        <v>20W50</v>
      </c>
      <c r="AI479" s="206" t="str">
        <f>VLOOKUP(Primary_Order[[#This Row],[Product ID]],SKU[],13,0)</f>
        <v>3000</v>
      </c>
      <c r="AJ479" s="233">
        <f>VLOOKUP(Primary_Order[[#This Row],[Product ID]],SKU[[SKU ID]:[Bottle Size(Ltr)]],6,0)*Primary_Order[[#This Row],[Free Quantity]]</f>
        <v>0</v>
      </c>
      <c r="AK479" s="206" t="str">
        <f>VLOOKUP(Primary_Order[[#This Row],[Product ID]],SKU[[SKU ID]:[Bottle Size(Ltr)]],4,0)</f>
        <v>20x1L</v>
      </c>
      <c r="AL479" s="231">
        <f>VLOOKUP(Primary_Order[[#This Row],[Product ID]],SKU[],14,0)*Primary_Order[[#This Row],[Total Qty]]</f>
        <v>36492</v>
      </c>
      <c r="AM479" s="231">
        <f>IF(Primary_Order[[#This Row],[Cost]]=0,0,Primary_Order[[#This Row],[Net Total(-15%)]]-Primary_Order[[#This Row],[Cost]])</f>
        <v>2638.434782608696</v>
      </c>
      <c r="AN479" s="206" t="str">
        <f>"O-"&amp;Primary_Order[[#This Row],[Date]]&amp;"-"&amp;Primary_Order[[#This Row],[MMD ID]]</f>
        <v>O-45754-D-0030</v>
      </c>
      <c r="AO479" s="206" t="str" cm="1">
        <f t="array" ref="AO47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0" spans="1:41" x14ac:dyDescent="0.5">
      <c r="A480" s="206" t="s">
        <v>1415</v>
      </c>
      <c r="B480" s="230">
        <v>45756</v>
      </c>
      <c r="C480" s="206" t="s">
        <v>97</v>
      </c>
      <c r="D480" s="206" t="s">
        <v>1298</v>
      </c>
      <c r="E480" s="206" t="s">
        <v>1299</v>
      </c>
      <c r="F480" s="206">
        <v>1711154387</v>
      </c>
      <c r="G480" s="206" t="s">
        <v>709</v>
      </c>
      <c r="H480" s="206" t="s">
        <v>40</v>
      </c>
      <c r="I480" s="206" t="s">
        <v>98</v>
      </c>
      <c r="J480" s="206" t="s">
        <v>452</v>
      </c>
      <c r="K480" s="206" t="s">
        <v>31</v>
      </c>
      <c r="L480" s="206" t="str">
        <f>VLOOKUP(Primary_Order[[#This Row],[Product ID]],SKU[],3,0)</f>
        <v>3000 4T PLUS 10W30</v>
      </c>
      <c r="M480" s="231">
        <v>400</v>
      </c>
      <c r="N480" s="231">
        <v>520</v>
      </c>
      <c r="O480" s="231">
        <v>400</v>
      </c>
      <c r="P480" s="232">
        <v>0</v>
      </c>
      <c r="Q480" s="231">
        <v>0</v>
      </c>
      <c r="R480" s="231">
        <v>520</v>
      </c>
      <c r="S480" s="231">
        <v>400</v>
      </c>
      <c r="T480" s="231">
        <v>400</v>
      </c>
      <c r="U480" s="231">
        <v>208000</v>
      </c>
      <c r="V480" s="231">
        <v>0</v>
      </c>
      <c r="W480" s="231">
        <v>208000</v>
      </c>
      <c r="X480" s="231">
        <v>27130.434782608696</v>
      </c>
      <c r="Y480" s="231">
        <v>180869.5652173913</v>
      </c>
      <c r="Z480" s="206" t="s">
        <v>882</v>
      </c>
      <c r="AA480" s="206">
        <v>692</v>
      </c>
      <c r="AB480" s="206" t="s">
        <v>641</v>
      </c>
      <c r="AC480" s="230">
        <v>45756</v>
      </c>
      <c r="AD480" s="206" t="s">
        <v>50</v>
      </c>
      <c r="AE480" s="206" t="str">
        <f>IFERROR(VLOOKUP(Primary_Order[[#This Row],[AM]],SP!$E$19:$F$23,2,0),Primary_Order[[#This Row],[AM]])</f>
        <v>Central</v>
      </c>
      <c r="AF480" s="206" t="str">
        <f>VLOOKUP(Primary_Order[[#This Row],[Product ID]],SKU[],10,0)</f>
        <v>Mineral</v>
      </c>
      <c r="AG480" s="206" t="str">
        <f>VLOOKUP(Primary_Order[[#This Row],[Product ID]],SKU[],9,0)</f>
        <v>MCO</v>
      </c>
      <c r="AH480" s="206" t="str">
        <f>VLOOKUP(Primary_Order[[#This Row],[Product ID]],SKU[],12,0)</f>
        <v>10W30</v>
      </c>
      <c r="AI480" s="206" t="str">
        <f>VLOOKUP(Primary_Order[[#This Row],[Product ID]],SKU[],13,0)</f>
        <v>3000</v>
      </c>
      <c r="AJ480" s="233">
        <f>VLOOKUP(Primary_Order[[#This Row],[Product ID]],SKU[[SKU ID]:[Bottle Size(Ltr)]],6,0)*Primary_Order[[#This Row],[Free Quantity]]</f>
        <v>0</v>
      </c>
      <c r="AK480" s="206" t="str">
        <f>VLOOKUP(Primary_Order[[#This Row],[Product ID]],SKU[[SKU ID]:[Bottle Size(Ltr)]],4,0)</f>
        <v>20x1L</v>
      </c>
      <c r="AL480" s="231">
        <f>VLOOKUP(Primary_Order[[#This Row],[Product ID]],SKU[],14,0)*Primary_Order[[#This Row],[Total Qty]]</f>
        <v>151732</v>
      </c>
      <c r="AM480" s="231">
        <f>IF(Primary_Order[[#This Row],[Cost]]=0,0,Primary_Order[[#This Row],[Net Total(-15%)]]-Primary_Order[[#This Row],[Cost]])</f>
        <v>29137.565217391297</v>
      </c>
      <c r="AN480" s="206" t="str">
        <f>"O-"&amp;Primary_Order[[#This Row],[Date]]&amp;"-"&amp;Primary_Order[[#This Row],[MMD ID]]</f>
        <v>O-45756-D-0001</v>
      </c>
      <c r="AO480" s="206" t="str" cm="1">
        <f t="array" ref="AO48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1" spans="1:41" x14ac:dyDescent="0.5">
      <c r="A481" s="206" t="s">
        <v>1415</v>
      </c>
      <c r="B481" s="230">
        <v>45756</v>
      </c>
      <c r="C481" s="206" t="s">
        <v>97</v>
      </c>
      <c r="D481" s="206" t="s">
        <v>1298</v>
      </c>
      <c r="E481" s="206" t="s">
        <v>1299</v>
      </c>
      <c r="F481" s="206">
        <v>1711154387</v>
      </c>
      <c r="G481" s="206" t="s">
        <v>709</v>
      </c>
      <c r="H481" s="206" t="s">
        <v>40</v>
      </c>
      <c r="I481" s="206" t="s">
        <v>98</v>
      </c>
      <c r="J481" s="206" t="s">
        <v>452</v>
      </c>
      <c r="K481" s="206" t="s">
        <v>53</v>
      </c>
      <c r="L481" s="206" t="str">
        <f>VLOOKUP(Primary_Order[[#This Row],[Product ID]],SKU[],3,0)</f>
        <v>3000 4T PLUS 20W40</v>
      </c>
      <c r="M481" s="231">
        <v>200</v>
      </c>
      <c r="N481" s="231">
        <v>520</v>
      </c>
      <c r="O481" s="231">
        <v>200</v>
      </c>
      <c r="P481" s="232">
        <v>0</v>
      </c>
      <c r="Q481" s="231">
        <v>0</v>
      </c>
      <c r="R481" s="231">
        <v>520</v>
      </c>
      <c r="S481" s="231">
        <v>200</v>
      </c>
      <c r="T481" s="231">
        <v>200</v>
      </c>
      <c r="U481" s="231">
        <v>104000</v>
      </c>
      <c r="V481" s="231">
        <v>0</v>
      </c>
      <c r="W481" s="231">
        <v>104000</v>
      </c>
      <c r="X481" s="231">
        <v>13565.217391304348</v>
      </c>
      <c r="Y481" s="231">
        <v>90434.782608695648</v>
      </c>
      <c r="Z481" s="206" t="s">
        <v>882</v>
      </c>
      <c r="AA481" s="206">
        <v>692</v>
      </c>
      <c r="AB481" s="206" t="s">
        <v>641</v>
      </c>
      <c r="AC481" s="230">
        <v>45756</v>
      </c>
      <c r="AD481" s="206" t="s">
        <v>50</v>
      </c>
      <c r="AE481" s="206" t="str">
        <f>IFERROR(VLOOKUP(Primary_Order[[#This Row],[AM]],SP!$E$19:$F$23,2,0),Primary_Order[[#This Row],[AM]])</f>
        <v>Central</v>
      </c>
      <c r="AF481" s="206" t="str">
        <f>VLOOKUP(Primary_Order[[#This Row],[Product ID]],SKU[],10,0)</f>
        <v>Mineral</v>
      </c>
      <c r="AG481" s="206" t="str">
        <f>VLOOKUP(Primary_Order[[#This Row],[Product ID]],SKU[],9,0)</f>
        <v>MCO</v>
      </c>
      <c r="AH481" s="206" t="str">
        <f>VLOOKUP(Primary_Order[[#This Row],[Product ID]],SKU[],12,0)</f>
        <v>20W40</v>
      </c>
      <c r="AI481" s="206" t="str">
        <f>VLOOKUP(Primary_Order[[#This Row],[Product ID]],SKU[],13,0)</f>
        <v>3000</v>
      </c>
      <c r="AJ481" s="233">
        <f>VLOOKUP(Primary_Order[[#This Row],[Product ID]],SKU[[SKU ID]:[Bottle Size(Ltr)]],6,0)*Primary_Order[[#This Row],[Free Quantity]]</f>
        <v>0</v>
      </c>
      <c r="AK481" s="206" t="str">
        <f>VLOOKUP(Primary_Order[[#This Row],[Product ID]],SKU[[SKU ID]:[Bottle Size(Ltr)]],4,0)</f>
        <v>20x1L</v>
      </c>
      <c r="AL481" s="231">
        <f>VLOOKUP(Primary_Order[[#This Row],[Product ID]],SKU[],14,0)*Primary_Order[[#This Row],[Total Qty]]</f>
        <v>82552</v>
      </c>
      <c r="AM481" s="231">
        <f>IF(Primary_Order[[#This Row],[Cost]]=0,0,Primary_Order[[#This Row],[Net Total(-15%)]]-Primary_Order[[#This Row],[Cost]])</f>
        <v>7882.7826086956484</v>
      </c>
      <c r="AN481" s="206" t="str">
        <f>"O-"&amp;Primary_Order[[#This Row],[Date]]&amp;"-"&amp;Primary_Order[[#This Row],[MMD ID]]</f>
        <v>O-45756-D-0001</v>
      </c>
      <c r="AO481" s="206" t="str" cm="1">
        <f t="array" ref="AO48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2" spans="1:41" x14ac:dyDescent="0.5">
      <c r="A482" s="206" t="s">
        <v>1415</v>
      </c>
      <c r="B482" s="230">
        <v>45756</v>
      </c>
      <c r="C482" s="206" t="s">
        <v>97</v>
      </c>
      <c r="D482" s="206" t="s">
        <v>1298</v>
      </c>
      <c r="E482" s="206" t="s">
        <v>1299</v>
      </c>
      <c r="F482" s="206">
        <v>1711154387</v>
      </c>
      <c r="G482" s="206" t="s">
        <v>709</v>
      </c>
      <c r="H482" s="206" t="s">
        <v>40</v>
      </c>
      <c r="I482" s="206" t="s">
        <v>98</v>
      </c>
      <c r="J482" s="206" t="s">
        <v>452</v>
      </c>
      <c r="K482" s="206" t="s">
        <v>54</v>
      </c>
      <c r="L482" s="206" t="str">
        <f>VLOOKUP(Primary_Order[[#This Row],[Product ID]],SKU[],3,0)</f>
        <v>3000 4T PLUS 10W40</v>
      </c>
      <c r="M482" s="231">
        <v>800</v>
      </c>
      <c r="N482" s="231">
        <v>520</v>
      </c>
      <c r="O482" s="231">
        <v>800</v>
      </c>
      <c r="P482" s="232">
        <v>0</v>
      </c>
      <c r="Q482" s="231">
        <v>0</v>
      </c>
      <c r="R482" s="231">
        <v>520</v>
      </c>
      <c r="S482" s="231">
        <v>800</v>
      </c>
      <c r="T482" s="231">
        <v>800</v>
      </c>
      <c r="U482" s="231">
        <v>416000</v>
      </c>
      <c r="V482" s="231">
        <v>0</v>
      </c>
      <c r="W482" s="231">
        <v>416000</v>
      </c>
      <c r="X482" s="231">
        <v>54260.869565217392</v>
      </c>
      <c r="Y482" s="231">
        <v>361739.13043478259</v>
      </c>
      <c r="Z482" s="206" t="s">
        <v>882</v>
      </c>
      <c r="AA482" s="206">
        <v>692</v>
      </c>
      <c r="AB482" s="206" t="s">
        <v>641</v>
      </c>
      <c r="AC482" s="230">
        <v>45756</v>
      </c>
      <c r="AD482" s="206" t="s">
        <v>50</v>
      </c>
      <c r="AE482" s="206" t="str">
        <f>IFERROR(VLOOKUP(Primary_Order[[#This Row],[AM]],SP!$E$19:$F$23,2,0),Primary_Order[[#This Row],[AM]])</f>
        <v>Central</v>
      </c>
      <c r="AF482" s="206" t="str">
        <f>VLOOKUP(Primary_Order[[#This Row],[Product ID]],SKU[],10,0)</f>
        <v>Mineral</v>
      </c>
      <c r="AG482" s="206" t="str">
        <f>VLOOKUP(Primary_Order[[#This Row],[Product ID]],SKU[],9,0)</f>
        <v>MCO</v>
      </c>
      <c r="AH482" s="206" t="str">
        <f>VLOOKUP(Primary_Order[[#This Row],[Product ID]],SKU[],12,0)</f>
        <v>10W40</v>
      </c>
      <c r="AI482" s="206" t="str">
        <f>VLOOKUP(Primary_Order[[#This Row],[Product ID]],SKU[],13,0)</f>
        <v>3000</v>
      </c>
      <c r="AJ482" s="233">
        <f>VLOOKUP(Primary_Order[[#This Row],[Product ID]],SKU[[SKU ID]:[Bottle Size(Ltr)]],6,0)*Primary_Order[[#This Row],[Free Quantity]]</f>
        <v>0</v>
      </c>
      <c r="AK482" s="206" t="str">
        <f>VLOOKUP(Primary_Order[[#This Row],[Product ID]],SKU[[SKU ID]:[Bottle Size(Ltr)]],4,0)</f>
        <v>20x1L</v>
      </c>
      <c r="AL482" s="231">
        <f>VLOOKUP(Primary_Order[[#This Row],[Product ID]],SKU[],14,0)*Primary_Order[[#This Row],[Total Qty]]</f>
        <v>307880</v>
      </c>
      <c r="AM482" s="231">
        <f>IF(Primary_Order[[#This Row],[Cost]]=0,0,Primary_Order[[#This Row],[Net Total(-15%)]]-Primary_Order[[#This Row],[Cost]])</f>
        <v>53859.130434782594</v>
      </c>
      <c r="AN482" s="206" t="str">
        <f>"O-"&amp;Primary_Order[[#This Row],[Date]]&amp;"-"&amp;Primary_Order[[#This Row],[MMD ID]]</f>
        <v>O-45756-D-0001</v>
      </c>
      <c r="AO482" s="206" t="str" cm="1">
        <f t="array" ref="AO48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3" spans="1:41" x14ac:dyDescent="0.5">
      <c r="A483" s="206" t="s">
        <v>1415</v>
      </c>
      <c r="B483" s="230">
        <v>45756</v>
      </c>
      <c r="C483" s="206" t="s">
        <v>97</v>
      </c>
      <c r="D483" s="206" t="s">
        <v>1298</v>
      </c>
      <c r="E483" s="206" t="s">
        <v>1299</v>
      </c>
      <c r="F483" s="206">
        <v>1711154387</v>
      </c>
      <c r="G483" s="206" t="s">
        <v>709</v>
      </c>
      <c r="H483" s="206" t="s">
        <v>40</v>
      </c>
      <c r="I483" s="206" t="s">
        <v>98</v>
      </c>
      <c r="J483" s="206" t="s">
        <v>452</v>
      </c>
      <c r="K483" s="206" t="s">
        <v>33</v>
      </c>
      <c r="L483" s="206" t="str">
        <f>VLOOKUP(Primary_Order[[#This Row],[Product ID]],SKU[],3,0)</f>
        <v>3000 4T PLUS 20W40</v>
      </c>
      <c r="M483" s="231">
        <v>387</v>
      </c>
      <c r="N483" s="231">
        <v>630</v>
      </c>
      <c r="O483" s="231">
        <v>464.4</v>
      </c>
      <c r="P483" s="232">
        <v>0</v>
      </c>
      <c r="Q483" s="231">
        <v>0</v>
      </c>
      <c r="R483" s="231">
        <v>630</v>
      </c>
      <c r="S483" s="231">
        <v>387</v>
      </c>
      <c r="T483" s="231">
        <v>464.4</v>
      </c>
      <c r="U483" s="231">
        <v>243810</v>
      </c>
      <c r="V483" s="231">
        <v>0</v>
      </c>
      <c r="W483" s="231">
        <v>243810</v>
      </c>
      <c r="X483" s="231">
        <v>31801.304347826088</v>
      </c>
      <c r="Y483" s="231">
        <v>212008.69565217392</v>
      </c>
      <c r="Z483" s="206" t="s">
        <v>882</v>
      </c>
      <c r="AA483" s="206">
        <v>692</v>
      </c>
      <c r="AB483" s="206" t="s">
        <v>641</v>
      </c>
      <c r="AC483" s="230">
        <v>45756</v>
      </c>
      <c r="AD483" s="206" t="s">
        <v>50</v>
      </c>
      <c r="AE483" s="206" t="str">
        <f>IFERROR(VLOOKUP(Primary_Order[[#This Row],[AM]],SP!$E$19:$F$23,2,0),Primary_Order[[#This Row],[AM]])</f>
        <v>Central</v>
      </c>
      <c r="AF483" s="206" t="str">
        <f>VLOOKUP(Primary_Order[[#This Row],[Product ID]],SKU[],10,0)</f>
        <v>Mineral</v>
      </c>
      <c r="AG483" s="206" t="str">
        <f>VLOOKUP(Primary_Order[[#This Row],[Product ID]],SKU[],9,0)</f>
        <v>MCO</v>
      </c>
      <c r="AH483" s="206" t="str">
        <f>VLOOKUP(Primary_Order[[#This Row],[Product ID]],SKU[],12,0)</f>
        <v>20W40</v>
      </c>
      <c r="AI483" s="206" t="str">
        <f>VLOOKUP(Primary_Order[[#This Row],[Product ID]],SKU[],13,0)</f>
        <v>3000</v>
      </c>
      <c r="AJ483" s="233">
        <f>VLOOKUP(Primary_Order[[#This Row],[Product ID]],SKU[[SKU ID]:[Bottle Size(Ltr)]],6,0)*Primary_Order[[#This Row],[Free Quantity]]</f>
        <v>0</v>
      </c>
      <c r="AK483" s="206" t="str">
        <f>VLOOKUP(Primary_Order[[#This Row],[Product ID]],SKU[[SKU ID]:[Bottle Size(Ltr)]],4,0)</f>
        <v>20x1.2L</v>
      </c>
      <c r="AL483" s="231">
        <f>VLOOKUP(Primary_Order[[#This Row],[Product ID]],SKU[],14,0)*Primary_Order[[#This Row],[Total Qty]]</f>
        <v>181850.44680068595</v>
      </c>
      <c r="AM483" s="231">
        <f>IF(Primary_Order[[#This Row],[Cost]]=0,0,Primary_Order[[#This Row],[Net Total(-15%)]]-Primary_Order[[#This Row],[Cost]])</f>
        <v>30158.248851487966</v>
      </c>
      <c r="AN483" s="206" t="str">
        <f>"O-"&amp;Primary_Order[[#This Row],[Date]]&amp;"-"&amp;Primary_Order[[#This Row],[MMD ID]]</f>
        <v>O-45756-D-0001</v>
      </c>
      <c r="AO483" s="206" t="str" cm="1">
        <f t="array" ref="AO48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4" spans="1:41" x14ac:dyDescent="0.5">
      <c r="A484" s="206" t="s">
        <v>1415</v>
      </c>
      <c r="B484" s="230">
        <v>45756</v>
      </c>
      <c r="C484" s="206" t="s">
        <v>97</v>
      </c>
      <c r="D484" s="206" t="s">
        <v>1298</v>
      </c>
      <c r="E484" s="206" t="s">
        <v>1299</v>
      </c>
      <c r="F484" s="206">
        <v>1711154387</v>
      </c>
      <c r="G484" s="206" t="s">
        <v>709</v>
      </c>
      <c r="H484" s="206" t="s">
        <v>40</v>
      </c>
      <c r="I484" s="206" t="s">
        <v>98</v>
      </c>
      <c r="J484" s="206" t="s">
        <v>452</v>
      </c>
      <c r="K484" s="206" t="s">
        <v>75</v>
      </c>
      <c r="L484" s="206" t="str">
        <f>VLOOKUP(Primary_Order[[#This Row],[Product ID]],SKU[],3,0)</f>
        <v>31004T GOLD 20W50</v>
      </c>
      <c r="M484" s="231">
        <v>200</v>
      </c>
      <c r="N484" s="231">
        <v>570</v>
      </c>
      <c r="O484" s="231">
        <v>200</v>
      </c>
      <c r="P484" s="232">
        <v>0</v>
      </c>
      <c r="Q484" s="231">
        <v>0</v>
      </c>
      <c r="R484" s="231">
        <v>570</v>
      </c>
      <c r="S484" s="231">
        <v>200</v>
      </c>
      <c r="T484" s="231">
        <v>200</v>
      </c>
      <c r="U484" s="231">
        <v>114000</v>
      </c>
      <c r="V484" s="231">
        <v>0</v>
      </c>
      <c r="W484" s="231">
        <v>114000</v>
      </c>
      <c r="X484" s="231">
        <v>14869.565217391304</v>
      </c>
      <c r="Y484" s="231">
        <v>99130.434782608689</v>
      </c>
      <c r="Z484" s="206" t="s">
        <v>882</v>
      </c>
      <c r="AA484" s="206">
        <v>692</v>
      </c>
      <c r="AB484" s="206" t="s">
        <v>641</v>
      </c>
      <c r="AC484" s="230">
        <v>45756</v>
      </c>
      <c r="AD484" s="206" t="s">
        <v>50</v>
      </c>
      <c r="AE484" s="206" t="str">
        <f>IFERROR(VLOOKUP(Primary_Order[[#This Row],[AM]],SP!$E$19:$F$23,2,0),Primary_Order[[#This Row],[AM]])</f>
        <v>Central</v>
      </c>
      <c r="AF484" s="206" t="str">
        <f>VLOOKUP(Primary_Order[[#This Row],[Product ID]],SKU[],10,0)</f>
        <v>Technosynthese</v>
      </c>
      <c r="AG484" s="206" t="str">
        <f>VLOOKUP(Primary_Order[[#This Row],[Product ID]],SKU[],9,0)</f>
        <v>MCO</v>
      </c>
      <c r="AH484" s="206" t="str">
        <f>VLOOKUP(Primary_Order[[#This Row],[Product ID]],SKU[],12,0)</f>
        <v>20W50</v>
      </c>
      <c r="AI484" s="206" t="str">
        <f>VLOOKUP(Primary_Order[[#This Row],[Product ID]],SKU[],13,0)</f>
        <v>3100</v>
      </c>
      <c r="AJ484" s="233">
        <f>VLOOKUP(Primary_Order[[#This Row],[Product ID]],SKU[[SKU ID]:[Bottle Size(Ltr)]],6,0)*Primary_Order[[#This Row],[Free Quantity]]</f>
        <v>0</v>
      </c>
      <c r="AK484" s="206" t="str">
        <f>VLOOKUP(Primary_Order[[#This Row],[Product ID]],SKU[[SKU ID]:[Bottle Size(Ltr)]],4,0)</f>
        <v>20x1L</v>
      </c>
      <c r="AL484" s="231">
        <f>VLOOKUP(Primary_Order[[#This Row],[Product ID]],SKU[],14,0)*Primary_Order[[#This Row],[Total Qty]]</f>
        <v>93878</v>
      </c>
      <c r="AM484" s="231">
        <f>IF(Primary_Order[[#This Row],[Cost]]=0,0,Primary_Order[[#This Row],[Net Total(-15%)]]-Primary_Order[[#This Row],[Cost]])</f>
        <v>5252.4347826086887</v>
      </c>
      <c r="AN484" s="206" t="str">
        <f>"O-"&amp;Primary_Order[[#This Row],[Date]]&amp;"-"&amp;Primary_Order[[#This Row],[MMD ID]]</f>
        <v>O-45756-D-0001</v>
      </c>
      <c r="AO484" s="206" t="str" cm="1">
        <f t="array" ref="AO48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5" spans="1:41" x14ac:dyDescent="0.5">
      <c r="A485" s="206" t="s">
        <v>1415</v>
      </c>
      <c r="B485" s="230">
        <v>45756</v>
      </c>
      <c r="C485" s="206" t="s">
        <v>97</v>
      </c>
      <c r="D485" s="206" t="s">
        <v>1298</v>
      </c>
      <c r="E485" s="206" t="s">
        <v>1299</v>
      </c>
      <c r="F485" s="206">
        <v>1711154387</v>
      </c>
      <c r="G485" s="206" t="s">
        <v>709</v>
      </c>
      <c r="H485" s="206" t="s">
        <v>40</v>
      </c>
      <c r="I485" s="206" t="s">
        <v>98</v>
      </c>
      <c r="J485" s="206" t="s">
        <v>452</v>
      </c>
      <c r="K485" s="206" t="s">
        <v>56</v>
      </c>
      <c r="L485" s="206" t="str">
        <f>VLOOKUP(Primary_Order[[#This Row],[Product ID]],SKU[],3,0)</f>
        <v>7100 4T 10W30 ESTER CORE®</v>
      </c>
      <c r="M485" s="231">
        <v>60</v>
      </c>
      <c r="N485" s="231">
        <v>1040</v>
      </c>
      <c r="O485" s="231">
        <v>60</v>
      </c>
      <c r="P485" s="232">
        <v>0</v>
      </c>
      <c r="Q485" s="231">
        <v>0</v>
      </c>
      <c r="R485" s="231">
        <v>1040</v>
      </c>
      <c r="S485" s="231">
        <v>60</v>
      </c>
      <c r="T485" s="231">
        <v>60</v>
      </c>
      <c r="U485" s="231">
        <v>62400</v>
      </c>
      <c r="V485" s="231">
        <v>0</v>
      </c>
      <c r="W485" s="231">
        <v>62400</v>
      </c>
      <c r="X485" s="231">
        <v>8139.130434782609</v>
      </c>
      <c r="Y485" s="231">
        <v>54260.869565217392</v>
      </c>
      <c r="Z485" s="206" t="s">
        <v>882</v>
      </c>
      <c r="AA485" s="206">
        <v>692</v>
      </c>
      <c r="AB485" s="206" t="s">
        <v>641</v>
      </c>
      <c r="AC485" s="230">
        <v>45756</v>
      </c>
      <c r="AD485" s="206" t="s">
        <v>50</v>
      </c>
      <c r="AE485" s="206" t="str">
        <f>IFERROR(VLOOKUP(Primary_Order[[#This Row],[AM]],SP!$E$19:$F$23,2,0),Primary_Order[[#This Row],[AM]])</f>
        <v>Central</v>
      </c>
      <c r="AF485" s="206" t="str">
        <f>VLOOKUP(Primary_Order[[#This Row],[Product ID]],SKU[],10,0)</f>
        <v>Synthetic</v>
      </c>
      <c r="AG485" s="206" t="str">
        <f>VLOOKUP(Primary_Order[[#This Row],[Product ID]],SKU[],9,0)</f>
        <v>MCO</v>
      </c>
      <c r="AH485" s="206" t="str">
        <f>VLOOKUP(Primary_Order[[#This Row],[Product ID]],SKU[],12,0)</f>
        <v>10W30</v>
      </c>
      <c r="AI485" s="206" t="str">
        <f>VLOOKUP(Primary_Order[[#This Row],[Product ID]],SKU[],13,0)</f>
        <v>7100</v>
      </c>
      <c r="AJ485" s="233">
        <f>VLOOKUP(Primary_Order[[#This Row],[Product ID]],SKU[[SKU ID]:[Bottle Size(Ltr)]],6,0)*Primary_Order[[#This Row],[Free Quantity]]</f>
        <v>0</v>
      </c>
      <c r="AK485" s="206" t="str">
        <f>VLOOKUP(Primary_Order[[#This Row],[Product ID]],SKU[[SKU ID]:[Bottle Size(Ltr)]],4,0)</f>
        <v>12x1L</v>
      </c>
      <c r="AL485" s="231">
        <f>VLOOKUP(Primary_Order[[#This Row],[Product ID]],SKU[],14,0)*Primary_Order[[#This Row],[Total Qty]]</f>
        <v>41391.599999999999</v>
      </c>
      <c r="AM485" s="231">
        <f>IF(Primary_Order[[#This Row],[Cost]]=0,0,Primary_Order[[#This Row],[Net Total(-15%)]]-Primary_Order[[#This Row],[Cost]])</f>
        <v>12869.269565217393</v>
      </c>
      <c r="AN485" s="206" t="str">
        <f>"O-"&amp;Primary_Order[[#This Row],[Date]]&amp;"-"&amp;Primary_Order[[#This Row],[MMD ID]]</f>
        <v>O-45756-D-0001</v>
      </c>
      <c r="AO485" s="206" t="str" cm="1">
        <f t="array" ref="AO48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6" spans="1:41" x14ac:dyDescent="0.5">
      <c r="A486" s="206" t="s">
        <v>1415</v>
      </c>
      <c r="B486" s="230">
        <v>45756</v>
      </c>
      <c r="C486" s="206" t="s">
        <v>97</v>
      </c>
      <c r="D486" s="206" t="s">
        <v>1298</v>
      </c>
      <c r="E486" s="206" t="s">
        <v>1299</v>
      </c>
      <c r="F486" s="206">
        <v>1711154387</v>
      </c>
      <c r="G486" s="206" t="s">
        <v>709</v>
      </c>
      <c r="H486" s="206" t="s">
        <v>40</v>
      </c>
      <c r="I486" s="206" t="s">
        <v>98</v>
      </c>
      <c r="J486" s="206" t="s">
        <v>452</v>
      </c>
      <c r="K486" s="206" t="s">
        <v>58</v>
      </c>
      <c r="L486" s="206" t="str">
        <f>VLOOKUP(Primary_Order[[#This Row],[Product ID]],SKU[],3,0)</f>
        <v>7100 4T 20W50 ESTER CORE®</v>
      </c>
      <c r="M486" s="231">
        <v>60</v>
      </c>
      <c r="N486" s="231">
        <v>1040</v>
      </c>
      <c r="O486" s="231">
        <v>60</v>
      </c>
      <c r="P486" s="232">
        <v>0</v>
      </c>
      <c r="Q486" s="231">
        <v>0</v>
      </c>
      <c r="R486" s="231">
        <v>1040</v>
      </c>
      <c r="S486" s="231">
        <v>60</v>
      </c>
      <c r="T486" s="231">
        <v>60</v>
      </c>
      <c r="U486" s="231">
        <v>62400</v>
      </c>
      <c r="V486" s="231">
        <v>0</v>
      </c>
      <c r="W486" s="231">
        <v>62400</v>
      </c>
      <c r="X486" s="231">
        <v>8139.130434782609</v>
      </c>
      <c r="Y486" s="231">
        <v>54260.869565217392</v>
      </c>
      <c r="Z486" s="206" t="s">
        <v>882</v>
      </c>
      <c r="AA486" s="206">
        <v>692</v>
      </c>
      <c r="AB486" s="206" t="s">
        <v>641</v>
      </c>
      <c r="AC486" s="230">
        <v>45756</v>
      </c>
      <c r="AD486" s="206" t="s">
        <v>50</v>
      </c>
      <c r="AE486" s="206" t="str">
        <f>IFERROR(VLOOKUP(Primary_Order[[#This Row],[AM]],SP!$E$19:$F$23,2,0),Primary_Order[[#This Row],[AM]])</f>
        <v>Central</v>
      </c>
      <c r="AF486" s="206" t="str">
        <f>VLOOKUP(Primary_Order[[#This Row],[Product ID]],SKU[],10,0)</f>
        <v>Synthetic</v>
      </c>
      <c r="AG486" s="206" t="str">
        <f>VLOOKUP(Primary_Order[[#This Row],[Product ID]],SKU[],9,0)</f>
        <v>MCO</v>
      </c>
      <c r="AH486" s="206" t="str">
        <f>VLOOKUP(Primary_Order[[#This Row],[Product ID]],SKU[],12,0)</f>
        <v>20W50</v>
      </c>
      <c r="AI486" s="206" t="str">
        <f>VLOOKUP(Primary_Order[[#This Row],[Product ID]],SKU[],13,0)</f>
        <v>7100</v>
      </c>
      <c r="AJ486" s="233">
        <f>VLOOKUP(Primary_Order[[#This Row],[Product ID]],SKU[[SKU ID]:[Bottle Size(Ltr)]],6,0)*Primary_Order[[#This Row],[Free Quantity]]</f>
        <v>0</v>
      </c>
      <c r="AK486" s="206" t="str">
        <f>VLOOKUP(Primary_Order[[#This Row],[Product ID]],SKU[[SKU ID]:[Bottle Size(Ltr)]],4,0)</f>
        <v>12x1L</v>
      </c>
      <c r="AL486" s="231">
        <f>VLOOKUP(Primary_Order[[#This Row],[Product ID]],SKU[],14,0)*Primary_Order[[#This Row],[Total Qty]]</f>
        <v>45821.904000000002</v>
      </c>
      <c r="AM486" s="231">
        <f>IF(Primary_Order[[#This Row],[Cost]]=0,0,Primary_Order[[#This Row],[Net Total(-15%)]]-Primary_Order[[#This Row],[Cost]])</f>
        <v>8438.9655652173897</v>
      </c>
      <c r="AN486" s="206" t="str">
        <f>"O-"&amp;Primary_Order[[#This Row],[Date]]&amp;"-"&amp;Primary_Order[[#This Row],[MMD ID]]</f>
        <v>O-45756-D-0001</v>
      </c>
      <c r="AO486" s="206" t="str" cm="1">
        <f t="array" ref="AO48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7" spans="1:41" x14ac:dyDescent="0.5">
      <c r="A487" s="206" t="s">
        <v>1417</v>
      </c>
      <c r="B487" s="230">
        <v>45756</v>
      </c>
      <c r="C487" s="206" t="s">
        <v>110</v>
      </c>
      <c r="D487" s="206" t="s">
        <v>1418</v>
      </c>
      <c r="E487" s="206" t="s">
        <v>50</v>
      </c>
      <c r="F487" s="206" t="s">
        <v>50</v>
      </c>
      <c r="G487" s="206" t="s">
        <v>87</v>
      </c>
      <c r="H487" s="206" t="s">
        <v>87</v>
      </c>
      <c r="I487" s="206" t="s">
        <v>88</v>
      </c>
      <c r="J487" s="206" t="s">
        <v>52</v>
      </c>
      <c r="K487" s="206" t="s">
        <v>81</v>
      </c>
      <c r="L487" s="206" t="str">
        <f>VLOOKUP(Primary_Order[[#This Row],[Product ID]],SKU[],3,0)</f>
        <v>3000 4T 20W50</v>
      </c>
      <c r="M487" s="231">
        <v>20</v>
      </c>
      <c r="N487" s="231">
        <v>495</v>
      </c>
      <c r="O487" s="231">
        <v>20</v>
      </c>
      <c r="P487" s="232">
        <v>1</v>
      </c>
      <c r="Q487" s="231">
        <v>0</v>
      </c>
      <c r="R487" s="231">
        <v>1.0000000000000001E-18</v>
      </c>
      <c r="S487" s="231">
        <v>20</v>
      </c>
      <c r="T487" s="231">
        <v>20</v>
      </c>
      <c r="U487" s="231">
        <v>9900</v>
      </c>
      <c r="V487" s="231">
        <v>0</v>
      </c>
      <c r="W487" s="231">
        <v>2.0000000000000001E-17</v>
      </c>
      <c r="X487" s="231">
        <v>2.6086956521739134E-18</v>
      </c>
      <c r="Y487" s="231">
        <v>1.7391304347826087E-17</v>
      </c>
      <c r="Z487" s="206" t="s">
        <v>882</v>
      </c>
      <c r="AA487" s="206" t="s">
        <v>50</v>
      </c>
      <c r="AB487" s="206" t="s">
        <v>1170</v>
      </c>
      <c r="AC487" s="230" t="s">
        <v>50</v>
      </c>
      <c r="AD487" s="206" t="s">
        <v>1416</v>
      </c>
      <c r="AE487" s="206" t="str">
        <f>IFERROR(VLOOKUP(Primary_Order[[#This Row],[AM]],SP!$E$19:$F$23,2,0),Primary_Order[[#This Row],[AM]])</f>
        <v>Captive Sales</v>
      </c>
      <c r="AF487" s="206" t="str">
        <f>VLOOKUP(Primary_Order[[#This Row],[Product ID]],SKU[],10,0)</f>
        <v>Mineral</v>
      </c>
      <c r="AG487" s="206" t="str">
        <f>VLOOKUP(Primary_Order[[#This Row],[Product ID]],SKU[],9,0)</f>
        <v>MCO</v>
      </c>
      <c r="AH487" s="206" t="str">
        <f>VLOOKUP(Primary_Order[[#This Row],[Product ID]],SKU[],12,0)</f>
        <v>20W50</v>
      </c>
      <c r="AI487" s="206" t="str">
        <f>VLOOKUP(Primary_Order[[#This Row],[Product ID]],SKU[],13,0)</f>
        <v>3000</v>
      </c>
      <c r="AJ487" s="233">
        <f>VLOOKUP(Primary_Order[[#This Row],[Product ID]],SKU[[SKU ID]:[Bottle Size(Ltr)]],6,0)*Primary_Order[[#This Row],[Free Quantity]]</f>
        <v>0</v>
      </c>
      <c r="AK487" s="206" t="str">
        <f>VLOOKUP(Primary_Order[[#This Row],[Product ID]],SKU[[SKU ID]:[Bottle Size(Ltr)]],4,0)</f>
        <v>20x1L</v>
      </c>
      <c r="AL487" s="231">
        <f>VLOOKUP(Primary_Order[[#This Row],[Product ID]],SKU[],14,0)*Primary_Order[[#This Row],[Total Qty]]</f>
        <v>7298.4000000000005</v>
      </c>
      <c r="AM487" s="231">
        <f>IF(Primary_Order[[#This Row],[Cost]]=0,0,Primary_Order[[#This Row],[Net Total(-15%)]]-Primary_Order[[#This Row],[Cost]])</f>
        <v>-7298.4000000000005</v>
      </c>
      <c r="AN487" s="206" t="str">
        <f>"O-"&amp;Primary_Order[[#This Row],[Date]]&amp;"-"&amp;Primary_Order[[#This Row],[MMD ID]]</f>
        <v>O-45756-D-0025</v>
      </c>
      <c r="AO487" s="206" t="str" cm="1">
        <f t="array" ref="AO48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88" spans="1:41" x14ac:dyDescent="0.5">
      <c r="A488" s="206" t="s">
        <v>1423</v>
      </c>
      <c r="B488" s="230">
        <v>45762</v>
      </c>
      <c r="C488" s="206" t="s">
        <v>123</v>
      </c>
      <c r="D488" s="206" t="s">
        <v>1422</v>
      </c>
      <c r="E488" s="206" t="s">
        <v>50</v>
      </c>
      <c r="F488" s="206" t="s">
        <v>50</v>
      </c>
      <c r="G488" s="206" t="s">
        <v>79</v>
      </c>
      <c r="H488" s="206" t="s">
        <v>40</v>
      </c>
      <c r="I488" s="206" t="s">
        <v>124</v>
      </c>
      <c r="J488" s="206" t="s">
        <v>80</v>
      </c>
      <c r="K488" s="206" t="s">
        <v>54</v>
      </c>
      <c r="L488" s="206" t="str">
        <f>VLOOKUP(Primary_Order[[#This Row],[Product ID]],SKU[],3,0)</f>
        <v>3000 4T PLUS 10W40</v>
      </c>
      <c r="M488" s="231">
        <v>2870</v>
      </c>
      <c r="N488" s="231">
        <v>550</v>
      </c>
      <c r="O488" s="231">
        <v>2870</v>
      </c>
      <c r="P488" s="232">
        <v>0.63636363636363635</v>
      </c>
      <c r="Q488" s="231">
        <v>0</v>
      </c>
      <c r="R488" s="231">
        <v>200</v>
      </c>
      <c r="S488" s="231">
        <v>2870</v>
      </c>
      <c r="T488" s="231">
        <v>2870</v>
      </c>
      <c r="U488" s="231">
        <v>1578500</v>
      </c>
      <c r="V488" s="231">
        <v>0</v>
      </c>
      <c r="W488" s="231">
        <v>574000</v>
      </c>
      <c r="X488" s="231">
        <v>74869.565217391311</v>
      </c>
      <c r="Y488" s="231">
        <v>499130.4347826087</v>
      </c>
      <c r="Z488" s="206" t="s">
        <v>882</v>
      </c>
      <c r="AA488" s="206" t="s">
        <v>50</v>
      </c>
      <c r="AB488" s="206" t="s">
        <v>1170</v>
      </c>
      <c r="AC488" s="230">
        <v>45762</v>
      </c>
      <c r="AD488" s="206" t="s">
        <v>1430</v>
      </c>
      <c r="AE488" s="206" t="str">
        <f>IFERROR(VLOOKUP(Primary_Order[[#This Row],[AM]],SP!$E$19:$F$23,2,0),Primary_Order[[#This Row],[AM]])</f>
        <v>Central</v>
      </c>
      <c r="AF488" s="206" t="str">
        <f>VLOOKUP(Primary_Order[[#This Row],[Product ID]],SKU[],10,0)</f>
        <v>Mineral</v>
      </c>
      <c r="AG488" s="206" t="str">
        <f>VLOOKUP(Primary_Order[[#This Row],[Product ID]],SKU[],9,0)</f>
        <v>MCO</v>
      </c>
      <c r="AH488" s="206" t="str">
        <f>VLOOKUP(Primary_Order[[#This Row],[Product ID]],SKU[],12,0)</f>
        <v>10W40</v>
      </c>
      <c r="AI488" s="206" t="str">
        <f>VLOOKUP(Primary_Order[[#This Row],[Product ID]],SKU[],13,0)</f>
        <v>3000</v>
      </c>
      <c r="AJ488" s="233">
        <f>VLOOKUP(Primary_Order[[#This Row],[Product ID]],SKU[[SKU ID]:[Bottle Size(Ltr)]],6,0)*Primary_Order[[#This Row],[Free Quantity]]</f>
        <v>0</v>
      </c>
      <c r="AK488" s="206" t="str">
        <f>VLOOKUP(Primary_Order[[#This Row],[Product ID]],SKU[[SKU ID]:[Bottle Size(Ltr)]],4,0)</f>
        <v>20x1L</v>
      </c>
      <c r="AL488" s="231">
        <f>VLOOKUP(Primary_Order[[#This Row],[Product ID]],SKU[],14,0)*Primary_Order[[#This Row],[Total Qty]]</f>
        <v>1104519.5</v>
      </c>
      <c r="AM488" s="231">
        <f>IF(Primary_Order[[#This Row],[Cost]]=0,0,Primary_Order[[#This Row],[Net Total(-15%)]]-Primary_Order[[#This Row],[Cost]])</f>
        <v>-605389.06521739135</v>
      </c>
      <c r="AN488" s="206" t="str">
        <f>"O-"&amp;Primary_Order[[#This Row],[Date]]&amp;"-"&amp;Primary_Order[[#This Row],[MMD ID]]</f>
        <v>O-45762-D-0015</v>
      </c>
      <c r="AO488" s="206" t="str" cm="1">
        <f t="array" ref="AO48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DMG-Sold</v>
      </c>
    </row>
    <row r="489" spans="1:41" x14ac:dyDescent="0.5">
      <c r="A489" s="206" t="s">
        <v>1426</v>
      </c>
      <c r="B489" s="230">
        <v>45757</v>
      </c>
      <c r="C489" s="206" t="s">
        <v>102</v>
      </c>
      <c r="D489" s="206" t="s">
        <v>1411</v>
      </c>
      <c r="E489" s="206" t="s">
        <v>1198</v>
      </c>
      <c r="F489" s="206" t="s">
        <v>1412</v>
      </c>
      <c r="G489" s="206" t="s">
        <v>45</v>
      </c>
      <c r="H489" s="206" t="s">
        <v>28</v>
      </c>
      <c r="I489" s="206" t="s">
        <v>46</v>
      </c>
      <c r="J489" s="206" t="s">
        <v>47</v>
      </c>
      <c r="K489" s="206" t="s">
        <v>53</v>
      </c>
      <c r="L489" s="206" t="str">
        <f>VLOOKUP(Primary_Order[[#This Row],[Product ID]],SKU[],3,0)</f>
        <v>3000 4T PLUS 20W40</v>
      </c>
      <c r="M489" s="231">
        <v>80</v>
      </c>
      <c r="N489" s="231">
        <v>535</v>
      </c>
      <c r="O489" s="231">
        <v>80</v>
      </c>
      <c r="P489" s="232">
        <v>0</v>
      </c>
      <c r="Q489" s="231">
        <v>0</v>
      </c>
      <c r="R489" s="231">
        <v>535</v>
      </c>
      <c r="S489" s="231">
        <v>80</v>
      </c>
      <c r="T489" s="231">
        <v>80</v>
      </c>
      <c r="U489" s="231">
        <v>42800</v>
      </c>
      <c r="V489" s="231">
        <v>0</v>
      </c>
      <c r="W489" s="231">
        <v>42800</v>
      </c>
      <c r="X489" s="231">
        <v>5582.608695652174</v>
      </c>
      <c r="Y489" s="231">
        <v>37217.391304347824</v>
      </c>
      <c r="Z489" s="206" t="s">
        <v>882</v>
      </c>
      <c r="AA489" s="206">
        <v>693</v>
      </c>
      <c r="AB489" s="206" t="s">
        <v>1170</v>
      </c>
      <c r="AC489" s="230">
        <v>45760</v>
      </c>
      <c r="AD489" s="206" t="s">
        <v>50</v>
      </c>
      <c r="AE489" s="206" t="str">
        <f>IFERROR(VLOOKUP(Primary_Order[[#This Row],[AM]],SP!$E$19:$F$23,2,0),Primary_Order[[#This Row],[AM]])</f>
        <v>Eastern</v>
      </c>
      <c r="AF489" s="206" t="str">
        <f>VLOOKUP(Primary_Order[[#This Row],[Product ID]],SKU[],10,0)</f>
        <v>Mineral</v>
      </c>
      <c r="AG489" s="206" t="str">
        <f>VLOOKUP(Primary_Order[[#This Row],[Product ID]],SKU[],9,0)</f>
        <v>MCO</v>
      </c>
      <c r="AH489" s="206" t="str">
        <f>VLOOKUP(Primary_Order[[#This Row],[Product ID]],SKU[],12,0)</f>
        <v>20W40</v>
      </c>
      <c r="AI489" s="206" t="str">
        <f>VLOOKUP(Primary_Order[[#This Row],[Product ID]],SKU[],13,0)</f>
        <v>3000</v>
      </c>
      <c r="AJ489" s="233">
        <f>VLOOKUP(Primary_Order[[#This Row],[Product ID]],SKU[[SKU ID]:[Bottle Size(Ltr)]],6,0)*Primary_Order[[#This Row],[Free Quantity]]</f>
        <v>0</v>
      </c>
      <c r="AK489" s="206" t="str">
        <f>VLOOKUP(Primary_Order[[#This Row],[Product ID]],SKU[[SKU ID]:[Bottle Size(Ltr)]],4,0)</f>
        <v>20x1L</v>
      </c>
      <c r="AL489" s="231">
        <f>VLOOKUP(Primary_Order[[#This Row],[Product ID]],SKU[],14,0)*Primary_Order[[#This Row],[Total Qty]]</f>
        <v>33020.800000000003</v>
      </c>
      <c r="AM489" s="231">
        <f>IF(Primary_Order[[#This Row],[Cost]]=0,0,Primary_Order[[#This Row],[Net Total(-15%)]]-Primary_Order[[#This Row],[Cost]])</f>
        <v>4196.5913043478213</v>
      </c>
      <c r="AN489" s="206" t="str">
        <f>"O-"&amp;Primary_Order[[#This Row],[Date]]&amp;"-"&amp;Primary_Order[[#This Row],[MMD ID]]</f>
        <v>O-45757-D-0003</v>
      </c>
      <c r="AO489" s="206" t="str" cm="1">
        <f t="array" ref="AO48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0" spans="1:41" x14ac:dyDescent="0.5">
      <c r="A490" s="206" t="s">
        <v>1426</v>
      </c>
      <c r="B490" s="230">
        <v>45757</v>
      </c>
      <c r="C490" s="206" t="s">
        <v>102</v>
      </c>
      <c r="D490" s="206" t="s">
        <v>1411</v>
      </c>
      <c r="E490" s="206" t="s">
        <v>1198</v>
      </c>
      <c r="F490" s="206" t="s">
        <v>1412</v>
      </c>
      <c r="G490" s="206" t="s">
        <v>45</v>
      </c>
      <c r="H490" s="206" t="s">
        <v>28</v>
      </c>
      <c r="I490" s="206" t="s">
        <v>46</v>
      </c>
      <c r="J490" s="206" t="s">
        <v>47</v>
      </c>
      <c r="K490" s="206" t="s">
        <v>54</v>
      </c>
      <c r="L490" s="206" t="str">
        <f>VLOOKUP(Primary_Order[[#This Row],[Product ID]],SKU[],3,0)</f>
        <v>3000 4T PLUS 10W40</v>
      </c>
      <c r="M490" s="231">
        <v>80</v>
      </c>
      <c r="N490" s="231">
        <v>550</v>
      </c>
      <c r="O490" s="231">
        <v>80</v>
      </c>
      <c r="P490" s="232">
        <v>2.7272727272727226E-2</v>
      </c>
      <c r="Q490" s="231">
        <v>0</v>
      </c>
      <c r="R490" s="231">
        <v>535</v>
      </c>
      <c r="S490" s="231">
        <v>80</v>
      </c>
      <c r="T490" s="231">
        <v>80</v>
      </c>
      <c r="U490" s="231">
        <v>44000</v>
      </c>
      <c r="V490" s="231">
        <v>0</v>
      </c>
      <c r="W490" s="231">
        <v>42800</v>
      </c>
      <c r="X490" s="231">
        <v>5582.608695652174</v>
      </c>
      <c r="Y490" s="231">
        <v>37217.391304347824</v>
      </c>
      <c r="Z490" s="206" t="s">
        <v>882</v>
      </c>
      <c r="AA490" s="206">
        <v>693</v>
      </c>
      <c r="AB490" s="206" t="s">
        <v>1170</v>
      </c>
      <c r="AC490" s="230">
        <v>45760</v>
      </c>
      <c r="AD490" s="206" t="s">
        <v>50</v>
      </c>
      <c r="AE490" s="206" t="str">
        <f>IFERROR(VLOOKUP(Primary_Order[[#This Row],[AM]],SP!$E$19:$F$23,2,0),Primary_Order[[#This Row],[AM]])</f>
        <v>Eastern</v>
      </c>
      <c r="AF490" s="206" t="str">
        <f>VLOOKUP(Primary_Order[[#This Row],[Product ID]],SKU[],10,0)</f>
        <v>Mineral</v>
      </c>
      <c r="AG490" s="206" t="str">
        <f>VLOOKUP(Primary_Order[[#This Row],[Product ID]],SKU[],9,0)</f>
        <v>MCO</v>
      </c>
      <c r="AH490" s="206" t="str">
        <f>VLOOKUP(Primary_Order[[#This Row],[Product ID]],SKU[],12,0)</f>
        <v>10W40</v>
      </c>
      <c r="AI490" s="206" t="str">
        <f>VLOOKUP(Primary_Order[[#This Row],[Product ID]],SKU[],13,0)</f>
        <v>3000</v>
      </c>
      <c r="AJ490" s="233">
        <f>VLOOKUP(Primary_Order[[#This Row],[Product ID]],SKU[[SKU ID]:[Bottle Size(Ltr)]],6,0)*Primary_Order[[#This Row],[Free Quantity]]</f>
        <v>0</v>
      </c>
      <c r="AK490" s="206" t="str">
        <f>VLOOKUP(Primary_Order[[#This Row],[Product ID]],SKU[[SKU ID]:[Bottle Size(Ltr)]],4,0)</f>
        <v>20x1L</v>
      </c>
      <c r="AL490" s="231">
        <f>VLOOKUP(Primary_Order[[#This Row],[Product ID]],SKU[],14,0)*Primary_Order[[#This Row],[Total Qty]]</f>
        <v>30788</v>
      </c>
      <c r="AM490" s="231">
        <f>IF(Primary_Order[[#This Row],[Cost]]=0,0,Primary_Order[[#This Row],[Net Total(-15%)]]-Primary_Order[[#This Row],[Cost]])</f>
        <v>6429.3913043478242</v>
      </c>
      <c r="AN490" s="206" t="str">
        <f>"O-"&amp;Primary_Order[[#This Row],[Date]]&amp;"-"&amp;Primary_Order[[#This Row],[MMD ID]]</f>
        <v>O-45757-D-0003</v>
      </c>
      <c r="AO490" s="206" t="str" cm="1">
        <f t="array" ref="AO49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1" spans="1:41" x14ac:dyDescent="0.5">
      <c r="A491" s="206" t="s">
        <v>1426</v>
      </c>
      <c r="B491" s="230">
        <v>45757</v>
      </c>
      <c r="C491" s="206" t="s">
        <v>102</v>
      </c>
      <c r="D491" s="206" t="s">
        <v>1411</v>
      </c>
      <c r="E491" s="206" t="s">
        <v>1198</v>
      </c>
      <c r="F491" s="206" t="s">
        <v>1412</v>
      </c>
      <c r="G491" s="206" t="s">
        <v>45</v>
      </c>
      <c r="H491" s="206" t="s">
        <v>28</v>
      </c>
      <c r="I491" s="206" t="s">
        <v>46</v>
      </c>
      <c r="J491" s="206" t="s">
        <v>47</v>
      </c>
      <c r="K491" s="206" t="s">
        <v>36</v>
      </c>
      <c r="L491" s="206" t="str">
        <f>VLOOKUP(Primary_Order[[#This Row],[Product ID]],SKU[],3,0)</f>
        <v>51004T 10W40 ESTER</v>
      </c>
      <c r="M491" s="231">
        <v>12</v>
      </c>
      <c r="N491" s="231">
        <v>860</v>
      </c>
      <c r="O491" s="231">
        <v>12</v>
      </c>
      <c r="P491" s="232">
        <v>1.1627906976744207E-2</v>
      </c>
      <c r="Q491" s="231">
        <v>0</v>
      </c>
      <c r="R491" s="231">
        <v>850</v>
      </c>
      <c r="S491" s="231">
        <v>12</v>
      </c>
      <c r="T491" s="231">
        <v>12</v>
      </c>
      <c r="U491" s="231">
        <v>10320</v>
      </c>
      <c r="V491" s="231">
        <v>0</v>
      </c>
      <c r="W491" s="231">
        <v>10200</v>
      </c>
      <c r="X491" s="231">
        <v>1330.4347826086957</v>
      </c>
      <c r="Y491" s="231">
        <v>8869.565217391304</v>
      </c>
      <c r="Z491" s="206" t="s">
        <v>882</v>
      </c>
      <c r="AA491" s="206">
        <v>693</v>
      </c>
      <c r="AB491" s="206" t="s">
        <v>1170</v>
      </c>
      <c r="AC491" s="230">
        <v>45760</v>
      </c>
      <c r="AD491" s="206" t="s">
        <v>50</v>
      </c>
      <c r="AE491" s="206" t="str">
        <f>IFERROR(VLOOKUP(Primary_Order[[#This Row],[AM]],SP!$E$19:$F$23,2,0),Primary_Order[[#This Row],[AM]])</f>
        <v>Eastern</v>
      </c>
      <c r="AF491" s="206" t="str">
        <f>VLOOKUP(Primary_Order[[#This Row],[Product ID]],SKU[],10,0)</f>
        <v>Technosynthese</v>
      </c>
      <c r="AG491" s="206" t="str">
        <f>VLOOKUP(Primary_Order[[#This Row],[Product ID]],SKU[],9,0)</f>
        <v>MCO</v>
      </c>
      <c r="AH491" s="206" t="str">
        <f>VLOOKUP(Primary_Order[[#This Row],[Product ID]],SKU[],12,0)</f>
        <v>10W40</v>
      </c>
      <c r="AI491" s="206" t="str">
        <f>VLOOKUP(Primary_Order[[#This Row],[Product ID]],SKU[],13,0)</f>
        <v>5100</v>
      </c>
      <c r="AJ491" s="233">
        <f>VLOOKUP(Primary_Order[[#This Row],[Product ID]],SKU[[SKU ID]:[Bottle Size(Ltr)]],6,0)*Primary_Order[[#This Row],[Free Quantity]]</f>
        <v>0</v>
      </c>
      <c r="AK491" s="206" t="str">
        <f>VLOOKUP(Primary_Order[[#This Row],[Product ID]],SKU[[SKU ID]:[Bottle Size(Ltr)]],4,0)</f>
        <v>12x1L</v>
      </c>
      <c r="AL491" s="231">
        <f>VLOOKUP(Primary_Order[[#This Row],[Product ID]],SKU[],14,0)*Primary_Order[[#This Row],[Total Qty]]</f>
        <v>7299.9600000000009</v>
      </c>
      <c r="AM491" s="231">
        <f>IF(Primary_Order[[#This Row],[Cost]]=0,0,Primary_Order[[#This Row],[Net Total(-15%)]]-Primary_Order[[#This Row],[Cost]])</f>
        <v>1569.6052173913031</v>
      </c>
      <c r="AN491" s="206" t="str">
        <f>"O-"&amp;Primary_Order[[#This Row],[Date]]&amp;"-"&amp;Primary_Order[[#This Row],[MMD ID]]</f>
        <v>O-45757-D-0003</v>
      </c>
      <c r="AO491" s="206" t="str" cm="1">
        <f t="array" ref="AO49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2" spans="1:41" x14ac:dyDescent="0.5">
      <c r="A492" s="206" t="s">
        <v>1426</v>
      </c>
      <c r="B492" s="230">
        <v>45757</v>
      </c>
      <c r="C492" s="206" t="s">
        <v>102</v>
      </c>
      <c r="D492" s="206" t="s">
        <v>1411</v>
      </c>
      <c r="E492" s="206" t="s">
        <v>1198</v>
      </c>
      <c r="F492" s="206" t="s">
        <v>1412</v>
      </c>
      <c r="G492" s="206" t="s">
        <v>45</v>
      </c>
      <c r="H492" s="206" t="s">
        <v>28</v>
      </c>
      <c r="I492" s="206" t="s">
        <v>46</v>
      </c>
      <c r="J492" s="206" t="s">
        <v>47</v>
      </c>
      <c r="K492" s="206" t="s">
        <v>81</v>
      </c>
      <c r="L492" s="206" t="str">
        <f>VLOOKUP(Primary_Order[[#This Row],[Product ID]],SKU[],3,0)</f>
        <v>3000 4T 20W50</v>
      </c>
      <c r="M492" s="231">
        <v>40</v>
      </c>
      <c r="N492" s="231">
        <v>495</v>
      </c>
      <c r="O492" s="231">
        <v>40</v>
      </c>
      <c r="P492" s="232">
        <v>3.0303030303030276E-2</v>
      </c>
      <c r="Q492" s="231">
        <v>0</v>
      </c>
      <c r="R492" s="231">
        <v>480</v>
      </c>
      <c r="S492" s="231">
        <v>40</v>
      </c>
      <c r="T492" s="231">
        <v>40</v>
      </c>
      <c r="U492" s="231">
        <v>19800</v>
      </c>
      <c r="V492" s="231">
        <v>0</v>
      </c>
      <c r="W492" s="231">
        <v>19200</v>
      </c>
      <c r="X492" s="231">
        <v>2504.3478260869565</v>
      </c>
      <c r="Y492" s="231">
        <v>16695.652173913044</v>
      </c>
      <c r="Z492" s="206" t="s">
        <v>882</v>
      </c>
      <c r="AA492" s="206">
        <v>693</v>
      </c>
      <c r="AB492" s="206" t="s">
        <v>1170</v>
      </c>
      <c r="AC492" s="230">
        <v>45760</v>
      </c>
      <c r="AD492" s="206" t="s">
        <v>50</v>
      </c>
      <c r="AE492" s="206" t="str">
        <f>IFERROR(VLOOKUP(Primary_Order[[#This Row],[AM]],SP!$E$19:$F$23,2,0),Primary_Order[[#This Row],[AM]])</f>
        <v>Eastern</v>
      </c>
      <c r="AF492" s="206" t="str">
        <f>VLOOKUP(Primary_Order[[#This Row],[Product ID]],SKU[],10,0)</f>
        <v>Mineral</v>
      </c>
      <c r="AG492" s="206" t="str">
        <f>VLOOKUP(Primary_Order[[#This Row],[Product ID]],SKU[],9,0)</f>
        <v>MCO</v>
      </c>
      <c r="AH492" s="206" t="str">
        <f>VLOOKUP(Primary_Order[[#This Row],[Product ID]],SKU[],12,0)</f>
        <v>20W50</v>
      </c>
      <c r="AI492" s="206" t="str">
        <f>VLOOKUP(Primary_Order[[#This Row],[Product ID]],SKU[],13,0)</f>
        <v>3000</v>
      </c>
      <c r="AJ492" s="233">
        <f>VLOOKUP(Primary_Order[[#This Row],[Product ID]],SKU[[SKU ID]:[Bottle Size(Ltr)]],6,0)*Primary_Order[[#This Row],[Free Quantity]]</f>
        <v>0</v>
      </c>
      <c r="AK492" s="206" t="str">
        <f>VLOOKUP(Primary_Order[[#This Row],[Product ID]],SKU[[SKU ID]:[Bottle Size(Ltr)]],4,0)</f>
        <v>20x1L</v>
      </c>
      <c r="AL492" s="231">
        <f>VLOOKUP(Primary_Order[[#This Row],[Product ID]],SKU[],14,0)*Primary_Order[[#This Row],[Total Qty]]</f>
        <v>14596.800000000001</v>
      </c>
      <c r="AM492" s="231">
        <f>IF(Primary_Order[[#This Row],[Cost]]=0,0,Primary_Order[[#This Row],[Net Total(-15%)]]-Primary_Order[[#This Row],[Cost]])</f>
        <v>2098.8521739130429</v>
      </c>
      <c r="AN492" s="206" t="str">
        <f>"O-"&amp;Primary_Order[[#This Row],[Date]]&amp;"-"&amp;Primary_Order[[#This Row],[MMD ID]]</f>
        <v>O-45757-D-0003</v>
      </c>
      <c r="AO492" s="206" t="str" cm="1">
        <f t="array" ref="AO49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3" spans="1:41" x14ac:dyDescent="0.5">
      <c r="A493" s="206" t="s">
        <v>1426</v>
      </c>
      <c r="B493" s="230">
        <v>45757</v>
      </c>
      <c r="C493" s="206" t="s">
        <v>102</v>
      </c>
      <c r="D493" s="206" t="s">
        <v>1411</v>
      </c>
      <c r="E493" s="206" t="s">
        <v>1198</v>
      </c>
      <c r="F493" s="206" t="s">
        <v>1412</v>
      </c>
      <c r="G493" s="206" t="s">
        <v>45</v>
      </c>
      <c r="H493" s="206" t="s">
        <v>28</v>
      </c>
      <c r="I493" s="206" t="s">
        <v>46</v>
      </c>
      <c r="J493" s="206" t="s">
        <v>47</v>
      </c>
      <c r="K493" s="206" t="s">
        <v>99</v>
      </c>
      <c r="L493" s="206" t="str">
        <f>VLOOKUP(Primary_Order[[#This Row],[Product ID]],SKU[],3,0)</f>
        <v>3000 4T 20W50</v>
      </c>
      <c r="M493" s="231">
        <v>20</v>
      </c>
      <c r="N493" s="231">
        <v>595</v>
      </c>
      <c r="O493" s="231">
        <v>24</v>
      </c>
      <c r="P493" s="232">
        <v>2.5210084033613467E-2</v>
      </c>
      <c r="Q493" s="231">
        <v>0</v>
      </c>
      <c r="R493" s="231">
        <v>580</v>
      </c>
      <c r="S493" s="231">
        <v>20</v>
      </c>
      <c r="T493" s="231">
        <v>24</v>
      </c>
      <c r="U493" s="231">
        <v>11900</v>
      </c>
      <c r="V493" s="231">
        <v>0</v>
      </c>
      <c r="W493" s="231">
        <v>11600</v>
      </c>
      <c r="X493" s="231">
        <v>1513.0434782608695</v>
      </c>
      <c r="Y493" s="231">
        <v>10086.95652173913</v>
      </c>
      <c r="Z493" s="206" t="s">
        <v>882</v>
      </c>
      <c r="AA493" s="206">
        <v>693</v>
      </c>
      <c r="AB493" s="206" t="s">
        <v>1170</v>
      </c>
      <c r="AC493" s="230">
        <v>45760</v>
      </c>
      <c r="AD493" s="206" t="s">
        <v>50</v>
      </c>
      <c r="AE493" s="206" t="str">
        <f>IFERROR(VLOOKUP(Primary_Order[[#This Row],[AM]],SP!$E$19:$F$23,2,0),Primary_Order[[#This Row],[AM]])</f>
        <v>Eastern</v>
      </c>
      <c r="AF493" s="206" t="str">
        <f>VLOOKUP(Primary_Order[[#This Row],[Product ID]],SKU[],10,0)</f>
        <v>Mineral</v>
      </c>
      <c r="AG493" s="206" t="str">
        <f>VLOOKUP(Primary_Order[[#This Row],[Product ID]],SKU[],9,0)</f>
        <v>MCO</v>
      </c>
      <c r="AH493" s="206" t="str">
        <f>VLOOKUP(Primary_Order[[#This Row],[Product ID]],SKU[],12,0)</f>
        <v>20W50</v>
      </c>
      <c r="AI493" s="206" t="str">
        <f>VLOOKUP(Primary_Order[[#This Row],[Product ID]],SKU[],13,0)</f>
        <v>3000</v>
      </c>
      <c r="AJ493" s="233">
        <f>VLOOKUP(Primary_Order[[#This Row],[Product ID]],SKU[[SKU ID]:[Bottle Size(Ltr)]],6,0)*Primary_Order[[#This Row],[Free Quantity]]</f>
        <v>0</v>
      </c>
      <c r="AK493" s="206" t="str">
        <f>VLOOKUP(Primary_Order[[#This Row],[Product ID]],SKU[[SKU ID]:[Bottle Size(Ltr)]],4,0)</f>
        <v>20x1.2L</v>
      </c>
      <c r="AL493" s="231">
        <f>VLOOKUP(Primary_Order[[#This Row],[Product ID]],SKU[],14,0)*Primary_Order[[#This Row],[Total Qty]]</f>
        <v>8692.2000000000007</v>
      </c>
      <c r="AM493" s="231">
        <f>IF(Primary_Order[[#This Row],[Cost]]=0,0,Primary_Order[[#This Row],[Net Total(-15%)]]-Primary_Order[[#This Row],[Cost]])</f>
        <v>1394.7565217391293</v>
      </c>
      <c r="AN493" s="206" t="str">
        <f>"O-"&amp;Primary_Order[[#This Row],[Date]]&amp;"-"&amp;Primary_Order[[#This Row],[MMD ID]]</f>
        <v>O-45757-D-0003</v>
      </c>
      <c r="AO493" s="206" t="str" cm="1">
        <f t="array" ref="AO49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4" spans="1:41" x14ac:dyDescent="0.5">
      <c r="A494" s="206" t="s">
        <v>1427</v>
      </c>
      <c r="B494" s="230">
        <v>45754</v>
      </c>
      <c r="C494" s="206" t="s">
        <v>108</v>
      </c>
      <c r="D494" s="206" t="s">
        <v>1327</v>
      </c>
      <c r="E494" s="206" t="s">
        <v>1328</v>
      </c>
      <c r="F494" s="206">
        <v>1737144950</v>
      </c>
      <c r="G494" s="206" t="s">
        <v>280</v>
      </c>
      <c r="H494" s="206" t="s">
        <v>84</v>
      </c>
      <c r="I494" s="206" t="s">
        <v>109</v>
      </c>
      <c r="J494" s="206" t="s">
        <v>282</v>
      </c>
      <c r="K494" s="206" t="s">
        <v>31</v>
      </c>
      <c r="L494" s="206" t="str">
        <f>VLOOKUP(Primary_Order[[#This Row],[Product ID]],SKU[],3,0)</f>
        <v>3000 4T PLUS 10W30</v>
      </c>
      <c r="M494" s="231">
        <v>200</v>
      </c>
      <c r="N494" s="231">
        <v>525</v>
      </c>
      <c r="O494" s="231">
        <v>200</v>
      </c>
      <c r="P494" s="232">
        <v>0</v>
      </c>
      <c r="Q494" s="231">
        <v>0</v>
      </c>
      <c r="R494" s="231">
        <v>525</v>
      </c>
      <c r="S494" s="231">
        <v>200</v>
      </c>
      <c r="T494" s="231">
        <v>200</v>
      </c>
      <c r="U494" s="231">
        <v>105000</v>
      </c>
      <c r="V494" s="231">
        <v>0</v>
      </c>
      <c r="W494" s="231">
        <v>105000</v>
      </c>
      <c r="X494" s="231">
        <v>13695.652173913044</v>
      </c>
      <c r="Y494" s="231">
        <v>91304.34782608696</v>
      </c>
      <c r="Z494" s="206" t="s">
        <v>882</v>
      </c>
      <c r="AA494" s="206">
        <v>694</v>
      </c>
      <c r="AB494" s="206" t="s">
        <v>749</v>
      </c>
      <c r="AC494" s="230">
        <v>45760</v>
      </c>
      <c r="AD494" s="206" t="s">
        <v>50</v>
      </c>
      <c r="AE494" s="206" t="str">
        <f>IFERROR(VLOOKUP(Primary_Order[[#This Row],[AM]],SP!$E$19:$F$23,2,0),Primary_Order[[#This Row],[AM]])</f>
        <v>Northern</v>
      </c>
      <c r="AF494" s="206" t="str">
        <f>VLOOKUP(Primary_Order[[#This Row],[Product ID]],SKU[],10,0)</f>
        <v>Mineral</v>
      </c>
      <c r="AG494" s="206" t="str">
        <f>VLOOKUP(Primary_Order[[#This Row],[Product ID]],SKU[],9,0)</f>
        <v>MCO</v>
      </c>
      <c r="AH494" s="206" t="str">
        <f>VLOOKUP(Primary_Order[[#This Row],[Product ID]],SKU[],12,0)</f>
        <v>10W30</v>
      </c>
      <c r="AI494" s="206" t="str">
        <f>VLOOKUP(Primary_Order[[#This Row],[Product ID]],SKU[],13,0)</f>
        <v>3000</v>
      </c>
      <c r="AJ494" s="233">
        <f>VLOOKUP(Primary_Order[[#This Row],[Product ID]],SKU[[SKU ID]:[Bottle Size(Ltr)]],6,0)*Primary_Order[[#This Row],[Free Quantity]]</f>
        <v>0</v>
      </c>
      <c r="AK494" s="206" t="str">
        <f>VLOOKUP(Primary_Order[[#This Row],[Product ID]],SKU[[SKU ID]:[Bottle Size(Ltr)]],4,0)</f>
        <v>20x1L</v>
      </c>
      <c r="AL494" s="231">
        <f>VLOOKUP(Primary_Order[[#This Row],[Product ID]],SKU[],14,0)*Primary_Order[[#This Row],[Total Qty]]</f>
        <v>75866</v>
      </c>
      <c r="AM494" s="231">
        <f>IF(Primary_Order[[#This Row],[Cost]]=0,0,Primary_Order[[#This Row],[Net Total(-15%)]]-Primary_Order[[#This Row],[Cost]])</f>
        <v>15438.34782608696</v>
      </c>
      <c r="AN494" s="206" t="str">
        <f>"O-"&amp;Primary_Order[[#This Row],[Date]]&amp;"-"&amp;Primary_Order[[#This Row],[MMD ID]]</f>
        <v>O-45754-D-0023</v>
      </c>
      <c r="AO494" s="206" t="str" cm="1">
        <f t="array" ref="AO49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5" spans="1:41" x14ac:dyDescent="0.5">
      <c r="A495" s="206" t="s">
        <v>1427</v>
      </c>
      <c r="B495" s="230">
        <v>45754</v>
      </c>
      <c r="C495" s="206" t="s">
        <v>108</v>
      </c>
      <c r="D495" s="206" t="s">
        <v>1327</v>
      </c>
      <c r="E495" s="206" t="s">
        <v>1328</v>
      </c>
      <c r="F495" s="206">
        <v>1737144950</v>
      </c>
      <c r="G495" s="206" t="s">
        <v>280</v>
      </c>
      <c r="H495" s="206" t="s">
        <v>84</v>
      </c>
      <c r="I495" s="206" t="s">
        <v>109</v>
      </c>
      <c r="J495" s="206" t="s">
        <v>282</v>
      </c>
      <c r="K495" s="206" t="s">
        <v>53</v>
      </c>
      <c r="L495" s="206" t="str">
        <f>VLOOKUP(Primary_Order[[#This Row],[Product ID]],SKU[],3,0)</f>
        <v>3000 4T PLUS 20W40</v>
      </c>
      <c r="M495" s="231">
        <v>40</v>
      </c>
      <c r="N495" s="231">
        <v>525</v>
      </c>
      <c r="O495" s="231">
        <v>40</v>
      </c>
      <c r="P495" s="232">
        <v>0</v>
      </c>
      <c r="Q495" s="231">
        <v>0</v>
      </c>
      <c r="R495" s="231">
        <v>525</v>
      </c>
      <c r="S495" s="231">
        <v>40</v>
      </c>
      <c r="T495" s="231">
        <v>40</v>
      </c>
      <c r="U495" s="231">
        <v>21000</v>
      </c>
      <c r="V495" s="231">
        <v>0</v>
      </c>
      <c r="W495" s="231">
        <v>21000</v>
      </c>
      <c r="X495" s="231">
        <v>2739.1304347826085</v>
      </c>
      <c r="Y495" s="231">
        <v>18260.869565217392</v>
      </c>
      <c r="Z495" s="206" t="s">
        <v>882</v>
      </c>
      <c r="AA495" s="206">
        <v>694</v>
      </c>
      <c r="AB495" s="206" t="s">
        <v>749</v>
      </c>
      <c r="AC495" s="230">
        <v>45760</v>
      </c>
      <c r="AD495" s="206" t="s">
        <v>50</v>
      </c>
      <c r="AE495" s="206" t="str">
        <f>IFERROR(VLOOKUP(Primary_Order[[#This Row],[AM]],SP!$E$19:$F$23,2,0),Primary_Order[[#This Row],[AM]])</f>
        <v>Northern</v>
      </c>
      <c r="AF495" s="206" t="str">
        <f>VLOOKUP(Primary_Order[[#This Row],[Product ID]],SKU[],10,0)</f>
        <v>Mineral</v>
      </c>
      <c r="AG495" s="206" t="str">
        <f>VLOOKUP(Primary_Order[[#This Row],[Product ID]],SKU[],9,0)</f>
        <v>MCO</v>
      </c>
      <c r="AH495" s="206" t="str">
        <f>VLOOKUP(Primary_Order[[#This Row],[Product ID]],SKU[],12,0)</f>
        <v>20W40</v>
      </c>
      <c r="AI495" s="206" t="str">
        <f>VLOOKUP(Primary_Order[[#This Row],[Product ID]],SKU[],13,0)</f>
        <v>3000</v>
      </c>
      <c r="AJ495" s="233">
        <f>VLOOKUP(Primary_Order[[#This Row],[Product ID]],SKU[[SKU ID]:[Bottle Size(Ltr)]],6,0)*Primary_Order[[#This Row],[Free Quantity]]</f>
        <v>0</v>
      </c>
      <c r="AK495" s="206" t="str">
        <f>VLOOKUP(Primary_Order[[#This Row],[Product ID]],SKU[[SKU ID]:[Bottle Size(Ltr)]],4,0)</f>
        <v>20x1L</v>
      </c>
      <c r="AL495" s="231">
        <f>VLOOKUP(Primary_Order[[#This Row],[Product ID]],SKU[],14,0)*Primary_Order[[#This Row],[Total Qty]]</f>
        <v>16510.400000000001</v>
      </c>
      <c r="AM495" s="231">
        <f>IF(Primary_Order[[#This Row],[Cost]]=0,0,Primary_Order[[#This Row],[Net Total(-15%)]]-Primary_Order[[#This Row],[Cost]])</f>
        <v>1750.4695652173905</v>
      </c>
      <c r="AN495" s="206" t="str">
        <f>"O-"&amp;Primary_Order[[#This Row],[Date]]&amp;"-"&amp;Primary_Order[[#This Row],[MMD ID]]</f>
        <v>O-45754-D-0023</v>
      </c>
      <c r="AO495" s="206" t="str" cm="1">
        <f t="array" ref="AO49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6" spans="1:41" x14ac:dyDescent="0.5">
      <c r="A496" s="206" t="s">
        <v>1427</v>
      </c>
      <c r="B496" s="230">
        <v>45754</v>
      </c>
      <c r="C496" s="206" t="s">
        <v>108</v>
      </c>
      <c r="D496" s="206" t="s">
        <v>1327</v>
      </c>
      <c r="E496" s="206" t="s">
        <v>1328</v>
      </c>
      <c r="F496" s="206">
        <v>1737144950</v>
      </c>
      <c r="G496" s="206" t="s">
        <v>280</v>
      </c>
      <c r="H496" s="206" t="s">
        <v>84</v>
      </c>
      <c r="I496" s="206" t="s">
        <v>109</v>
      </c>
      <c r="J496" s="206" t="s">
        <v>282</v>
      </c>
      <c r="K496" s="206" t="s">
        <v>54</v>
      </c>
      <c r="L496" s="206" t="str">
        <f>VLOOKUP(Primary_Order[[#This Row],[Product ID]],SKU[],3,0)</f>
        <v>3000 4T PLUS 10W40</v>
      </c>
      <c r="M496" s="231">
        <v>300</v>
      </c>
      <c r="N496" s="231">
        <v>525</v>
      </c>
      <c r="O496" s="231">
        <v>300</v>
      </c>
      <c r="P496" s="232">
        <v>0</v>
      </c>
      <c r="Q496" s="231">
        <v>0</v>
      </c>
      <c r="R496" s="231">
        <v>525</v>
      </c>
      <c r="S496" s="231">
        <v>300</v>
      </c>
      <c r="T496" s="231">
        <v>300</v>
      </c>
      <c r="U496" s="231">
        <v>157500</v>
      </c>
      <c r="V496" s="231">
        <v>0</v>
      </c>
      <c r="W496" s="231">
        <v>157500</v>
      </c>
      <c r="X496" s="231">
        <v>20543.478260869564</v>
      </c>
      <c r="Y496" s="231">
        <v>136956.52173913043</v>
      </c>
      <c r="Z496" s="206" t="s">
        <v>882</v>
      </c>
      <c r="AA496" s="206">
        <v>694</v>
      </c>
      <c r="AB496" s="206" t="s">
        <v>749</v>
      </c>
      <c r="AC496" s="230">
        <v>45760</v>
      </c>
      <c r="AD496" s="206" t="s">
        <v>50</v>
      </c>
      <c r="AE496" s="206" t="str">
        <f>IFERROR(VLOOKUP(Primary_Order[[#This Row],[AM]],SP!$E$19:$F$23,2,0),Primary_Order[[#This Row],[AM]])</f>
        <v>Northern</v>
      </c>
      <c r="AF496" s="206" t="str">
        <f>VLOOKUP(Primary_Order[[#This Row],[Product ID]],SKU[],10,0)</f>
        <v>Mineral</v>
      </c>
      <c r="AG496" s="206" t="str">
        <f>VLOOKUP(Primary_Order[[#This Row],[Product ID]],SKU[],9,0)</f>
        <v>MCO</v>
      </c>
      <c r="AH496" s="206" t="str">
        <f>VLOOKUP(Primary_Order[[#This Row],[Product ID]],SKU[],12,0)</f>
        <v>10W40</v>
      </c>
      <c r="AI496" s="206" t="str">
        <f>VLOOKUP(Primary_Order[[#This Row],[Product ID]],SKU[],13,0)</f>
        <v>3000</v>
      </c>
      <c r="AJ496" s="233">
        <f>VLOOKUP(Primary_Order[[#This Row],[Product ID]],SKU[[SKU ID]:[Bottle Size(Ltr)]],6,0)*Primary_Order[[#This Row],[Free Quantity]]</f>
        <v>0</v>
      </c>
      <c r="AK496" s="206" t="str">
        <f>VLOOKUP(Primary_Order[[#This Row],[Product ID]],SKU[[SKU ID]:[Bottle Size(Ltr)]],4,0)</f>
        <v>20x1L</v>
      </c>
      <c r="AL496" s="231">
        <f>VLOOKUP(Primary_Order[[#This Row],[Product ID]],SKU[],14,0)*Primary_Order[[#This Row],[Total Qty]]</f>
        <v>115455</v>
      </c>
      <c r="AM496" s="231">
        <f>IF(Primary_Order[[#This Row],[Cost]]=0,0,Primary_Order[[#This Row],[Net Total(-15%)]]-Primary_Order[[#This Row],[Cost]])</f>
        <v>21501.521739130432</v>
      </c>
      <c r="AN496" s="206" t="str">
        <f>"O-"&amp;Primary_Order[[#This Row],[Date]]&amp;"-"&amp;Primary_Order[[#This Row],[MMD ID]]</f>
        <v>O-45754-D-0023</v>
      </c>
      <c r="AO496" s="206" t="str" cm="1">
        <f t="array" ref="AO49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7" spans="1:41" x14ac:dyDescent="0.5">
      <c r="A497" s="206" t="s">
        <v>1427</v>
      </c>
      <c r="B497" s="230">
        <v>45754</v>
      </c>
      <c r="C497" s="206" t="s">
        <v>108</v>
      </c>
      <c r="D497" s="206" t="s">
        <v>1327</v>
      </c>
      <c r="E497" s="206" t="s">
        <v>1328</v>
      </c>
      <c r="F497" s="206">
        <v>1737144950</v>
      </c>
      <c r="G497" s="206" t="s">
        <v>280</v>
      </c>
      <c r="H497" s="206" t="s">
        <v>84</v>
      </c>
      <c r="I497" s="206" t="s">
        <v>109</v>
      </c>
      <c r="J497" s="206" t="s">
        <v>282</v>
      </c>
      <c r="K497" s="206" t="s">
        <v>56</v>
      </c>
      <c r="L497" s="206" t="str">
        <f>VLOOKUP(Primary_Order[[#This Row],[Product ID]],SKU[],3,0)</f>
        <v>7100 4T 10W30 ESTER CORE®</v>
      </c>
      <c r="M497" s="231">
        <v>36</v>
      </c>
      <c r="N497" s="231">
        <v>1040</v>
      </c>
      <c r="O497" s="231">
        <v>36</v>
      </c>
      <c r="P497" s="232">
        <v>0</v>
      </c>
      <c r="Q497" s="231">
        <v>0</v>
      </c>
      <c r="R497" s="231">
        <v>1040</v>
      </c>
      <c r="S497" s="231">
        <v>36</v>
      </c>
      <c r="T497" s="231">
        <v>36</v>
      </c>
      <c r="U497" s="231">
        <v>37440</v>
      </c>
      <c r="V497" s="231">
        <v>0</v>
      </c>
      <c r="W497" s="231">
        <v>37440</v>
      </c>
      <c r="X497" s="231">
        <v>4883.478260869565</v>
      </c>
      <c r="Y497" s="231">
        <v>32556.521739130436</v>
      </c>
      <c r="Z497" s="206" t="s">
        <v>882</v>
      </c>
      <c r="AA497" s="206">
        <v>694</v>
      </c>
      <c r="AB497" s="206" t="s">
        <v>749</v>
      </c>
      <c r="AC497" s="230">
        <v>45760</v>
      </c>
      <c r="AD497" s="206" t="s">
        <v>50</v>
      </c>
      <c r="AE497" s="206" t="str">
        <f>IFERROR(VLOOKUP(Primary_Order[[#This Row],[AM]],SP!$E$19:$F$23,2,0),Primary_Order[[#This Row],[AM]])</f>
        <v>Northern</v>
      </c>
      <c r="AF497" s="206" t="str">
        <f>VLOOKUP(Primary_Order[[#This Row],[Product ID]],SKU[],10,0)</f>
        <v>Synthetic</v>
      </c>
      <c r="AG497" s="206" t="str">
        <f>VLOOKUP(Primary_Order[[#This Row],[Product ID]],SKU[],9,0)</f>
        <v>MCO</v>
      </c>
      <c r="AH497" s="206" t="str">
        <f>VLOOKUP(Primary_Order[[#This Row],[Product ID]],SKU[],12,0)</f>
        <v>10W30</v>
      </c>
      <c r="AI497" s="206" t="str">
        <f>VLOOKUP(Primary_Order[[#This Row],[Product ID]],SKU[],13,0)</f>
        <v>7100</v>
      </c>
      <c r="AJ497" s="233">
        <f>VLOOKUP(Primary_Order[[#This Row],[Product ID]],SKU[[SKU ID]:[Bottle Size(Ltr)]],6,0)*Primary_Order[[#This Row],[Free Quantity]]</f>
        <v>0</v>
      </c>
      <c r="AK497" s="206" t="str">
        <f>VLOOKUP(Primary_Order[[#This Row],[Product ID]],SKU[[SKU ID]:[Bottle Size(Ltr)]],4,0)</f>
        <v>12x1L</v>
      </c>
      <c r="AL497" s="231">
        <f>VLOOKUP(Primary_Order[[#This Row],[Product ID]],SKU[],14,0)*Primary_Order[[#This Row],[Total Qty]]</f>
        <v>24834.959999999999</v>
      </c>
      <c r="AM497" s="231">
        <f>IF(Primary_Order[[#This Row],[Cost]]=0,0,Primary_Order[[#This Row],[Net Total(-15%)]]-Primary_Order[[#This Row],[Cost]])</f>
        <v>7721.5617391304368</v>
      </c>
      <c r="AN497" s="206" t="str">
        <f>"O-"&amp;Primary_Order[[#This Row],[Date]]&amp;"-"&amp;Primary_Order[[#This Row],[MMD ID]]</f>
        <v>O-45754-D-0023</v>
      </c>
      <c r="AO497" s="206" t="str" cm="1">
        <f t="array" ref="AO49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8" spans="1:41" x14ac:dyDescent="0.5">
      <c r="A498" s="206" t="s">
        <v>1427</v>
      </c>
      <c r="B498" s="230">
        <v>45754</v>
      </c>
      <c r="C498" s="206" t="s">
        <v>108</v>
      </c>
      <c r="D498" s="206" t="s">
        <v>1327</v>
      </c>
      <c r="E498" s="206" t="s">
        <v>1328</v>
      </c>
      <c r="F498" s="206">
        <v>1737144950</v>
      </c>
      <c r="G498" s="206" t="s">
        <v>280</v>
      </c>
      <c r="H498" s="206" t="s">
        <v>84</v>
      </c>
      <c r="I498" s="206" t="s">
        <v>109</v>
      </c>
      <c r="J498" s="206" t="s">
        <v>282</v>
      </c>
      <c r="K498" s="206" t="s">
        <v>58</v>
      </c>
      <c r="L498" s="206" t="str">
        <f>VLOOKUP(Primary_Order[[#This Row],[Product ID]],SKU[],3,0)</f>
        <v>7100 4T 20W50 ESTER CORE®</v>
      </c>
      <c r="M498" s="231">
        <v>24</v>
      </c>
      <c r="N498" s="231">
        <v>1040</v>
      </c>
      <c r="O498" s="231">
        <v>24</v>
      </c>
      <c r="P498" s="232">
        <v>0</v>
      </c>
      <c r="Q498" s="231">
        <v>0</v>
      </c>
      <c r="R498" s="231">
        <v>1040</v>
      </c>
      <c r="S498" s="231">
        <v>24</v>
      </c>
      <c r="T498" s="231">
        <v>24</v>
      </c>
      <c r="U498" s="231">
        <v>24960</v>
      </c>
      <c r="V498" s="231">
        <v>0</v>
      </c>
      <c r="W498" s="231">
        <v>24960</v>
      </c>
      <c r="X498" s="231">
        <v>3255.6521739130435</v>
      </c>
      <c r="Y498" s="231">
        <v>21704.347826086956</v>
      </c>
      <c r="Z498" s="206" t="s">
        <v>882</v>
      </c>
      <c r="AA498" s="206">
        <v>694</v>
      </c>
      <c r="AB498" s="206" t="s">
        <v>749</v>
      </c>
      <c r="AC498" s="230">
        <v>45760</v>
      </c>
      <c r="AD498" s="206" t="s">
        <v>50</v>
      </c>
      <c r="AE498" s="206" t="str">
        <f>IFERROR(VLOOKUP(Primary_Order[[#This Row],[AM]],SP!$E$19:$F$23,2,0),Primary_Order[[#This Row],[AM]])</f>
        <v>Northern</v>
      </c>
      <c r="AF498" s="206" t="str">
        <f>VLOOKUP(Primary_Order[[#This Row],[Product ID]],SKU[],10,0)</f>
        <v>Synthetic</v>
      </c>
      <c r="AG498" s="206" t="str">
        <f>VLOOKUP(Primary_Order[[#This Row],[Product ID]],SKU[],9,0)</f>
        <v>MCO</v>
      </c>
      <c r="AH498" s="206" t="str">
        <f>VLOOKUP(Primary_Order[[#This Row],[Product ID]],SKU[],12,0)</f>
        <v>20W50</v>
      </c>
      <c r="AI498" s="206" t="str">
        <f>VLOOKUP(Primary_Order[[#This Row],[Product ID]],SKU[],13,0)</f>
        <v>7100</v>
      </c>
      <c r="AJ498" s="233">
        <f>VLOOKUP(Primary_Order[[#This Row],[Product ID]],SKU[[SKU ID]:[Bottle Size(Ltr)]],6,0)*Primary_Order[[#This Row],[Free Quantity]]</f>
        <v>0</v>
      </c>
      <c r="AK498" s="206" t="str">
        <f>VLOOKUP(Primary_Order[[#This Row],[Product ID]],SKU[[SKU ID]:[Bottle Size(Ltr)]],4,0)</f>
        <v>12x1L</v>
      </c>
      <c r="AL498" s="231">
        <f>VLOOKUP(Primary_Order[[#This Row],[Product ID]],SKU[],14,0)*Primary_Order[[#This Row],[Total Qty]]</f>
        <v>18328.761599999998</v>
      </c>
      <c r="AM498" s="231">
        <f>IF(Primary_Order[[#This Row],[Cost]]=0,0,Primary_Order[[#This Row],[Net Total(-15%)]]-Primary_Order[[#This Row],[Cost]])</f>
        <v>3375.586226086958</v>
      </c>
      <c r="AN498" s="206" t="str">
        <f>"O-"&amp;Primary_Order[[#This Row],[Date]]&amp;"-"&amp;Primary_Order[[#This Row],[MMD ID]]</f>
        <v>O-45754-D-0023</v>
      </c>
      <c r="AO498" s="206" t="str" cm="1">
        <f t="array" ref="AO49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499" spans="1:41" x14ac:dyDescent="0.5">
      <c r="A499" s="206" t="s">
        <v>1428</v>
      </c>
      <c r="B499" s="230">
        <v>45760</v>
      </c>
      <c r="C499" s="206" t="s">
        <v>108</v>
      </c>
      <c r="D499" s="206" t="s">
        <v>1213</v>
      </c>
      <c r="E499" s="206" t="s">
        <v>1214</v>
      </c>
      <c r="F499" s="206">
        <v>1533399630</v>
      </c>
      <c r="G499" s="206" t="s">
        <v>280</v>
      </c>
      <c r="H499" s="206" t="s">
        <v>84</v>
      </c>
      <c r="I499" s="206" t="s">
        <v>109</v>
      </c>
      <c r="J499" s="206" t="s">
        <v>282</v>
      </c>
      <c r="K499" s="206" t="s">
        <v>31</v>
      </c>
      <c r="L499" s="206" t="str">
        <f>VLOOKUP(Primary_Order[[#This Row],[Product ID]],SKU[],3,0)</f>
        <v>3000 4T PLUS 10W30</v>
      </c>
      <c r="M499" s="231">
        <v>200</v>
      </c>
      <c r="N499" s="231">
        <v>525</v>
      </c>
      <c r="O499" s="231">
        <v>200</v>
      </c>
      <c r="P499" s="232">
        <v>0</v>
      </c>
      <c r="Q499" s="231">
        <v>0</v>
      </c>
      <c r="R499" s="231">
        <v>525</v>
      </c>
      <c r="S499" s="231">
        <v>200</v>
      </c>
      <c r="T499" s="231">
        <v>200</v>
      </c>
      <c r="U499" s="231">
        <v>105000</v>
      </c>
      <c r="V499" s="231">
        <v>0</v>
      </c>
      <c r="W499" s="231">
        <v>105000</v>
      </c>
      <c r="X499" s="231">
        <v>13695.652173913044</v>
      </c>
      <c r="Y499" s="231">
        <v>91304.34782608696</v>
      </c>
      <c r="Z499" s="206" t="s">
        <v>882</v>
      </c>
      <c r="AA499" s="206">
        <v>695</v>
      </c>
      <c r="AB499" s="206" t="s">
        <v>749</v>
      </c>
      <c r="AC499" s="230">
        <v>45760</v>
      </c>
      <c r="AD499" s="206" t="s">
        <v>50</v>
      </c>
      <c r="AE499" s="206" t="str">
        <f>IFERROR(VLOOKUP(Primary_Order[[#This Row],[AM]],SP!$E$19:$F$23,2,0),Primary_Order[[#This Row],[AM]])</f>
        <v>Northern</v>
      </c>
      <c r="AF499" s="206" t="str">
        <f>VLOOKUP(Primary_Order[[#This Row],[Product ID]],SKU[],10,0)</f>
        <v>Mineral</v>
      </c>
      <c r="AG499" s="206" t="str">
        <f>VLOOKUP(Primary_Order[[#This Row],[Product ID]],SKU[],9,0)</f>
        <v>MCO</v>
      </c>
      <c r="AH499" s="206" t="str">
        <f>VLOOKUP(Primary_Order[[#This Row],[Product ID]],SKU[],12,0)</f>
        <v>10W30</v>
      </c>
      <c r="AI499" s="206" t="str">
        <f>VLOOKUP(Primary_Order[[#This Row],[Product ID]],SKU[],13,0)</f>
        <v>3000</v>
      </c>
      <c r="AJ499" s="233">
        <f>VLOOKUP(Primary_Order[[#This Row],[Product ID]],SKU[[SKU ID]:[Bottle Size(Ltr)]],6,0)*Primary_Order[[#This Row],[Free Quantity]]</f>
        <v>0</v>
      </c>
      <c r="AK499" s="206" t="str">
        <f>VLOOKUP(Primary_Order[[#This Row],[Product ID]],SKU[[SKU ID]:[Bottle Size(Ltr)]],4,0)</f>
        <v>20x1L</v>
      </c>
      <c r="AL499" s="231">
        <f>VLOOKUP(Primary_Order[[#This Row],[Product ID]],SKU[],14,0)*Primary_Order[[#This Row],[Total Qty]]</f>
        <v>75866</v>
      </c>
      <c r="AM499" s="231">
        <f>IF(Primary_Order[[#This Row],[Cost]]=0,0,Primary_Order[[#This Row],[Net Total(-15%)]]-Primary_Order[[#This Row],[Cost]])</f>
        <v>15438.34782608696</v>
      </c>
      <c r="AN499" s="206" t="str">
        <f>"O-"&amp;Primary_Order[[#This Row],[Date]]&amp;"-"&amp;Primary_Order[[#This Row],[MMD ID]]</f>
        <v>O-45760-D-0023</v>
      </c>
      <c r="AO499" s="206" t="str" cm="1">
        <f t="array" ref="AO49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0" spans="1:41" x14ac:dyDescent="0.5">
      <c r="A500" s="206" t="s">
        <v>1428</v>
      </c>
      <c r="B500" s="230">
        <v>45760</v>
      </c>
      <c r="C500" s="206" t="s">
        <v>108</v>
      </c>
      <c r="D500" s="206" t="s">
        <v>1213</v>
      </c>
      <c r="E500" s="206" t="s">
        <v>1214</v>
      </c>
      <c r="F500" s="206">
        <v>1533399630</v>
      </c>
      <c r="G500" s="206" t="s">
        <v>280</v>
      </c>
      <c r="H500" s="206" t="s">
        <v>84</v>
      </c>
      <c r="I500" s="206" t="s">
        <v>109</v>
      </c>
      <c r="J500" s="206" t="s">
        <v>282</v>
      </c>
      <c r="K500" s="206" t="s">
        <v>54</v>
      </c>
      <c r="L500" s="206" t="str">
        <f>VLOOKUP(Primary_Order[[#This Row],[Product ID]],SKU[],3,0)</f>
        <v>3000 4T PLUS 10W40</v>
      </c>
      <c r="M500" s="231">
        <v>100</v>
      </c>
      <c r="N500" s="231">
        <v>525</v>
      </c>
      <c r="O500" s="231">
        <v>100</v>
      </c>
      <c r="P500" s="232">
        <v>0</v>
      </c>
      <c r="Q500" s="231">
        <v>0</v>
      </c>
      <c r="R500" s="231">
        <v>525</v>
      </c>
      <c r="S500" s="231">
        <v>100</v>
      </c>
      <c r="T500" s="231">
        <v>100</v>
      </c>
      <c r="U500" s="231">
        <v>52500</v>
      </c>
      <c r="V500" s="231">
        <v>0</v>
      </c>
      <c r="W500" s="231">
        <v>52500</v>
      </c>
      <c r="X500" s="231">
        <v>6847.826086956522</v>
      </c>
      <c r="Y500" s="231">
        <v>45652.17391304348</v>
      </c>
      <c r="Z500" s="206" t="s">
        <v>882</v>
      </c>
      <c r="AA500" s="206">
        <v>695</v>
      </c>
      <c r="AB500" s="206" t="s">
        <v>749</v>
      </c>
      <c r="AC500" s="230">
        <v>45760</v>
      </c>
      <c r="AD500" s="206" t="s">
        <v>50</v>
      </c>
      <c r="AE500" s="206" t="str">
        <f>IFERROR(VLOOKUP(Primary_Order[[#This Row],[AM]],SP!$E$19:$F$23,2,0),Primary_Order[[#This Row],[AM]])</f>
        <v>Northern</v>
      </c>
      <c r="AF500" s="206" t="str">
        <f>VLOOKUP(Primary_Order[[#This Row],[Product ID]],SKU[],10,0)</f>
        <v>Mineral</v>
      </c>
      <c r="AG500" s="206" t="str">
        <f>VLOOKUP(Primary_Order[[#This Row],[Product ID]],SKU[],9,0)</f>
        <v>MCO</v>
      </c>
      <c r="AH500" s="206" t="str">
        <f>VLOOKUP(Primary_Order[[#This Row],[Product ID]],SKU[],12,0)</f>
        <v>10W40</v>
      </c>
      <c r="AI500" s="206" t="str">
        <f>VLOOKUP(Primary_Order[[#This Row],[Product ID]],SKU[],13,0)</f>
        <v>3000</v>
      </c>
      <c r="AJ500" s="233">
        <f>VLOOKUP(Primary_Order[[#This Row],[Product ID]],SKU[[SKU ID]:[Bottle Size(Ltr)]],6,0)*Primary_Order[[#This Row],[Free Quantity]]</f>
        <v>0</v>
      </c>
      <c r="AK500" s="206" t="str">
        <f>VLOOKUP(Primary_Order[[#This Row],[Product ID]],SKU[[SKU ID]:[Bottle Size(Ltr)]],4,0)</f>
        <v>20x1L</v>
      </c>
      <c r="AL500" s="231">
        <f>VLOOKUP(Primary_Order[[#This Row],[Product ID]],SKU[],14,0)*Primary_Order[[#This Row],[Total Qty]]</f>
        <v>38485</v>
      </c>
      <c r="AM500" s="231">
        <f>IF(Primary_Order[[#This Row],[Cost]]=0,0,Primary_Order[[#This Row],[Net Total(-15%)]]-Primary_Order[[#This Row],[Cost]])</f>
        <v>7167.1739130434798</v>
      </c>
      <c r="AN500" s="206" t="str">
        <f>"O-"&amp;Primary_Order[[#This Row],[Date]]&amp;"-"&amp;Primary_Order[[#This Row],[MMD ID]]</f>
        <v>O-45760-D-0023</v>
      </c>
      <c r="AO500" s="206" t="str" cm="1">
        <f t="array" ref="AO50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1" spans="1:41" x14ac:dyDescent="0.5">
      <c r="A501" s="206" t="s">
        <v>1437</v>
      </c>
      <c r="B501" s="230">
        <v>45762</v>
      </c>
      <c r="C501" s="206" t="s">
        <v>273</v>
      </c>
      <c r="D501" s="206" t="s">
        <v>1419</v>
      </c>
      <c r="E501" s="206" t="s">
        <v>1420</v>
      </c>
      <c r="F501" s="206" t="s">
        <v>1421</v>
      </c>
      <c r="G501" s="206" t="s">
        <v>39</v>
      </c>
      <c r="H501" s="206" t="s">
        <v>40</v>
      </c>
      <c r="I501" s="206" t="s">
        <v>274</v>
      </c>
      <c r="J501" s="206" t="s">
        <v>275</v>
      </c>
      <c r="K501" s="206" t="s">
        <v>156</v>
      </c>
      <c r="L501" s="206" t="str">
        <f>VLOOKUP(Primary_Order[[#This Row],[Product ID]],SKU[],3,0)</f>
        <v>2000 Multi Power 20W50</v>
      </c>
      <c r="M501" s="231">
        <v>400</v>
      </c>
      <c r="N501" s="231">
        <v>2350</v>
      </c>
      <c r="O501" s="231">
        <v>1600</v>
      </c>
      <c r="P501" s="232">
        <v>0.57446808510638303</v>
      </c>
      <c r="Q501" s="231">
        <v>0</v>
      </c>
      <c r="R501" s="231">
        <v>1000</v>
      </c>
      <c r="S501" s="231">
        <v>400</v>
      </c>
      <c r="T501" s="231">
        <v>1600</v>
      </c>
      <c r="U501" s="231">
        <v>940000</v>
      </c>
      <c r="V501" s="231">
        <v>0</v>
      </c>
      <c r="W501" s="231">
        <v>400000</v>
      </c>
      <c r="X501" s="231">
        <v>52173.913043478264</v>
      </c>
      <c r="Y501" s="231">
        <v>347826.08695652173</v>
      </c>
      <c r="Z501" s="206" t="s">
        <v>882</v>
      </c>
      <c r="AA501" s="206">
        <v>696</v>
      </c>
      <c r="AB501" s="206" t="s">
        <v>1170</v>
      </c>
      <c r="AC501" s="230">
        <v>45767</v>
      </c>
      <c r="AD501" s="206" t="s">
        <v>1376</v>
      </c>
      <c r="AE501" s="206" t="str">
        <f>IFERROR(VLOOKUP(Primary_Order[[#This Row],[AM]],SP!$E$19:$F$23,2,0),Primary_Order[[#This Row],[AM]])</f>
        <v>Central</v>
      </c>
      <c r="AF501" s="206" t="str">
        <f>VLOOKUP(Primary_Order[[#This Row],[Product ID]],SKU[],10,0)</f>
        <v>Mineral</v>
      </c>
      <c r="AG501" s="206" t="str">
        <f>VLOOKUP(Primary_Order[[#This Row],[Product ID]],SKU[],9,0)</f>
        <v>PCMO</v>
      </c>
      <c r="AH501" s="206" t="str">
        <f>VLOOKUP(Primary_Order[[#This Row],[Product ID]],SKU[],12,0)</f>
        <v>20W50</v>
      </c>
      <c r="AI501" s="206" t="str">
        <f>VLOOKUP(Primary_Order[[#This Row],[Product ID]],SKU[],13,0)</f>
        <v>2000</v>
      </c>
      <c r="AJ501" s="233">
        <f>VLOOKUP(Primary_Order[[#This Row],[Product ID]],SKU[[SKU ID]:[Bottle Size(Ltr)]],6,0)*Primary_Order[[#This Row],[Free Quantity]]</f>
        <v>0</v>
      </c>
      <c r="AK501" s="206" t="str">
        <f>VLOOKUP(Primary_Order[[#This Row],[Product ID]],SKU[[SKU ID]:[Bottle Size(Ltr)]],4,0)</f>
        <v>4X4L</v>
      </c>
      <c r="AL501" s="231">
        <f>VLOOKUP(Primary_Order[[#This Row],[Product ID]],SKU[],14,0)*Primary_Order[[#This Row],[Total Qty]]</f>
        <v>438180</v>
      </c>
      <c r="AM501" s="231">
        <f>IF(Primary_Order[[#This Row],[Cost]]=0,0,Primary_Order[[#This Row],[Net Total(-15%)]]-Primary_Order[[#This Row],[Cost]])</f>
        <v>-90353.913043478271</v>
      </c>
      <c r="AN501" s="206" t="str">
        <f>"O-"&amp;Primary_Order[[#This Row],[Date]]&amp;"-"&amp;Primary_Order[[#This Row],[MMD ID]]</f>
        <v>O-45762-D-0030</v>
      </c>
      <c r="AO501" s="206" t="str" cm="1">
        <f t="array" ref="AO50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2" spans="1:41" x14ac:dyDescent="0.5">
      <c r="A502" s="206" t="s">
        <v>1437</v>
      </c>
      <c r="B502" s="230">
        <v>45762</v>
      </c>
      <c r="C502" s="206" t="s">
        <v>273</v>
      </c>
      <c r="D502" s="206" t="s">
        <v>1419</v>
      </c>
      <c r="E502" s="206" t="s">
        <v>1420</v>
      </c>
      <c r="F502" s="206" t="s">
        <v>1421</v>
      </c>
      <c r="G502" s="206" t="s">
        <v>39</v>
      </c>
      <c r="H502" s="206" t="s">
        <v>40</v>
      </c>
      <c r="I502" s="206" t="s">
        <v>274</v>
      </c>
      <c r="J502" s="206" t="s">
        <v>275</v>
      </c>
      <c r="K502" s="206" t="s">
        <v>161</v>
      </c>
      <c r="L502" s="206" t="str">
        <f>VLOOKUP(Primary_Order[[#This Row],[Product ID]],SKU[],3,0)</f>
        <v>2000 Multi Power 20W50</v>
      </c>
      <c r="M502" s="231">
        <v>760</v>
      </c>
      <c r="N502" s="231">
        <v>585</v>
      </c>
      <c r="O502" s="231">
        <v>760</v>
      </c>
      <c r="P502" s="232">
        <v>0.57264957264957261</v>
      </c>
      <c r="Q502" s="231">
        <v>0</v>
      </c>
      <c r="R502" s="231">
        <v>250</v>
      </c>
      <c r="S502" s="231">
        <v>760</v>
      </c>
      <c r="T502" s="231">
        <v>760</v>
      </c>
      <c r="U502" s="231">
        <v>444600</v>
      </c>
      <c r="V502" s="231">
        <v>0</v>
      </c>
      <c r="W502" s="231">
        <v>190000</v>
      </c>
      <c r="X502" s="231">
        <v>24782.608695652172</v>
      </c>
      <c r="Y502" s="231">
        <v>165217.39130434784</v>
      </c>
      <c r="Z502" s="206" t="s">
        <v>882</v>
      </c>
      <c r="AA502" s="206">
        <v>696</v>
      </c>
      <c r="AB502" s="206" t="s">
        <v>1170</v>
      </c>
      <c r="AC502" s="230">
        <v>45767</v>
      </c>
      <c r="AD502" s="206" t="s">
        <v>1376</v>
      </c>
      <c r="AE502" s="206" t="str">
        <f>IFERROR(VLOOKUP(Primary_Order[[#This Row],[AM]],SP!$E$19:$F$23,2,0),Primary_Order[[#This Row],[AM]])</f>
        <v>Central</v>
      </c>
      <c r="AF502" s="206" t="str">
        <f>VLOOKUP(Primary_Order[[#This Row],[Product ID]],SKU[],10,0)</f>
        <v>Mineral</v>
      </c>
      <c r="AG502" s="206" t="str">
        <f>VLOOKUP(Primary_Order[[#This Row],[Product ID]],SKU[],9,0)</f>
        <v>PCMO</v>
      </c>
      <c r="AH502" s="206" t="str">
        <f>VLOOKUP(Primary_Order[[#This Row],[Product ID]],SKU[],12,0)</f>
        <v>20W50</v>
      </c>
      <c r="AI502" s="206" t="str">
        <f>VLOOKUP(Primary_Order[[#This Row],[Product ID]],SKU[],13,0)</f>
        <v>2000</v>
      </c>
      <c r="AJ502" s="233">
        <f>VLOOKUP(Primary_Order[[#This Row],[Product ID]],SKU[[SKU ID]:[Bottle Size(Ltr)]],6,0)*Primary_Order[[#This Row],[Free Quantity]]</f>
        <v>0</v>
      </c>
      <c r="AK502" s="206" t="str">
        <f>VLOOKUP(Primary_Order[[#This Row],[Product ID]],SKU[[SKU ID]:[Bottle Size(Ltr)]],4,0)</f>
        <v>20x1L</v>
      </c>
      <c r="AL502" s="231">
        <f>VLOOKUP(Primary_Order[[#This Row],[Product ID]],SKU[],14,0)*Primary_Order[[#This Row],[Total Qty]]</f>
        <v>304076</v>
      </c>
      <c r="AM502" s="231">
        <f>IF(Primary_Order[[#This Row],[Cost]]=0,0,Primary_Order[[#This Row],[Net Total(-15%)]]-Primary_Order[[#This Row],[Cost]])</f>
        <v>-138858.60869565216</v>
      </c>
      <c r="AN502" s="206" t="str">
        <f>"O-"&amp;Primary_Order[[#This Row],[Date]]&amp;"-"&amp;Primary_Order[[#This Row],[MMD ID]]</f>
        <v>O-45762-D-0030</v>
      </c>
      <c r="AO502" s="206" t="str" cm="1">
        <f t="array" ref="AO50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3" spans="1:41" x14ac:dyDescent="0.5">
      <c r="A503" s="206" t="s">
        <v>1438</v>
      </c>
      <c r="B503" s="230">
        <v>45767</v>
      </c>
      <c r="C503" s="206" t="s">
        <v>116</v>
      </c>
      <c r="D503" s="206" t="s">
        <v>1031</v>
      </c>
      <c r="E503" s="206" t="s">
        <v>1032</v>
      </c>
      <c r="F503" s="206" t="s">
        <v>1425</v>
      </c>
      <c r="G503" s="206" t="s">
        <v>79</v>
      </c>
      <c r="H503" s="206" t="s">
        <v>40</v>
      </c>
      <c r="I503" s="206" t="s">
        <v>284</v>
      </c>
      <c r="J503" s="206" t="s">
        <v>285</v>
      </c>
      <c r="K503" s="206" t="s">
        <v>36</v>
      </c>
      <c r="L503" s="206" t="str">
        <f>VLOOKUP(Primary_Order[[#This Row],[Product ID]],SKU[],3,0)</f>
        <v>51004T 10W40 ESTER</v>
      </c>
      <c r="M503" s="231">
        <v>120</v>
      </c>
      <c r="N503" s="231">
        <v>860</v>
      </c>
      <c r="O503" s="231">
        <v>120</v>
      </c>
      <c r="P503" s="232">
        <v>1.1627906976744207E-2</v>
      </c>
      <c r="Q503" s="231">
        <v>0</v>
      </c>
      <c r="R503" s="231">
        <v>850</v>
      </c>
      <c r="S503" s="231">
        <v>120</v>
      </c>
      <c r="T503" s="231">
        <v>120</v>
      </c>
      <c r="U503" s="231">
        <v>103200</v>
      </c>
      <c r="V503" s="231">
        <v>0</v>
      </c>
      <c r="W503" s="231">
        <v>102000</v>
      </c>
      <c r="X503" s="231">
        <v>13304.347826086956</v>
      </c>
      <c r="Y503" s="231">
        <v>88695.65217391304</v>
      </c>
      <c r="Z503" s="206" t="s">
        <v>882</v>
      </c>
      <c r="AA503" s="206">
        <v>697</v>
      </c>
      <c r="AB503" s="206" t="s">
        <v>1170</v>
      </c>
      <c r="AC503" s="230">
        <v>45767</v>
      </c>
      <c r="AD503" s="206" t="s">
        <v>1376</v>
      </c>
      <c r="AE503" s="206" t="str">
        <f>IFERROR(VLOOKUP(Primary_Order[[#This Row],[AM]],SP!$E$19:$F$23,2,0),Primary_Order[[#This Row],[AM]])</f>
        <v>Central</v>
      </c>
      <c r="AF503" s="206" t="str">
        <f>VLOOKUP(Primary_Order[[#This Row],[Product ID]],SKU[],10,0)</f>
        <v>Technosynthese</v>
      </c>
      <c r="AG503" s="206" t="str">
        <f>VLOOKUP(Primary_Order[[#This Row],[Product ID]],SKU[],9,0)</f>
        <v>MCO</v>
      </c>
      <c r="AH503" s="206" t="str">
        <f>VLOOKUP(Primary_Order[[#This Row],[Product ID]],SKU[],12,0)</f>
        <v>10W40</v>
      </c>
      <c r="AI503" s="206" t="str">
        <f>VLOOKUP(Primary_Order[[#This Row],[Product ID]],SKU[],13,0)</f>
        <v>5100</v>
      </c>
      <c r="AJ503" s="233">
        <f>VLOOKUP(Primary_Order[[#This Row],[Product ID]],SKU[[SKU ID]:[Bottle Size(Ltr)]],6,0)*Primary_Order[[#This Row],[Free Quantity]]</f>
        <v>0</v>
      </c>
      <c r="AK503" s="206" t="str">
        <f>VLOOKUP(Primary_Order[[#This Row],[Product ID]],SKU[[SKU ID]:[Bottle Size(Ltr)]],4,0)</f>
        <v>12x1L</v>
      </c>
      <c r="AL503" s="231">
        <f>VLOOKUP(Primary_Order[[#This Row],[Product ID]],SKU[],14,0)*Primary_Order[[#This Row],[Total Qty]]</f>
        <v>72999.600000000006</v>
      </c>
      <c r="AM503" s="231">
        <f>IF(Primary_Order[[#This Row],[Cost]]=0,0,Primary_Order[[#This Row],[Net Total(-15%)]]-Primary_Order[[#This Row],[Cost]])</f>
        <v>15696.052173913034</v>
      </c>
      <c r="AN503" s="206" t="str">
        <f>"O-"&amp;Primary_Order[[#This Row],[Date]]&amp;"-"&amp;Primary_Order[[#This Row],[MMD ID]]</f>
        <v>O-45767-D-0009</v>
      </c>
      <c r="AO503" s="206" t="str" cm="1">
        <f t="array" ref="AO50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4" spans="1:41" x14ac:dyDescent="0.5">
      <c r="A504" s="206" t="s">
        <v>1438</v>
      </c>
      <c r="B504" s="230">
        <v>45767</v>
      </c>
      <c r="C504" s="206" t="s">
        <v>116</v>
      </c>
      <c r="D504" s="206" t="s">
        <v>1031</v>
      </c>
      <c r="E504" s="206" t="s">
        <v>1032</v>
      </c>
      <c r="F504" s="206" t="s">
        <v>1425</v>
      </c>
      <c r="G504" s="206" t="s">
        <v>79</v>
      </c>
      <c r="H504" s="206" t="s">
        <v>40</v>
      </c>
      <c r="I504" s="206" t="s">
        <v>284</v>
      </c>
      <c r="J504" s="206" t="s">
        <v>285</v>
      </c>
      <c r="K504" s="206" t="s">
        <v>56</v>
      </c>
      <c r="L504" s="206" t="str">
        <f>VLOOKUP(Primary_Order[[#This Row],[Product ID]],SKU[],3,0)</f>
        <v>7100 4T 10W30 ESTER CORE®</v>
      </c>
      <c r="M504" s="231">
        <v>120</v>
      </c>
      <c r="N504" s="231">
        <v>1080</v>
      </c>
      <c r="O504" s="231">
        <v>120</v>
      </c>
      <c r="P504" s="232">
        <v>4.629629629629628E-2</v>
      </c>
      <c r="Q504" s="231">
        <v>0</v>
      </c>
      <c r="R504" s="231">
        <v>1030</v>
      </c>
      <c r="S504" s="231">
        <v>120</v>
      </c>
      <c r="T504" s="231">
        <v>120</v>
      </c>
      <c r="U504" s="231">
        <v>129600</v>
      </c>
      <c r="V504" s="231">
        <v>0</v>
      </c>
      <c r="W504" s="231">
        <v>123600</v>
      </c>
      <c r="X504" s="231">
        <v>16121.739130434782</v>
      </c>
      <c r="Y504" s="231">
        <v>107478.26086956522</v>
      </c>
      <c r="Z504" s="206" t="s">
        <v>882</v>
      </c>
      <c r="AA504" s="206">
        <v>697</v>
      </c>
      <c r="AB504" s="206" t="s">
        <v>1170</v>
      </c>
      <c r="AC504" s="230">
        <v>45767</v>
      </c>
      <c r="AD504" s="206" t="s">
        <v>1376</v>
      </c>
      <c r="AE504" s="206" t="str">
        <f>IFERROR(VLOOKUP(Primary_Order[[#This Row],[AM]],SP!$E$19:$F$23,2,0),Primary_Order[[#This Row],[AM]])</f>
        <v>Central</v>
      </c>
      <c r="AF504" s="206" t="str">
        <f>VLOOKUP(Primary_Order[[#This Row],[Product ID]],SKU[],10,0)</f>
        <v>Synthetic</v>
      </c>
      <c r="AG504" s="206" t="str">
        <f>VLOOKUP(Primary_Order[[#This Row],[Product ID]],SKU[],9,0)</f>
        <v>MCO</v>
      </c>
      <c r="AH504" s="206" t="str">
        <f>VLOOKUP(Primary_Order[[#This Row],[Product ID]],SKU[],12,0)</f>
        <v>10W30</v>
      </c>
      <c r="AI504" s="206" t="str">
        <f>VLOOKUP(Primary_Order[[#This Row],[Product ID]],SKU[],13,0)</f>
        <v>7100</v>
      </c>
      <c r="AJ504" s="233">
        <f>VLOOKUP(Primary_Order[[#This Row],[Product ID]],SKU[[SKU ID]:[Bottle Size(Ltr)]],6,0)*Primary_Order[[#This Row],[Free Quantity]]</f>
        <v>0</v>
      </c>
      <c r="AK504" s="206" t="str">
        <f>VLOOKUP(Primary_Order[[#This Row],[Product ID]],SKU[[SKU ID]:[Bottle Size(Ltr)]],4,0)</f>
        <v>12x1L</v>
      </c>
      <c r="AL504" s="231">
        <f>VLOOKUP(Primary_Order[[#This Row],[Product ID]],SKU[],14,0)*Primary_Order[[#This Row],[Total Qty]]</f>
        <v>82783.199999999997</v>
      </c>
      <c r="AM504" s="231">
        <f>IF(Primary_Order[[#This Row],[Cost]]=0,0,Primary_Order[[#This Row],[Net Total(-15%)]]-Primary_Order[[#This Row],[Cost]])</f>
        <v>24695.060869565219</v>
      </c>
      <c r="AN504" s="206" t="str">
        <f>"O-"&amp;Primary_Order[[#This Row],[Date]]&amp;"-"&amp;Primary_Order[[#This Row],[MMD ID]]</f>
        <v>O-45767-D-0009</v>
      </c>
      <c r="AO504" s="206" t="str" cm="1">
        <f t="array" ref="AO50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5" spans="1:41" x14ac:dyDescent="0.5">
      <c r="A505" s="206" t="s">
        <v>1438</v>
      </c>
      <c r="B505" s="230">
        <v>45767</v>
      </c>
      <c r="C505" s="206" t="s">
        <v>116</v>
      </c>
      <c r="D505" s="206" t="s">
        <v>1031</v>
      </c>
      <c r="E505" s="206" t="s">
        <v>1032</v>
      </c>
      <c r="F505" s="206" t="s">
        <v>1425</v>
      </c>
      <c r="G505" s="206" t="s">
        <v>79</v>
      </c>
      <c r="H505" s="206" t="s">
        <v>40</v>
      </c>
      <c r="I505" s="206" t="s">
        <v>284</v>
      </c>
      <c r="J505" s="206" t="s">
        <v>285</v>
      </c>
      <c r="K505" s="206" t="s">
        <v>58</v>
      </c>
      <c r="L505" s="206" t="str">
        <f>VLOOKUP(Primary_Order[[#This Row],[Product ID]],SKU[],3,0)</f>
        <v>7100 4T 20W50 ESTER CORE®</v>
      </c>
      <c r="M505" s="231">
        <v>60</v>
      </c>
      <c r="N505" s="231">
        <v>1080</v>
      </c>
      <c r="O505" s="231">
        <v>60</v>
      </c>
      <c r="P505" s="232">
        <v>4.629629629629628E-2</v>
      </c>
      <c r="Q505" s="231">
        <v>0</v>
      </c>
      <c r="R505" s="231">
        <v>1030</v>
      </c>
      <c r="S505" s="231">
        <v>60</v>
      </c>
      <c r="T505" s="231">
        <v>60</v>
      </c>
      <c r="U505" s="231">
        <v>64800</v>
      </c>
      <c r="V505" s="231">
        <v>0</v>
      </c>
      <c r="W505" s="231">
        <v>61800</v>
      </c>
      <c r="X505" s="231">
        <v>8060.869565217391</v>
      </c>
      <c r="Y505" s="231">
        <v>53739.130434782608</v>
      </c>
      <c r="Z505" s="206" t="s">
        <v>882</v>
      </c>
      <c r="AA505" s="206">
        <v>697</v>
      </c>
      <c r="AB505" s="206" t="s">
        <v>1170</v>
      </c>
      <c r="AC505" s="230">
        <v>45767</v>
      </c>
      <c r="AD505" s="206" t="s">
        <v>1376</v>
      </c>
      <c r="AE505" s="206" t="str">
        <f>IFERROR(VLOOKUP(Primary_Order[[#This Row],[AM]],SP!$E$19:$F$23,2,0),Primary_Order[[#This Row],[AM]])</f>
        <v>Central</v>
      </c>
      <c r="AF505" s="206" t="str">
        <f>VLOOKUP(Primary_Order[[#This Row],[Product ID]],SKU[],10,0)</f>
        <v>Synthetic</v>
      </c>
      <c r="AG505" s="206" t="str">
        <f>VLOOKUP(Primary_Order[[#This Row],[Product ID]],SKU[],9,0)</f>
        <v>MCO</v>
      </c>
      <c r="AH505" s="206" t="str">
        <f>VLOOKUP(Primary_Order[[#This Row],[Product ID]],SKU[],12,0)</f>
        <v>20W50</v>
      </c>
      <c r="AI505" s="206" t="str">
        <f>VLOOKUP(Primary_Order[[#This Row],[Product ID]],SKU[],13,0)</f>
        <v>7100</v>
      </c>
      <c r="AJ505" s="233">
        <f>VLOOKUP(Primary_Order[[#This Row],[Product ID]],SKU[[SKU ID]:[Bottle Size(Ltr)]],6,0)*Primary_Order[[#This Row],[Free Quantity]]</f>
        <v>0</v>
      </c>
      <c r="AK505" s="206" t="str">
        <f>VLOOKUP(Primary_Order[[#This Row],[Product ID]],SKU[[SKU ID]:[Bottle Size(Ltr)]],4,0)</f>
        <v>12x1L</v>
      </c>
      <c r="AL505" s="231">
        <f>VLOOKUP(Primary_Order[[#This Row],[Product ID]],SKU[],14,0)*Primary_Order[[#This Row],[Total Qty]]</f>
        <v>45821.904000000002</v>
      </c>
      <c r="AM505" s="231">
        <f>IF(Primary_Order[[#This Row],[Cost]]=0,0,Primary_Order[[#This Row],[Net Total(-15%)]]-Primary_Order[[#This Row],[Cost]])</f>
        <v>7917.2264347826058</v>
      </c>
      <c r="AN505" s="206" t="str">
        <f>"O-"&amp;Primary_Order[[#This Row],[Date]]&amp;"-"&amp;Primary_Order[[#This Row],[MMD ID]]</f>
        <v>O-45767-D-0009</v>
      </c>
      <c r="AO505" s="206" t="str" cm="1">
        <f t="array" ref="AO50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6" spans="1:41" x14ac:dyDescent="0.5">
      <c r="A506" s="206" t="s">
        <v>1439</v>
      </c>
      <c r="B506" s="230">
        <v>45767</v>
      </c>
      <c r="C506" s="206" t="s">
        <v>69</v>
      </c>
      <c r="D506" s="206" t="s">
        <v>41</v>
      </c>
      <c r="E506" s="206" t="s">
        <v>1424</v>
      </c>
      <c r="F506" s="206" t="s">
        <v>50</v>
      </c>
      <c r="G506" s="206" t="s">
        <v>39</v>
      </c>
      <c r="H506" s="206" t="s">
        <v>40</v>
      </c>
      <c r="I506" s="206" t="s">
        <v>41</v>
      </c>
      <c r="J506" s="206" t="s">
        <v>42</v>
      </c>
      <c r="K506" s="206" t="s">
        <v>53</v>
      </c>
      <c r="L506" s="206" t="str">
        <f>VLOOKUP(Primary_Order[[#This Row],[Product ID]],SKU[],3,0)</f>
        <v>3000 4T PLUS 20W40</v>
      </c>
      <c r="M506" s="231">
        <v>200</v>
      </c>
      <c r="N506" s="231">
        <v>535</v>
      </c>
      <c r="O506" s="231">
        <v>200</v>
      </c>
      <c r="P506" s="232">
        <v>2.8037383177570097E-2</v>
      </c>
      <c r="Q506" s="231">
        <v>0</v>
      </c>
      <c r="R506" s="231">
        <v>520</v>
      </c>
      <c r="S506" s="231">
        <v>200</v>
      </c>
      <c r="T506" s="231">
        <v>200</v>
      </c>
      <c r="U506" s="231">
        <v>107000</v>
      </c>
      <c r="V506" s="231">
        <v>0</v>
      </c>
      <c r="W506" s="231">
        <v>104000</v>
      </c>
      <c r="X506" s="231">
        <v>13565.217391304348</v>
      </c>
      <c r="Y506" s="231">
        <v>90434.782608695648</v>
      </c>
      <c r="Z506" s="206" t="s">
        <v>882</v>
      </c>
      <c r="AA506" s="206">
        <v>698</v>
      </c>
      <c r="AB506" s="206" t="s">
        <v>1170</v>
      </c>
      <c r="AC506" s="230">
        <v>45768</v>
      </c>
      <c r="AD506" s="206" t="s">
        <v>1376</v>
      </c>
      <c r="AE506" s="206" t="str">
        <f>IFERROR(VLOOKUP(Primary_Order[[#This Row],[AM]],SP!$E$19:$F$23,2,0),Primary_Order[[#This Row],[AM]])</f>
        <v>Central</v>
      </c>
      <c r="AF506" s="206" t="str">
        <f>VLOOKUP(Primary_Order[[#This Row],[Product ID]],SKU[],10,0)</f>
        <v>Mineral</v>
      </c>
      <c r="AG506" s="206" t="str">
        <f>VLOOKUP(Primary_Order[[#This Row],[Product ID]],SKU[],9,0)</f>
        <v>MCO</v>
      </c>
      <c r="AH506" s="206" t="str">
        <f>VLOOKUP(Primary_Order[[#This Row],[Product ID]],SKU[],12,0)</f>
        <v>20W40</v>
      </c>
      <c r="AI506" s="206" t="str">
        <f>VLOOKUP(Primary_Order[[#This Row],[Product ID]],SKU[],13,0)</f>
        <v>3000</v>
      </c>
      <c r="AJ506" s="233">
        <f>VLOOKUP(Primary_Order[[#This Row],[Product ID]],SKU[[SKU ID]:[Bottle Size(Ltr)]],6,0)*Primary_Order[[#This Row],[Free Quantity]]</f>
        <v>0</v>
      </c>
      <c r="AK506" s="206" t="str">
        <f>VLOOKUP(Primary_Order[[#This Row],[Product ID]],SKU[[SKU ID]:[Bottle Size(Ltr)]],4,0)</f>
        <v>20x1L</v>
      </c>
      <c r="AL506" s="231">
        <f>VLOOKUP(Primary_Order[[#This Row],[Product ID]],SKU[],14,0)*Primary_Order[[#This Row],[Total Qty]]</f>
        <v>82552</v>
      </c>
      <c r="AM506" s="231">
        <f>IF(Primary_Order[[#This Row],[Cost]]=0,0,Primary_Order[[#This Row],[Net Total(-15%)]]-Primary_Order[[#This Row],[Cost]])</f>
        <v>7882.7826086956484</v>
      </c>
      <c r="AN506" s="206" t="str">
        <f>"O-"&amp;Primary_Order[[#This Row],[Date]]&amp;"-"&amp;Primary_Order[[#This Row],[MMD ID]]</f>
        <v>O-45767-D-0007</v>
      </c>
      <c r="AO506" s="206" t="str" cm="1">
        <f t="array" ref="AO50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7" spans="1:41" x14ac:dyDescent="0.5">
      <c r="A507" s="206" t="s">
        <v>1439</v>
      </c>
      <c r="B507" s="230">
        <v>45767</v>
      </c>
      <c r="C507" s="206" t="s">
        <v>69</v>
      </c>
      <c r="D507" s="206" t="s">
        <v>41</v>
      </c>
      <c r="E507" s="206" t="s">
        <v>1424</v>
      </c>
      <c r="F507" s="206" t="s">
        <v>50</v>
      </c>
      <c r="G507" s="206" t="s">
        <v>39</v>
      </c>
      <c r="H507" s="206" t="s">
        <v>40</v>
      </c>
      <c r="I507" s="206" t="s">
        <v>41</v>
      </c>
      <c r="J507" s="206" t="s">
        <v>42</v>
      </c>
      <c r="K507" s="206" t="s">
        <v>81</v>
      </c>
      <c r="L507" s="206" t="str">
        <f>VLOOKUP(Primary_Order[[#This Row],[Product ID]],SKU[],3,0)</f>
        <v>3000 4T 20W50</v>
      </c>
      <c r="M507" s="231">
        <v>500</v>
      </c>
      <c r="N507" s="231">
        <v>495</v>
      </c>
      <c r="O507" s="231">
        <v>500</v>
      </c>
      <c r="P507" s="232">
        <v>0.11111111111111116</v>
      </c>
      <c r="Q507" s="231">
        <v>0</v>
      </c>
      <c r="R507" s="231">
        <v>440</v>
      </c>
      <c r="S507" s="231">
        <v>500</v>
      </c>
      <c r="T507" s="231">
        <v>500</v>
      </c>
      <c r="U507" s="231">
        <v>247500</v>
      </c>
      <c r="V507" s="231">
        <v>0</v>
      </c>
      <c r="W507" s="231">
        <v>220000</v>
      </c>
      <c r="X507" s="231">
        <v>28695.652173913044</v>
      </c>
      <c r="Y507" s="231">
        <v>191304.34782608695</v>
      </c>
      <c r="Z507" s="206" t="s">
        <v>882</v>
      </c>
      <c r="AA507" s="206">
        <v>698</v>
      </c>
      <c r="AB507" s="206" t="s">
        <v>1170</v>
      </c>
      <c r="AC507" s="230">
        <v>45768</v>
      </c>
      <c r="AD507" s="206" t="s">
        <v>1376</v>
      </c>
      <c r="AE507" s="206" t="str">
        <f>IFERROR(VLOOKUP(Primary_Order[[#This Row],[AM]],SP!$E$19:$F$23,2,0),Primary_Order[[#This Row],[AM]])</f>
        <v>Central</v>
      </c>
      <c r="AF507" s="206" t="str">
        <f>VLOOKUP(Primary_Order[[#This Row],[Product ID]],SKU[],10,0)</f>
        <v>Mineral</v>
      </c>
      <c r="AG507" s="206" t="str">
        <f>VLOOKUP(Primary_Order[[#This Row],[Product ID]],SKU[],9,0)</f>
        <v>MCO</v>
      </c>
      <c r="AH507" s="206" t="str">
        <f>VLOOKUP(Primary_Order[[#This Row],[Product ID]],SKU[],12,0)</f>
        <v>20W50</v>
      </c>
      <c r="AI507" s="206" t="str">
        <f>VLOOKUP(Primary_Order[[#This Row],[Product ID]],SKU[],13,0)</f>
        <v>3000</v>
      </c>
      <c r="AJ507" s="233">
        <f>VLOOKUP(Primary_Order[[#This Row],[Product ID]],SKU[[SKU ID]:[Bottle Size(Ltr)]],6,0)*Primary_Order[[#This Row],[Free Quantity]]</f>
        <v>0</v>
      </c>
      <c r="AK507" s="206" t="str">
        <f>VLOOKUP(Primary_Order[[#This Row],[Product ID]],SKU[[SKU ID]:[Bottle Size(Ltr)]],4,0)</f>
        <v>20x1L</v>
      </c>
      <c r="AL507" s="231">
        <f>VLOOKUP(Primary_Order[[#This Row],[Product ID]],SKU[],14,0)*Primary_Order[[#This Row],[Total Qty]]</f>
        <v>182460</v>
      </c>
      <c r="AM507" s="231">
        <f>IF(Primary_Order[[#This Row],[Cost]]=0,0,Primary_Order[[#This Row],[Net Total(-15%)]]-Primary_Order[[#This Row],[Cost]])</f>
        <v>8844.3478260869451</v>
      </c>
      <c r="AN507" s="206" t="str">
        <f>"O-"&amp;Primary_Order[[#This Row],[Date]]&amp;"-"&amp;Primary_Order[[#This Row],[MMD ID]]</f>
        <v>O-45767-D-0007</v>
      </c>
      <c r="AO507" s="206" t="str" cm="1">
        <f t="array" ref="AO50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8" spans="1:41" x14ac:dyDescent="0.5">
      <c r="A508" s="206" t="s">
        <v>1440</v>
      </c>
      <c r="B508" s="230">
        <v>45768</v>
      </c>
      <c r="C508" s="206" t="s">
        <v>97</v>
      </c>
      <c r="D508" s="206" t="s">
        <v>1298</v>
      </c>
      <c r="E508" s="206" t="s">
        <v>1299</v>
      </c>
      <c r="F508" s="206">
        <v>1711154387</v>
      </c>
      <c r="G508" s="206" t="s">
        <v>709</v>
      </c>
      <c r="H508" s="206" t="s">
        <v>40</v>
      </c>
      <c r="I508" s="206" t="s">
        <v>98</v>
      </c>
      <c r="J508" s="206" t="s">
        <v>452</v>
      </c>
      <c r="K508" s="206" t="s">
        <v>31</v>
      </c>
      <c r="L508" s="206" t="str">
        <f>VLOOKUP(Primary_Order[[#This Row],[Product ID]],SKU[],3,0)</f>
        <v>3000 4T PLUS 10W30</v>
      </c>
      <c r="M508" s="231">
        <v>400</v>
      </c>
      <c r="N508" s="231">
        <v>515</v>
      </c>
      <c r="O508" s="231">
        <v>400</v>
      </c>
      <c r="P508" s="232">
        <v>0</v>
      </c>
      <c r="Q508" s="231">
        <v>0</v>
      </c>
      <c r="R508" s="231">
        <v>515</v>
      </c>
      <c r="S508" s="231">
        <v>400</v>
      </c>
      <c r="T508" s="231">
        <v>400</v>
      </c>
      <c r="U508" s="231">
        <v>206000</v>
      </c>
      <c r="V508" s="231">
        <v>0</v>
      </c>
      <c r="W508" s="231">
        <v>206000</v>
      </c>
      <c r="X508" s="231">
        <v>26869.565217391304</v>
      </c>
      <c r="Y508" s="231">
        <v>179130.4347826087</v>
      </c>
      <c r="Z508" s="206" t="s">
        <v>882</v>
      </c>
      <c r="AA508" s="206">
        <v>699</v>
      </c>
      <c r="AB508" s="206" t="s">
        <v>641</v>
      </c>
      <c r="AC508" s="230">
        <v>45768</v>
      </c>
      <c r="AD508" s="206" t="s">
        <v>50</v>
      </c>
      <c r="AE508" s="206" t="str">
        <f>IFERROR(VLOOKUP(Primary_Order[[#This Row],[AM]],SP!$E$19:$F$23,2,0),Primary_Order[[#This Row],[AM]])</f>
        <v>Central</v>
      </c>
      <c r="AF508" s="206" t="str">
        <f>VLOOKUP(Primary_Order[[#This Row],[Product ID]],SKU[],10,0)</f>
        <v>Mineral</v>
      </c>
      <c r="AG508" s="206" t="str">
        <f>VLOOKUP(Primary_Order[[#This Row],[Product ID]],SKU[],9,0)</f>
        <v>MCO</v>
      </c>
      <c r="AH508" s="206" t="str">
        <f>VLOOKUP(Primary_Order[[#This Row],[Product ID]],SKU[],12,0)</f>
        <v>10W30</v>
      </c>
      <c r="AI508" s="206" t="str">
        <f>VLOOKUP(Primary_Order[[#This Row],[Product ID]],SKU[],13,0)</f>
        <v>3000</v>
      </c>
      <c r="AJ508" s="233">
        <f>VLOOKUP(Primary_Order[[#This Row],[Product ID]],SKU[[SKU ID]:[Bottle Size(Ltr)]],6,0)*Primary_Order[[#This Row],[Free Quantity]]</f>
        <v>0</v>
      </c>
      <c r="AK508" s="206" t="str">
        <f>VLOOKUP(Primary_Order[[#This Row],[Product ID]],SKU[[SKU ID]:[Bottle Size(Ltr)]],4,0)</f>
        <v>20x1L</v>
      </c>
      <c r="AL508" s="231">
        <f>VLOOKUP(Primary_Order[[#This Row],[Product ID]],SKU[],14,0)*Primary_Order[[#This Row],[Total Qty]]</f>
        <v>151732</v>
      </c>
      <c r="AM508" s="231">
        <f>IF(Primary_Order[[#This Row],[Cost]]=0,0,Primary_Order[[#This Row],[Net Total(-15%)]]-Primary_Order[[#This Row],[Cost]])</f>
        <v>27398.434782608703</v>
      </c>
      <c r="AN508" s="206" t="str">
        <f>"O-"&amp;Primary_Order[[#This Row],[Date]]&amp;"-"&amp;Primary_Order[[#This Row],[MMD ID]]</f>
        <v>O-45768-D-0001</v>
      </c>
      <c r="AO508" s="206" t="str" cm="1">
        <f t="array" ref="AO50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09" spans="1:41" x14ac:dyDescent="0.5">
      <c r="A509" s="206" t="s">
        <v>1440</v>
      </c>
      <c r="B509" s="230">
        <v>45768</v>
      </c>
      <c r="C509" s="206" t="s">
        <v>97</v>
      </c>
      <c r="D509" s="206" t="s">
        <v>1298</v>
      </c>
      <c r="E509" s="206" t="s">
        <v>1299</v>
      </c>
      <c r="F509" s="206">
        <v>1711154387</v>
      </c>
      <c r="G509" s="206" t="s">
        <v>709</v>
      </c>
      <c r="H509" s="206" t="s">
        <v>40</v>
      </c>
      <c r="I509" s="206" t="s">
        <v>98</v>
      </c>
      <c r="J509" s="206" t="s">
        <v>452</v>
      </c>
      <c r="K509" s="206" t="s">
        <v>54</v>
      </c>
      <c r="L509" s="206" t="str">
        <f>VLOOKUP(Primary_Order[[#This Row],[Product ID]],SKU[],3,0)</f>
        <v>3000 4T PLUS 10W40</v>
      </c>
      <c r="M509" s="231">
        <v>600</v>
      </c>
      <c r="N509" s="231">
        <v>515</v>
      </c>
      <c r="O509" s="231">
        <v>600</v>
      </c>
      <c r="P509" s="232">
        <v>0</v>
      </c>
      <c r="Q509" s="231">
        <v>0</v>
      </c>
      <c r="R509" s="231">
        <v>515</v>
      </c>
      <c r="S509" s="231">
        <v>600</v>
      </c>
      <c r="T509" s="231">
        <v>600</v>
      </c>
      <c r="U509" s="231">
        <v>309000</v>
      </c>
      <c r="V509" s="231">
        <v>0</v>
      </c>
      <c r="W509" s="231">
        <v>309000</v>
      </c>
      <c r="X509" s="231">
        <v>40304.34782608696</v>
      </c>
      <c r="Y509" s="231">
        <v>268695.65217391303</v>
      </c>
      <c r="Z509" s="206" t="s">
        <v>882</v>
      </c>
      <c r="AA509" s="206">
        <v>699</v>
      </c>
      <c r="AB509" s="206" t="s">
        <v>641</v>
      </c>
      <c r="AC509" s="230">
        <v>45768</v>
      </c>
      <c r="AD509" s="206" t="s">
        <v>50</v>
      </c>
      <c r="AE509" s="206" t="str">
        <f>IFERROR(VLOOKUP(Primary_Order[[#This Row],[AM]],SP!$E$19:$F$23,2,0),Primary_Order[[#This Row],[AM]])</f>
        <v>Central</v>
      </c>
      <c r="AF509" s="206" t="str">
        <f>VLOOKUP(Primary_Order[[#This Row],[Product ID]],SKU[],10,0)</f>
        <v>Mineral</v>
      </c>
      <c r="AG509" s="206" t="str">
        <f>VLOOKUP(Primary_Order[[#This Row],[Product ID]],SKU[],9,0)</f>
        <v>MCO</v>
      </c>
      <c r="AH509" s="206" t="str">
        <f>VLOOKUP(Primary_Order[[#This Row],[Product ID]],SKU[],12,0)</f>
        <v>10W40</v>
      </c>
      <c r="AI509" s="206" t="str">
        <f>VLOOKUP(Primary_Order[[#This Row],[Product ID]],SKU[],13,0)</f>
        <v>3000</v>
      </c>
      <c r="AJ509" s="233">
        <f>VLOOKUP(Primary_Order[[#This Row],[Product ID]],SKU[[SKU ID]:[Bottle Size(Ltr)]],6,0)*Primary_Order[[#This Row],[Free Quantity]]</f>
        <v>0</v>
      </c>
      <c r="AK509" s="206" t="str">
        <f>VLOOKUP(Primary_Order[[#This Row],[Product ID]],SKU[[SKU ID]:[Bottle Size(Ltr)]],4,0)</f>
        <v>20x1L</v>
      </c>
      <c r="AL509" s="231">
        <f>VLOOKUP(Primary_Order[[#This Row],[Product ID]],SKU[],14,0)*Primary_Order[[#This Row],[Total Qty]]</f>
        <v>230910</v>
      </c>
      <c r="AM509" s="231">
        <f>IF(Primary_Order[[#This Row],[Cost]]=0,0,Primary_Order[[#This Row],[Net Total(-15%)]]-Primary_Order[[#This Row],[Cost]])</f>
        <v>37785.652173913026</v>
      </c>
      <c r="AN509" s="206" t="str">
        <f>"O-"&amp;Primary_Order[[#This Row],[Date]]&amp;"-"&amp;Primary_Order[[#This Row],[MMD ID]]</f>
        <v>O-45768-D-0001</v>
      </c>
      <c r="AO509" s="206" t="str" cm="1">
        <f t="array" ref="AO50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0" spans="1:41" x14ac:dyDescent="0.5">
      <c r="A510" s="206" t="s">
        <v>1440</v>
      </c>
      <c r="B510" s="230">
        <v>45768</v>
      </c>
      <c r="C510" s="206" t="s">
        <v>97</v>
      </c>
      <c r="D510" s="206" t="s">
        <v>1298</v>
      </c>
      <c r="E510" s="206" t="s">
        <v>1299</v>
      </c>
      <c r="F510" s="206">
        <v>1711154387</v>
      </c>
      <c r="G510" s="206" t="s">
        <v>709</v>
      </c>
      <c r="H510" s="206" t="s">
        <v>40</v>
      </c>
      <c r="I510" s="206" t="s">
        <v>98</v>
      </c>
      <c r="J510" s="206" t="s">
        <v>452</v>
      </c>
      <c r="K510" s="206" t="s">
        <v>75</v>
      </c>
      <c r="L510" s="206" t="str">
        <f>VLOOKUP(Primary_Order[[#This Row],[Product ID]],SKU[],3,0)</f>
        <v>31004T GOLD 20W50</v>
      </c>
      <c r="M510" s="231">
        <v>200</v>
      </c>
      <c r="N510" s="231">
        <v>570</v>
      </c>
      <c r="O510" s="231">
        <v>200</v>
      </c>
      <c r="P510" s="232">
        <v>0</v>
      </c>
      <c r="Q510" s="231">
        <v>0</v>
      </c>
      <c r="R510" s="231">
        <v>570</v>
      </c>
      <c r="S510" s="231">
        <v>200</v>
      </c>
      <c r="T510" s="231">
        <v>200</v>
      </c>
      <c r="U510" s="231">
        <v>114000</v>
      </c>
      <c r="V510" s="231">
        <v>0</v>
      </c>
      <c r="W510" s="231">
        <v>114000</v>
      </c>
      <c r="X510" s="231">
        <v>14869.565217391304</v>
      </c>
      <c r="Y510" s="231">
        <v>99130.434782608689</v>
      </c>
      <c r="Z510" s="206" t="s">
        <v>882</v>
      </c>
      <c r="AA510" s="206">
        <v>699</v>
      </c>
      <c r="AB510" s="206" t="s">
        <v>641</v>
      </c>
      <c r="AC510" s="230">
        <v>45768</v>
      </c>
      <c r="AD510" s="206" t="s">
        <v>50</v>
      </c>
      <c r="AE510" s="206" t="str">
        <f>IFERROR(VLOOKUP(Primary_Order[[#This Row],[AM]],SP!$E$19:$F$23,2,0),Primary_Order[[#This Row],[AM]])</f>
        <v>Central</v>
      </c>
      <c r="AF510" s="206" t="str">
        <f>VLOOKUP(Primary_Order[[#This Row],[Product ID]],SKU[],10,0)</f>
        <v>Technosynthese</v>
      </c>
      <c r="AG510" s="206" t="str">
        <f>VLOOKUP(Primary_Order[[#This Row],[Product ID]],SKU[],9,0)</f>
        <v>MCO</v>
      </c>
      <c r="AH510" s="206" t="str">
        <f>VLOOKUP(Primary_Order[[#This Row],[Product ID]],SKU[],12,0)</f>
        <v>20W50</v>
      </c>
      <c r="AI510" s="206" t="str">
        <f>VLOOKUP(Primary_Order[[#This Row],[Product ID]],SKU[],13,0)</f>
        <v>3100</v>
      </c>
      <c r="AJ510" s="233">
        <f>VLOOKUP(Primary_Order[[#This Row],[Product ID]],SKU[[SKU ID]:[Bottle Size(Ltr)]],6,0)*Primary_Order[[#This Row],[Free Quantity]]</f>
        <v>0</v>
      </c>
      <c r="AK510" s="206" t="str">
        <f>VLOOKUP(Primary_Order[[#This Row],[Product ID]],SKU[[SKU ID]:[Bottle Size(Ltr)]],4,0)</f>
        <v>20x1L</v>
      </c>
      <c r="AL510" s="231">
        <f>VLOOKUP(Primary_Order[[#This Row],[Product ID]],SKU[],14,0)*Primary_Order[[#This Row],[Total Qty]]</f>
        <v>93878</v>
      </c>
      <c r="AM510" s="231">
        <f>IF(Primary_Order[[#This Row],[Cost]]=0,0,Primary_Order[[#This Row],[Net Total(-15%)]]-Primary_Order[[#This Row],[Cost]])</f>
        <v>5252.4347826086887</v>
      </c>
      <c r="AN510" s="206" t="str">
        <f>"O-"&amp;Primary_Order[[#This Row],[Date]]&amp;"-"&amp;Primary_Order[[#This Row],[MMD ID]]</f>
        <v>O-45768-D-0001</v>
      </c>
      <c r="AO510" s="206" t="str" cm="1">
        <f t="array" ref="AO51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1" spans="1:41" x14ac:dyDescent="0.5">
      <c r="A511" s="206" t="s">
        <v>1440</v>
      </c>
      <c r="B511" s="230">
        <v>45768</v>
      </c>
      <c r="C511" s="206" t="s">
        <v>97</v>
      </c>
      <c r="D511" s="206" t="s">
        <v>1298</v>
      </c>
      <c r="E511" s="206" t="s">
        <v>1299</v>
      </c>
      <c r="F511" s="206">
        <v>1711154387</v>
      </c>
      <c r="G511" s="206" t="s">
        <v>709</v>
      </c>
      <c r="H511" s="206" t="s">
        <v>40</v>
      </c>
      <c r="I511" s="206" t="s">
        <v>98</v>
      </c>
      <c r="J511" s="206" t="s">
        <v>452</v>
      </c>
      <c r="K511" s="206" t="s">
        <v>81</v>
      </c>
      <c r="L511" s="206" t="str">
        <f>VLOOKUP(Primary_Order[[#This Row],[Product ID]],SKU[],3,0)</f>
        <v>3000 4T 20W50</v>
      </c>
      <c r="M511" s="231">
        <v>1000</v>
      </c>
      <c r="N511" s="231">
        <v>400</v>
      </c>
      <c r="O511" s="231">
        <v>1000</v>
      </c>
      <c r="P511" s="232">
        <v>0</v>
      </c>
      <c r="Q511" s="231">
        <v>0</v>
      </c>
      <c r="R511" s="231">
        <v>400</v>
      </c>
      <c r="S511" s="231">
        <v>1000</v>
      </c>
      <c r="T511" s="231">
        <v>1000</v>
      </c>
      <c r="U511" s="231">
        <v>400000</v>
      </c>
      <c r="V511" s="231">
        <v>0</v>
      </c>
      <c r="W511" s="231">
        <v>400000</v>
      </c>
      <c r="X511" s="231">
        <v>52173.913043478264</v>
      </c>
      <c r="Y511" s="231">
        <v>347826.08695652173</v>
      </c>
      <c r="Z511" s="206" t="s">
        <v>882</v>
      </c>
      <c r="AA511" s="206">
        <v>699</v>
      </c>
      <c r="AB511" s="206" t="s">
        <v>641</v>
      </c>
      <c r="AC511" s="230">
        <v>45768</v>
      </c>
      <c r="AD511" s="206" t="s">
        <v>50</v>
      </c>
      <c r="AE511" s="206" t="str">
        <f>IFERROR(VLOOKUP(Primary_Order[[#This Row],[AM]],SP!$E$19:$F$23,2,0),Primary_Order[[#This Row],[AM]])</f>
        <v>Central</v>
      </c>
      <c r="AF511" s="206" t="str">
        <f>VLOOKUP(Primary_Order[[#This Row],[Product ID]],SKU[],10,0)</f>
        <v>Mineral</v>
      </c>
      <c r="AG511" s="206" t="str">
        <f>VLOOKUP(Primary_Order[[#This Row],[Product ID]],SKU[],9,0)</f>
        <v>MCO</v>
      </c>
      <c r="AH511" s="206" t="str">
        <f>VLOOKUP(Primary_Order[[#This Row],[Product ID]],SKU[],12,0)</f>
        <v>20W50</v>
      </c>
      <c r="AI511" s="206" t="str">
        <f>VLOOKUP(Primary_Order[[#This Row],[Product ID]],SKU[],13,0)</f>
        <v>3000</v>
      </c>
      <c r="AJ511" s="233">
        <f>VLOOKUP(Primary_Order[[#This Row],[Product ID]],SKU[[SKU ID]:[Bottle Size(Ltr)]],6,0)*Primary_Order[[#This Row],[Free Quantity]]</f>
        <v>0</v>
      </c>
      <c r="AK511" s="206" t="str">
        <f>VLOOKUP(Primary_Order[[#This Row],[Product ID]],SKU[[SKU ID]:[Bottle Size(Ltr)]],4,0)</f>
        <v>20x1L</v>
      </c>
      <c r="AL511" s="231">
        <f>VLOOKUP(Primary_Order[[#This Row],[Product ID]],SKU[],14,0)*Primary_Order[[#This Row],[Total Qty]]</f>
        <v>364920</v>
      </c>
      <c r="AM511" s="231">
        <f>IF(Primary_Order[[#This Row],[Cost]]=0,0,Primary_Order[[#This Row],[Net Total(-15%)]]-Primary_Order[[#This Row],[Cost]])</f>
        <v>-17093.913043478271</v>
      </c>
      <c r="AN511" s="206" t="str">
        <f>"O-"&amp;Primary_Order[[#This Row],[Date]]&amp;"-"&amp;Primary_Order[[#This Row],[MMD ID]]</f>
        <v>O-45768-D-0001</v>
      </c>
      <c r="AO511" s="206" t="str" cm="1">
        <f t="array" ref="AO51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2" spans="1:41" x14ac:dyDescent="0.5">
      <c r="A512" s="206" t="s">
        <v>1440</v>
      </c>
      <c r="B512" s="230">
        <v>45768</v>
      </c>
      <c r="C512" s="206" t="s">
        <v>97</v>
      </c>
      <c r="D512" s="206" t="s">
        <v>1298</v>
      </c>
      <c r="E512" s="206" t="s">
        <v>1299</v>
      </c>
      <c r="F512" s="206">
        <v>1711154387</v>
      </c>
      <c r="G512" s="206" t="s">
        <v>709</v>
      </c>
      <c r="H512" s="206" t="s">
        <v>40</v>
      </c>
      <c r="I512" s="206" t="s">
        <v>98</v>
      </c>
      <c r="J512" s="206" t="s">
        <v>452</v>
      </c>
      <c r="K512" s="206" t="s">
        <v>99</v>
      </c>
      <c r="L512" s="206" t="str">
        <f>VLOOKUP(Primary_Order[[#This Row],[Product ID]],SKU[],3,0)</f>
        <v>3000 4T 20W50</v>
      </c>
      <c r="M512" s="231">
        <v>180</v>
      </c>
      <c r="N512" s="231">
        <v>500</v>
      </c>
      <c r="O512" s="231">
        <v>216</v>
      </c>
      <c r="P512" s="232">
        <v>0</v>
      </c>
      <c r="Q512" s="231">
        <v>0</v>
      </c>
      <c r="R512" s="231">
        <v>500</v>
      </c>
      <c r="S512" s="231">
        <v>180</v>
      </c>
      <c r="T512" s="231">
        <v>216</v>
      </c>
      <c r="U512" s="231">
        <v>90000</v>
      </c>
      <c r="V512" s="231">
        <v>0</v>
      </c>
      <c r="W512" s="231">
        <v>90000</v>
      </c>
      <c r="X512" s="231">
        <v>11739.130434782608</v>
      </c>
      <c r="Y512" s="231">
        <v>78260.869565217392</v>
      </c>
      <c r="Z512" s="206" t="s">
        <v>882</v>
      </c>
      <c r="AA512" s="206">
        <v>699</v>
      </c>
      <c r="AB512" s="206" t="s">
        <v>641</v>
      </c>
      <c r="AC512" s="230">
        <v>45768</v>
      </c>
      <c r="AD512" s="206" t="s">
        <v>50</v>
      </c>
      <c r="AE512" s="206" t="str">
        <f>IFERROR(VLOOKUP(Primary_Order[[#This Row],[AM]],SP!$E$19:$F$23,2,0),Primary_Order[[#This Row],[AM]])</f>
        <v>Central</v>
      </c>
      <c r="AF512" s="206" t="str">
        <f>VLOOKUP(Primary_Order[[#This Row],[Product ID]],SKU[],10,0)</f>
        <v>Mineral</v>
      </c>
      <c r="AG512" s="206" t="str">
        <f>VLOOKUP(Primary_Order[[#This Row],[Product ID]],SKU[],9,0)</f>
        <v>MCO</v>
      </c>
      <c r="AH512" s="206" t="str">
        <f>VLOOKUP(Primary_Order[[#This Row],[Product ID]],SKU[],12,0)</f>
        <v>20W50</v>
      </c>
      <c r="AI512" s="206" t="str">
        <f>VLOOKUP(Primary_Order[[#This Row],[Product ID]],SKU[],13,0)</f>
        <v>3000</v>
      </c>
      <c r="AJ512" s="233">
        <f>VLOOKUP(Primary_Order[[#This Row],[Product ID]],SKU[[SKU ID]:[Bottle Size(Ltr)]],6,0)*Primary_Order[[#This Row],[Free Quantity]]</f>
        <v>0</v>
      </c>
      <c r="AK512" s="206" t="str">
        <f>VLOOKUP(Primary_Order[[#This Row],[Product ID]],SKU[[SKU ID]:[Bottle Size(Ltr)]],4,0)</f>
        <v>20x1.2L</v>
      </c>
      <c r="AL512" s="231">
        <f>VLOOKUP(Primary_Order[[#This Row],[Product ID]],SKU[],14,0)*Primary_Order[[#This Row],[Total Qty]]</f>
        <v>78229.8</v>
      </c>
      <c r="AM512" s="231">
        <f>IF(Primary_Order[[#This Row],[Cost]]=0,0,Primary_Order[[#This Row],[Net Total(-15%)]]-Primary_Order[[#This Row],[Cost]])</f>
        <v>31.069565217389027</v>
      </c>
      <c r="AN512" s="206" t="str">
        <f>"O-"&amp;Primary_Order[[#This Row],[Date]]&amp;"-"&amp;Primary_Order[[#This Row],[MMD ID]]</f>
        <v>O-45768-D-0001</v>
      </c>
      <c r="AO512" s="206" t="str" cm="1">
        <f t="array" ref="AO51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3" spans="1:41" x14ac:dyDescent="0.5">
      <c r="A513" s="206" t="s">
        <v>1441</v>
      </c>
      <c r="B513" s="230">
        <v>45767</v>
      </c>
      <c r="C513" s="206" t="s">
        <v>102</v>
      </c>
      <c r="D513" s="206" t="s">
        <v>46</v>
      </c>
      <c r="E513" s="206" t="s">
        <v>1047</v>
      </c>
      <c r="F513" s="206" t="s">
        <v>1429</v>
      </c>
      <c r="G513" s="206" t="s">
        <v>45</v>
      </c>
      <c r="H513" s="206" t="s">
        <v>28</v>
      </c>
      <c r="I513" s="206" t="s">
        <v>46</v>
      </c>
      <c r="J513" s="206" t="s">
        <v>47</v>
      </c>
      <c r="K513" s="206" t="s">
        <v>31</v>
      </c>
      <c r="L513" s="206" t="str">
        <f>VLOOKUP(Primary_Order[[#This Row],[Product ID]],SKU[],3,0)</f>
        <v>3000 4T PLUS 10W30</v>
      </c>
      <c r="M513" s="231">
        <v>60</v>
      </c>
      <c r="N513" s="231">
        <v>540</v>
      </c>
      <c r="O513" s="231">
        <v>60</v>
      </c>
      <c r="P513" s="232">
        <v>9.2592592592593004E-3</v>
      </c>
      <c r="Q513" s="231">
        <v>0</v>
      </c>
      <c r="R513" s="231">
        <v>535</v>
      </c>
      <c r="S513" s="231">
        <v>60</v>
      </c>
      <c r="T513" s="231">
        <v>60</v>
      </c>
      <c r="U513" s="231">
        <v>32400</v>
      </c>
      <c r="V513" s="231">
        <v>0</v>
      </c>
      <c r="W513" s="231">
        <v>32100</v>
      </c>
      <c r="X513" s="231">
        <v>4186.95652173913</v>
      </c>
      <c r="Y513" s="231">
        <v>27913.043478260868</v>
      </c>
      <c r="Z513" s="206" t="s">
        <v>882</v>
      </c>
      <c r="AA513" s="206">
        <v>700</v>
      </c>
      <c r="AB513" s="206" t="s">
        <v>1170</v>
      </c>
      <c r="AC513" s="230">
        <v>45768</v>
      </c>
      <c r="AD513" s="206" t="s">
        <v>50</v>
      </c>
      <c r="AE513" s="206" t="str">
        <f>IFERROR(VLOOKUP(Primary_Order[[#This Row],[AM]],SP!$E$19:$F$23,2,0),Primary_Order[[#This Row],[AM]])</f>
        <v>Eastern</v>
      </c>
      <c r="AF513" s="206" t="str">
        <f>VLOOKUP(Primary_Order[[#This Row],[Product ID]],SKU[],10,0)</f>
        <v>Mineral</v>
      </c>
      <c r="AG513" s="206" t="str">
        <f>VLOOKUP(Primary_Order[[#This Row],[Product ID]],SKU[],9,0)</f>
        <v>MCO</v>
      </c>
      <c r="AH513" s="206" t="str">
        <f>VLOOKUP(Primary_Order[[#This Row],[Product ID]],SKU[],12,0)</f>
        <v>10W30</v>
      </c>
      <c r="AI513" s="206" t="str">
        <f>VLOOKUP(Primary_Order[[#This Row],[Product ID]],SKU[],13,0)</f>
        <v>3000</v>
      </c>
      <c r="AJ513" s="233">
        <f>VLOOKUP(Primary_Order[[#This Row],[Product ID]],SKU[[SKU ID]:[Bottle Size(Ltr)]],6,0)*Primary_Order[[#This Row],[Free Quantity]]</f>
        <v>0</v>
      </c>
      <c r="AK513" s="206" t="str">
        <f>VLOOKUP(Primary_Order[[#This Row],[Product ID]],SKU[[SKU ID]:[Bottle Size(Ltr)]],4,0)</f>
        <v>20x1L</v>
      </c>
      <c r="AL513" s="231">
        <f>VLOOKUP(Primary_Order[[#This Row],[Product ID]],SKU[],14,0)*Primary_Order[[#This Row],[Total Qty]]</f>
        <v>22759.8</v>
      </c>
      <c r="AM513" s="231">
        <f>IF(Primary_Order[[#This Row],[Cost]]=0,0,Primary_Order[[#This Row],[Net Total(-15%)]]-Primary_Order[[#This Row],[Cost]])</f>
        <v>5153.2434782608689</v>
      </c>
      <c r="AN513" s="206" t="str">
        <f>"O-"&amp;Primary_Order[[#This Row],[Date]]&amp;"-"&amp;Primary_Order[[#This Row],[MMD ID]]</f>
        <v>O-45767-D-0003</v>
      </c>
      <c r="AO513" s="206" t="str" cm="1">
        <f t="array" ref="AO51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4" spans="1:41" x14ac:dyDescent="0.5">
      <c r="A514" s="206" t="s">
        <v>1441</v>
      </c>
      <c r="B514" s="230">
        <v>45767</v>
      </c>
      <c r="C514" s="206" t="s">
        <v>102</v>
      </c>
      <c r="D514" s="206" t="s">
        <v>46</v>
      </c>
      <c r="E514" s="206" t="s">
        <v>1047</v>
      </c>
      <c r="F514" s="206" t="s">
        <v>1429</v>
      </c>
      <c r="G514" s="206" t="s">
        <v>45</v>
      </c>
      <c r="H514" s="206" t="s">
        <v>28</v>
      </c>
      <c r="I514" s="206" t="s">
        <v>46</v>
      </c>
      <c r="J514" s="206" t="s">
        <v>47</v>
      </c>
      <c r="K514" s="206" t="s">
        <v>54</v>
      </c>
      <c r="L514" s="206" t="str">
        <f>VLOOKUP(Primary_Order[[#This Row],[Product ID]],SKU[],3,0)</f>
        <v>3000 4T PLUS 10W40</v>
      </c>
      <c r="M514" s="231">
        <v>440</v>
      </c>
      <c r="N514" s="231">
        <v>550</v>
      </c>
      <c r="O514" s="231">
        <v>440</v>
      </c>
      <c r="P514" s="232">
        <v>2.7272727272727226E-2</v>
      </c>
      <c r="Q514" s="231">
        <v>0</v>
      </c>
      <c r="R514" s="231">
        <v>535</v>
      </c>
      <c r="S514" s="231">
        <v>440</v>
      </c>
      <c r="T514" s="231">
        <v>440</v>
      </c>
      <c r="U514" s="231">
        <v>242000</v>
      </c>
      <c r="V514" s="231">
        <v>0</v>
      </c>
      <c r="W514" s="231">
        <v>235400</v>
      </c>
      <c r="X514" s="231">
        <v>30704.347826086956</v>
      </c>
      <c r="Y514" s="231">
        <v>204695.65217391305</v>
      </c>
      <c r="Z514" s="206" t="s">
        <v>882</v>
      </c>
      <c r="AA514" s="206">
        <v>700</v>
      </c>
      <c r="AB514" s="206" t="s">
        <v>1170</v>
      </c>
      <c r="AC514" s="230">
        <v>45768</v>
      </c>
      <c r="AD514" s="206" t="s">
        <v>50</v>
      </c>
      <c r="AE514" s="206" t="str">
        <f>IFERROR(VLOOKUP(Primary_Order[[#This Row],[AM]],SP!$E$19:$F$23,2,0),Primary_Order[[#This Row],[AM]])</f>
        <v>Eastern</v>
      </c>
      <c r="AF514" s="206" t="str">
        <f>VLOOKUP(Primary_Order[[#This Row],[Product ID]],SKU[],10,0)</f>
        <v>Mineral</v>
      </c>
      <c r="AG514" s="206" t="str">
        <f>VLOOKUP(Primary_Order[[#This Row],[Product ID]],SKU[],9,0)</f>
        <v>MCO</v>
      </c>
      <c r="AH514" s="206" t="str">
        <f>VLOOKUP(Primary_Order[[#This Row],[Product ID]],SKU[],12,0)</f>
        <v>10W40</v>
      </c>
      <c r="AI514" s="206" t="str">
        <f>VLOOKUP(Primary_Order[[#This Row],[Product ID]],SKU[],13,0)</f>
        <v>3000</v>
      </c>
      <c r="AJ514" s="233">
        <f>VLOOKUP(Primary_Order[[#This Row],[Product ID]],SKU[[SKU ID]:[Bottle Size(Ltr)]],6,0)*Primary_Order[[#This Row],[Free Quantity]]</f>
        <v>0</v>
      </c>
      <c r="AK514" s="206" t="str">
        <f>VLOOKUP(Primary_Order[[#This Row],[Product ID]],SKU[[SKU ID]:[Bottle Size(Ltr)]],4,0)</f>
        <v>20x1L</v>
      </c>
      <c r="AL514" s="231">
        <f>VLOOKUP(Primary_Order[[#This Row],[Product ID]],SKU[],14,0)*Primary_Order[[#This Row],[Total Qty]]</f>
        <v>169334</v>
      </c>
      <c r="AM514" s="231">
        <f>IF(Primary_Order[[#This Row],[Cost]]=0,0,Primary_Order[[#This Row],[Net Total(-15%)]]-Primary_Order[[#This Row],[Cost]])</f>
        <v>35361.652173913055</v>
      </c>
      <c r="AN514" s="206" t="str">
        <f>"O-"&amp;Primary_Order[[#This Row],[Date]]&amp;"-"&amp;Primary_Order[[#This Row],[MMD ID]]</f>
        <v>O-45767-D-0003</v>
      </c>
      <c r="AO514" s="206" t="str" cm="1">
        <f t="array" ref="AO51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5" spans="1:41" x14ac:dyDescent="0.5">
      <c r="A515" s="206" t="s">
        <v>1442</v>
      </c>
      <c r="B515" s="230">
        <v>45762</v>
      </c>
      <c r="C515" s="206" t="s">
        <v>90</v>
      </c>
      <c r="D515" s="206" t="s">
        <v>91</v>
      </c>
      <c r="E515" s="206" t="s">
        <v>93</v>
      </c>
      <c r="F515" s="206" t="s">
        <v>50</v>
      </c>
      <c r="G515" s="206" t="s">
        <v>39</v>
      </c>
      <c r="H515" s="206" t="s">
        <v>40</v>
      </c>
      <c r="I515" s="206" t="s">
        <v>91</v>
      </c>
      <c r="J515" s="206" t="s">
        <v>93</v>
      </c>
      <c r="K515" s="206" t="s">
        <v>31</v>
      </c>
      <c r="L515" s="206" t="str">
        <f>VLOOKUP(Primary_Order[[#This Row],[Product ID]],SKU[],3,0)</f>
        <v>3000 4T PLUS 10W30</v>
      </c>
      <c r="M515" s="231">
        <v>400</v>
      </c>
      <c r="N515" s="231">
        <v>540</v>
      </c>
      <c r="O515" s="231">
        <v>400</v>
      </c>
      <c r="P515" s="232">
        <v>3.703703703703709E-2</v>
      </c>
      <c r="Q515" s="231">
        <v>0</v>
      </c>
      <c r="R515" s="231">
        <v>520</v>
      </c>
      <c r="S515" s="231">
        <v>400</v>
      </c>
      <c r="T515" s="231">
        <v>400</v>
      </c>
      <c r="U515" s="231">
        <v>216000</v>
      </c>
      <c r="V515" s="231">
        <v>0</v>
      </c>
      <c r="W515" s="231">
        <v>208000</v>
      </c>
      <c r="X515" s="231">
        <v>27130.434782608696</v>
      </c>
      <c r="Y515" s="231">
        <v>180869.5652173913</v>
      </c>
      <c r="Z515" s="206" t="s">
        <v>882</v>
      </c>
      <c r="AA515" s="206">
        <v>707</v>
      </c>
      <c r="AB515" s="206" t="s">
        <v>1170</v>
      </c>
      <c r="AC515" s="230">
        <v>45769</v>
      </c>
      <c r="AD515" s="206" t="s">
        <v>1376</v>
      </c>
      <c r="AE515" s="206" t="str">
        <f>IFERROR(VLOOKUP(Primary_Order[[#This Row],[AM]],SP!$E$19:$F$23,2,0),Primary_Order[[#This Row],[AM]])</f>
        <v>Central</v>
      </c>
      <c r="AF515" s="206" t="str">
        <f>VLOOKUP(Primary_Order[[#This Row],[Product ID]],SKU[],10,0)</f>
        <v>Mineral</v>
      </c>
      <c r="AG515" s="206" t="str">
        <f>VLOOKUP(Primary_Order[[#This Row],[Product ID]],SKU[],9,0)</f>
        <v>MCO</v>
      </c>
      <c r="AH515" s="206" t="str">
        <f>VLOOKUP(Primary_Order[[#This Row],[Product ID]],SKU[],12,0)</f>
        <v>10W30</v>
      </c>
      <c r="AI515" s="206" t="str">
        <f>VLOOKUP(Primary_Order[[#This Row],[Product ID]],SKU[],13,0)</f>
        <v>3000</v>
      </c>
      <c r="AJ515" s="233">
        <f>VLOOKUP(Primary_Order[[#This Row],[Product ID]],SKU[[SKU ID]:[Bottle Size(Ltr)]],6,0)*Primary_Order[[#This Row],[Free Quantity]]</f>
        <v>0</v>
      </c>
      <c r="AK515" s="206" t="str">
        <f>VLOOKUP(Primary_Order[[#This Row],[Product ID]],SKU[[SKU ID]:[Bottle Size(Ltr)]],4,0)</f>
        <v>20x1L</v>
      </c>
      <c r="AL515" s="231">
        <f>VLOOKUP(Primary_Order[[#This Row],[Product ID]],SKU[],14,0)*Primary_Order[[#This Row],[Total Qty]]</f>
        <v>151732</v>
      </c>
      <c r="AM515" s="231">
        <f>IF(Primary_Order[[#This Row],[Cost]]=0,0,Primary_Order[[#This Row],[Net Total(-15%)]]-Primary_Order[[#This Row],[Cost]])</f>
        <v>29137.565217391297</v>
      </c>
      <c r="AN515" s="206" t="str">
        <f>"O-"&amp;Primary_Order[[#This Row],[Date]]&amp;"-"&amp;Primary_Order[[#This Row],[MMD ID]]</f>
        <v>O-45762-D-0006</v>
      </c>
      <c r="AO515" s="206" t="str" cm="1">
        <f t="array" ref="AO51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6" spans="1:41" x14ac:dyDescent="0.5">
      <c r="A516" s="206" t="s">
        <v>1442</v>
      </c>
      <c r="B516" s="230">
        <v>45762</v>
      </c>
      <c r="C516" s="206" t="s">
        <v>90</v>
      </c>
      <c r="D516" s="206" t="s">
        <v>91</v>
      </c>
      <c r="E516" s="206" t="s">
        <v>93</v>
      </c>
      <c r="F516" s="206" t="s">
        <v>50</v>
      </c>
      <c r="G516" s="206" t="s">
        <v>39</v>
      </c>
      <c r="H516" s="206" t="s">
        <v>40</v>
      </c>
      <c r="I516" s="206" t="s">
        <v>91</v>
      </c>
      <c r="J516" s="206" t="s">
        <v>93</v>
      </c>
      <c r="K516" s="206" t="s">
        <v>53</v>
      </c>
      <c r="L516" s="206" t="str">
        <f>VLOOKUP(Primary_Order[[#This Row],[Product ID]],SKU[],3,0)</f>
        <v>3000 4T PLUS 20W40</v>
      </c>
      <c r="M516" s="231">
        <v>200</v>
      </c>
      <c r="N516" s="231">
        <v>535</v>
      </c>
      <c r="O516" s="231">
        <v>200</v>
      </c>
      <c r="P516" s="232">
        <v>2.8037383177570097E-2</v>
      </c>
      <c r="Q516" s="231">
        <v>0</v>
      </c>
      <c r="R516" s="231">
        <v>520</v>
      </c>
      <c r="S516" s="231">
        <v>200</v>
      </c>
      <c r="T516" s="231">
        <v>200</v>
      </c>
      <c r="U516" s="231">
        <v>107000</v>
      </c>
      <c r="V516" s="231">
        <v>0</v>
      </c>
      <c r="W516" s="231">
        <v>104000</v>
      </c>
      <c r="X516" s="231">
        <v>13565.217391304348</v>
      </c>
      <c r="Y516" s="231">
        <v>90434.782608695648</v>
      </c>
      <c r="Z516" s="206" t="s">
        <v>882</v>
      </c>
      <c r="AA516" s="206">
        <v>707</v>
      </c>
      <c r="AB516" s="206" t="s">
        <v>1170</v>
      </c>
      <c r="AC516" s="230">
        <v>45769</v>
      </c>
      <c r="AD516" s="206" t="s">
        <v>1376</v>
      </c>
      <c r="AE516" s="206" t="str">
        <f>IFERROR(VLOOKUP(Primary_Order[[#This Row],[AM]],SP!$E$19:$F$23,2,0),Primary_Order[[#This Row],[AM]])</f>
        <v>Central</v>
      </c>
      <c r="AF516" s="206" t="str">
        <f>VLOOKUP(Primary_Order[[#This Row],[Product ID]],SKU[],10,0)</f>
        <v>Mineral</v>
      </c>
      <c r="AG516" s="206" t="str">
        <f>VLOOKUP(Primary_Order[[#This Row],[Product ID]],SKU[],9,0)</f>
        <v>MCO</v>
      </c>
      <c r="AH516" s="206" t="str">
        <f>VLOOKUP(Primary_Order[[#This Row],[Product ID]],SKU[],12,0)</f>
        <v>20W40</v>
      </c>
      <c r="AI516" s="206" t="str">
        <f>VLOOKUP(Primary_Order[[#This Row],[Product ID]],SKU[],13,0)</f>
        <v>3000</v>
      </c>
      <c r="AJ516" s="233">
        <f>VLOOKUP(Primary_Order[[#This Row],[Product ID]],SKU[[SKU ID]:[Bottle Size(Ltr)]],6,0)*Primary_Order[[#This Row],[Free Quantity]]</f>
        <v>0</v>
      </c>
      <c r="AK516" s="206" t="str">
        <f>VLOOKUP(Primary_Order[[#This Row],[Product ID]],SKU[[SKU ID]:[Bottle Size(Ltr)]],4,0)</f>
        <v>20x1L</v>
      </c>
      <c r="AL516" s="231">
        <f>VLOOKUP(Primary_Order[[#This Row],[Product ID]],SKU[],14,0)*Primary_Order[[#This Row],[Total Qty]]</f>
        <v>82552</v>
      </c>
      <c r="AM516" s="231">
        <f>IF(Primary_Order[[#This Row],[Cost]]=0,0,Primary_Order[[#This Row],[Net Total(-15%)]]-Primary_Order[[#This Row],[Cost]])</f>
        <v>7882.7826086956484</v>
      </c>
      <c r="AN516" s="206" t="str">
        <f>"O-"&amp;Primary_Order[[#This Row],[Date]]&amp;"-"&amp;Primary_Order[[#This Row],[MMD ID]]</f>
        <v>O-45762-D-0006</v>
      </c>
      <c r="AO516" s="206" t="str" cm="1">
        <f t="array" ref="AO51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7" spans="1:41" x14ac:dyDescent="0.5">
      <c r="A517" s="206" t="s">
        <v>1442</v>
      </c>
      <c r="B517" s="230">
        <v>45762</v>
      </c>
      <c r="C517" s="206" t="s">
        <v>90</v>
      </c>
      <c r="D517" s="206" t="s">
        <v>91</v>
      </c>
      <c r="E517" s="206" t="s">
        <v>93</v>
      </c>
      <c r="F517" s="206" t="s">
        <v>50</v>
      </c>
      <c r="G517" s="206" t="s">
        <v>39</v>
      </c>
      <c r="H517" s="206" t="s">
        <v>40</v>
      </c>
      <c r="I517" s="206" t="s">
        <v>91</v>
      </c>
      <c r="J517" s="206" t="s">
        <v>93</v>
      </c>
      <c r="K517" s="206" t="s">
        <v>54</v>
      </c>
      <c r="L517" s="206" t="str">
        <f>VLOOKUP(Primary_Order[[#This Row],[Product ID]],SKU[],3,0)</f>
        <v>3000 4T PLUS 10W40</v>
      </c>
      <c r="M517" s="231">
        <v>400</v>
      </c>
      <c r="N517" s="231">
        <v>550</v>
      </c>
      <c r="O517" s="231">
        <v>400</v>
      </c>
      <c r="P517" s="232">
        <v>5.4545454545454564E-2</v>
      </c>
      <c r="Q517" s="231">
        <v>0</v>
      </c>
      <c r="R517" s="231">
        <v>520</v>
      </c>
      <c r="S517" s="231">
        <v>400</v>
      </c>
      <c r="T517" s="231">
        <v>400</v>
      </c>
      <c r="U517" s="231">
        <v>220000</v>
      </c>
      <c r="V517" s="231">
        <v>0</v>
      </c>
      <c r="W517" s="231">
        <v>208000</v>
      </c>
      <c r="X517" s="231">
        <v>27130.434782608696</v>
      </c>
      <c r="Y517" s="231">
        <v>180869.5652173913</v>
      </c>
      <c r="Z517" s="206" t="s">
        <v>882</v>
      </c>
      <c r="AA517" s="206">
        <v>707</v>
      </c>
      <c r="AB517" s="206" t="s">
        <v>1170</v>
      </c>
      <c r="AC517" s="230">
        <v>45769</v>
      </c>
      <c r="AD517" s="206" t="s">
        <v>1376</v>
      </c>
      <c r="AE517" s="206" t="str">
        <f>IFERROR(VLOOKUP(Primary_Order[[#This Row],[AM]],SP!$E$19:$F$23,2,0),Primary_Order[[#This Row],[AM]])</f>
        <v>Central</v>
      </c>
      <c r="AF517" s="206" t="str">
        <f>VLOOKUP(Primary_Order[[#This Row],[Product ID]],SKU[],10,0)</f>
        <v>Mineral</v>
      </c>
      <c r="AG517" s="206" t="str">
        <f>VLOOKUP(Primary_Order[[#This Row],[Product ID]],SKU[],9,0)</f>
        <v>MCO</v>
      </c>
      <c r="AH517" s="206" t="str">
        <f>VLOOKUP(Primary_Order[[#This Row],[Product ID]],SKU[],12,0)</f>
        <v>10W40</v>
      </c>
      <c r="AI517" s="206" t="str">
        <f>VLOOKUP(Primary_Order[[#This Row],[Product ID]],SKU[],13,0)</f>
        <v>3000</v>
      </c>
      <c r="AJ517" s="233">
        <f>VLOOKUP(Primary_Order[[#This Row],[Product ID]],SKU[[SKU ID]:[Bottle Size(Ltr)]],6,0)*Primary_Order[[#This Row],[Free Quantity]]</f>
        <v>0</v>
      </c>
      <c r="AK517" s="206" t="str">
        <f>VLOOKUP(Primary_Order[[#This Row],[Product ID]],SKU[[SKU ID]:[Bottle Size(Ltr)]],4,0)</f>
        <v>20x1L</v>
      </c>
      <c r="AL517" s="231">
        <f>VLOOKUP(Primary_Order[[#This Row],[Product ID]],SKU[],14,0)*Primary_Order[[#This Row],[Total Qty]]</f>
        <v>153940</v>
      </c>
      <c r="AM517" s="231">
        <f>IF(Primary_Order[[#This Row],[Cost]]=0,0,Primary_Order[[#This Row],[Net Total(-15%)]]-Primary_Order[[#This Row],[Cost]])</f>
        <v>26929.565217391297</v>
      </c>
      <c r="AN517" s="206" t="str">
        <f>"O-"&amp;Primary_Order[[#This Row],[Date]]&amp;"-"&amp;Primary_Order[[#This Row],[MMD ID]]</f>
        <v>O-45762-D-0006</v>
      </c>
      <c r="AO517" s="206" t="str" cm="1">
        <f t="array" ref="AO51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8" spans="1:41" x14ac:dyDescent="0.5">
      <c r="A518" s="206" t="s">
        <v>1443</v>
      </c>
      <c r="B518" s="230">
        <v>45768</v>
      </c>
      <c r="C518" s="206" t="s">
        <v>26</v>
      </c>
      <c r="D518" s="206" t="s">
        <v>1431</v>
      </c>
      <c r="E518" s="206" t="s">
        <v>1432</v>
      </c>
      <c r="F518" s="206" t="s">
        <v>1433</v>
      </c>
      <c r="G518" s="206" t="s">
        <v>27</v>
      </c>
      <c r="H518" s="206" t="s">
        <v>28</v>
      </c>
      <c r="I518" s="206" t="s">
        <v>29</v>
      </c>
      <c r="J518" s="206" t="s">
        <v>30</v>
      </c>
      <c r="K518" s="206" t="s">
        <v>56</v>
      </c>
      <c r="L518" s="206" t="str">
        <f>VLOOKUP(Primary_Order[[#This Row],[Product ID]],SKU[],3,0)</f>
        <v>7100 4T 10W30 ESTER CORE®</v>
      </c>
      <c r="M518" s="231">
        <v>24</v>
      </c>
      <c r="N518" s="231">
        <v>1020</v>
      </c>
      <c r="O518" s="231">
        <v>24</v>
      </c>
      <c r="P518" s="232">
        <v>0</v>
      </c>
      <c r="Q518" s="231">
        <v>0</v>
      </c>
      <c r="R518" s="231">
        <v>1020</v>
      </c>
      <c r="S518" s="231">
        <v>24</v>
      </c>
      <c r="T518" s="231">
        <v>24</v>
      </c>
      <c r="U518" s="231">
        <v>24480</v>
      </c>
      <c r="V518" s="231">
        <v>0</v>
      </c>
      <c r="W518" s="231">
        <v>24480</v>
      </c>
      <c r="X518" s="231">
        <v>3193.0434782608695</v>
      </c>
      <c r="Y518" s="231">
        <v>21286.956521739132</v>
      </c>
      <c r="Z518" s="206" t="s">
        <v>882</v>
      </c>
      <c r="AA518" s="206">
        <v>704</v>
      </c>
      <c r="AB518" s="206" t="s">
        <v>641</v>
      </c>
      <c r="AC518" s="230">
        <v>45769</v>
      </c>
      <c r="AD518" s="206" t="s">
        <v>50</v>
      </c>
      <c r="AE518" s="206" t="str">
        <f>IFERROR(VLOOKUP(Primary_Order[[#This Row],[AM]],SP!$E$19:$F$23,2,0),Primary_Order[[#This Row],[AM]])</f>
        <v>Eastern</v>
      </c>
      <c r="AF518" s="206" t="str">
        <f>VLOOKUP(Primary_Order[[#This Row],[Product ID]],SKU[],10,0)</f>
        <v>Synthetic</v>
      </c>
      <c r="AG518" s="206" t="str">
        <f>VLOOKUP(Primary_Order[[#This Row],[Product ID]],SKU[],9,0)</f>
        <v>MCO</v>
      </c>
      <c r="AH518" s="206" t="str">
        <f>VLOOKUP(Primary_Order[[#This Row],[Product ID]],SKU[],12,0)</f>
        <v>10W30</v>
      </c>
      <c r="AI518" s="206" t="str">
        <f>VLOOKUP(Primary_Order[[#This Row],[Product ID]],SKU[],13,0)</f>
        <v>7100</v>
      </c>
      <c r="AJ518" s="233">
        <f>VLOOKUP(Primary_Order[[#This Row],[Product ID]],SKU[[SKU ID]:[Bottle Size(Ltr)]],6,0)*Primary_Order[[#This Row],[Free Quantity]]</f>
        <v>0</v>
      </c>
      <c r="AK518" s="206" t="str">
        <f>VLOOKUP(Primary_Order[[#This Row],[Product ID]],SKU[[SKU ID]:[Bottle Size(Ltr)]],4,0)</f>
        <v>12x1L</v>
      </c>
      <c r="AL518" s="231">
        <f>VLOOKUP(Primary_Order[[#This Row],[Product ID]],SKU[],14,0)*Primary_Order[[#This Row],[Total Qty]]</f>
        <v>16556.64</v>
      </c>
      <c r="AM518" s="231">
        <f>IF(Primary_Order[[#This Row],[Cost]]=0,0,Primary_Order[[#This Row],[Net Total(-15%)]]-Primary_Order[[#This Row],[Cost]])</f>
        <v>4730.3165217391324</v>
      </c>
      <c r="AN518" s="206" t="str">
        <f>"O-"&amp;Primary_Order[[#This Row],[Date]]&amp;"-"&amp;Primary_Order[[#This Row],[MMD ID]]</f>
        <v>O-45768-D-0018</v>
      </c>
      <c r="AO518" s="206" t="str" cm="1">
        <f t="array" ref="AO51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19" spans="1:41" x14ac:dyDescent="0.5">
      <c r="A519" s="206" t="s">
        <v>1443</v>
      </c>
      <c r="B519" s="230">
        <v>45768</v>
      </c>
      <c r="C519" s="206" t="s">
        <v>26</v>
      </c>
      <c r="D519" s="206" t="s">
        <v>1431</v>
      </c>
      <c r="E519" s="206" t="s">
        <v>1432</v>
      </c>
      <c r="F519" s="206" t="s">
        <v>1433</v>
      </c>
      <c r="G519" s="206" t="s">
        <v>27</v>
      </c>
      <c r="H519" s="206" t="s">
        <v>28</v>
      </c>
      <c r="I519" s="206" t="s">
        <v>29</v>
      </c>
      <c r="J519" s="206" t="s">
        <v>30</v>
      </c>
      <c r="K519" s="206" t="s">
        <v>58</v>
      </c>
      <c r="L519" s="206" t="str">
        <f>VLOOKUP(Primary_Order[[#This Row],[Product ID]],SKU[],3,0)</f>
        <v>7100 4T 20W50 ESTER CORE®</v>
      </c>
      <c r="M519" s="231">
        <v>36</v>
      </c>
      <c r="N519" s="231">
        <v>1020</v>
      </c>
      <c r="O519" s="231">
        <v>36</v>
      </c>
      <c r="P519" s="232">
        <v>0</v>
      </c>
      <c r="Q519" s="231">
        <v>0</v>
      </c>
      <c r="R519" s="231">
        <v>1020</v>
      </c>
      <c r="S519" s="231">
        <v>36</v>
      </c>
      <c r="T519" s="231">
        <v>36</v>
      </c>
      <c r="U519" s="231">
        <v>36720</v>
      </c>
      <c r="V519" s="231">
        <v>0</v>
      </c>
      <c r="W519" s="231">
        <v>36720</v>
      </c>
      <c r="X519" s="231">
        <v>4789.565217391304</v>
      </c>
      <c r="Y519" s="231">
        <v>31930.434782608696</v>
      </c>
      <c r="Z519" s="206" t="s">
        <v>882</v>
      </c>
      <c r="AA519" s="206">
        <v>704</v>
      </c>
      <c r="AB519" s="206" t="s">
        <v>641</v>
      </c>
      <c r="AC519" s="230">
        <v>45769</v>
      </c>
      <c r="AD519" s="206" t="s">
        <v>50</v>
      </c>
      <c r="AE519" s="206" t="str">
        <f>IFERROR(VLOOKUP(Primary_Order[[#This Row],[AM]],SP!$E$19:$F$23,2,0),Primary_Order[[#This Row],[AM]])</f>
        <v>Eastern</v>
      </c>
      <c r="AF519" s="206" t="str">
        <f>VLOOKUP(Primary_Order[[#This Row],[Product ID]],SKU[],10,0)</f>
        <v>Synthetic</v>
      </c>
      <c r="AG519" s="206" t="str">
        <f>VLOOKUP(Primary_Order[[#This Row],[Product ID]],SKU[],9,0)</f>
        <v>MCO</v>
      </c>
      <c r="AH519" s="206" t="str">
        <f>VLOOKUP(Primary_Order[[#This Row],[Product ID]],SKU[],12,0)</f>
        <v>20W50</v>
      </c>
      <c r="AI519" s="206" t="str">
        <f>VLOOKUP(Primary_Order[[#This Row],[Product ID]],SKU[],13,0)</f>
        <v>7100</v>
      </c>
      <c r="AJ519" s="233">
        <f>VLOOKUP(Primary_Order[[#This Row],[Product ID]],SKU[[SKU ID]:[Bottle Size(Ltr)]],6,0)*Primary_Order[[#This Row],[Free Quantity]]</f>
        <v>0</v>
      </c>
      <c r="AK519" s="206" t="str">
        <f>VLOOKUP(Primary_Order[[#This Row],[Product ID]],SKU[[SKU ID]:[Bottle Size(Ltr)]],4,0)</f>
        <v>12x1L</v>
      </c>
      <c r="AL519" s="231">
        <f>VLOOKUP(Primary_Order[[#This Row],[Product ID]],SKU[],14,0)*Primary_Order[[#This Row],[Total Qty]]</f>
        <v>27493.142400000001</v>
      </c>
      <c r="AM519" s="231">
        <f>IF(Primary_Order[[#This Row],[Cost]]=0,0,Primary_Order[[#This Row],[Net Total(-15%)]]-Primary_Order[[#This Row],[Cost]])</f>
        <v>4437.2923826086953</v>
      </c>
      <c r="AN519" s="206" t="str">
        <f>"O-"&amp;Primary_Order[[#This Row],[Date]]&amp;"-"&amp;Primary_Order[[#This Row],[MMD ID]]</f>
        <v>O-45768-D-0018</v>
      </c>
      <c r="AO519" s="206" t="str" cm="1">
        <f t="array" ref="AO51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0" spans="1:41" x14ac:dyDescent="0.5">
      <c r="A520" s="206" t="s">
        <v>1444</v>
      </c>
      <c r="B520" s="230">
        <v>45768</v>
      </c>
      <c r="C520" s="206" t="s">
        <v>108</v>
      </c>
      <c r="D520" s="206" t="s">
        <v>1434</v>
      </c>
      <c r="E520" s="206" t="s">
        <v>1435</v>
      </c>
      <c r="F520" s="206">
        <v>1780903329</v>
      </c>
      <c r="G520" s="206" t="s">
        <v>280</v>
      </c>
      <c r="H520" s="206" t="s">
        <v>84</v>
      </c>
      <c r="I520" s="206" t="s">
        <v>109</v>
      </c>
      <c r="J520" s="206" t="s">
        <v>282</v>
      </c>
      <c r="K520" s="206" t="s">
        <v>31</v>
      </c>
      <c r="L520" s="206" t="str">
        <f>VLOOKUP(Primary_Order[[#This Row],[Product ID]],SKU[],3,0)</f>
        <v>3000 4T PLUS 10W30</v>
      </c>
      <c r="M520" s="231">
        <v>260</v>
      </c>
      <c r="N520" s="231">
        <v>530</v>
      </c>
      <c r="O520" s="231">
        <v>260</v>
      </c>
      <c r="P520" s="232">
        <v>9.4339622641509413E-3</v>
      </c>
      <c r="Q520" s="231">
        <v>0</v>
      </c>
      <c r="R520" s="231">
        <v>525</v>
      </c>
      <c r="S520" s="231">
        <v>260</v>
      </c>
      <c r="T520" s="231">
        <v>260</v>
      </c>
      <c r="U520" s="231">
        <v>137800</v>
      </c>
      <c r="V520" s="231">
        <v>0</v>
      </c>
      <c r="W520" s="231">
        <v>136500</v>
      </c>
      <c r="X520" s="231">
        <v>17804.347826086956</v>
      </c>
      <c r="Y520" s="231">
        <v>118695.65217391304</v>
      </c>
      <c r="Z520" s="206" t="s">
        <v>882</v>
      </c>
      <c r="AA520" s="206">
        <v>705</v>
      </c>
      <c r="AB520" s="206" t="s">
        <v>749</v>
      </c>
      <c r="AC520" s="230">
        <v>45769</v>
      </c>
      <c r="AD520" s="206" t="s">
        <v>50</v>
      </c>
      <c r="AE520" s="206" t="str">
        <f>IFERROR(VLOOKUP(Primary_Order[[#This Row],[AM]],SP!$E$19:$F$23,2,0),Primary_Order[[#This Row],[AM]])</f>
        <v>Northern</v>
      </c>
      <c r="AF520" s="206" t="str">
        <f>VLOOKUP(Primary_Order[[#This Row],[Product ID]],SKU[],10,0)</f>
        <v>Mineral</v>
      </c>
      <c r="AG520" s="206" t="str">
        <f>VLOOKUP(Primary_Order[[#This Row],[Product ID]],SKU[],9,0)</f>
        <v>MCO</v>
      </c>
      <c r="AH520" s="206" t="str">
        <f>VLOOKUP(Primary_Order[[#This Row],[Product ID]],SKU[],12,0)</f>
        <v>10W30</v>
      </c>
      <c r="AI520" s="206" t="str">
        <f>VLOOKUP(Primary_Order[[#This Row],[Product ID]],SKU[],13,0)</f>
        <v>3000</v>
      </c>
      <c r="AJ520" s="233">
        <f>VLOOKUP(Primary_Order[[#This Row],[Product ID]],SKU[[SKU ID]:[Bottle Size(Ltr)]],6,0)*Primary_Order[[#This Row],[Free Quantity]]</f>
        <v>0</v>
      </c>
      <c r="AK520" s="206" t="str">
        <f>VLOOKUP(Primary_Order[[#This Row],[Product ID]],SKU[[SKU ID]:[Bottle Size(Ltr)]],4,0)</f>
        <v>20x1L</v>
      </c>
      <c r="AL520" s="231">
        <f>VLOOKUP(Primary_Order[[#This Row],[Product ID]],SKU[],14,0)*Primary_Order[[#This Row],[Total Qty]]</f>
        <v>98625.8</v>
      </c>
      <c r="AM520" s="231">
        <f>IF(Primary_Order[[#This Row],[Cost]]=0,0,Primary_Order[[#This Row],[Net Total(-15%)]]-Primary_Order[[#This Row],[Cost]])</f>
        <v>20069.852173913037</v>
      </c>
      <c r="AN520" s="206" t="str">
        <f>"O-"&amp;Primary_Order[[#This Row],[Date]]&amp;"-"&amp;Primary_Order[[#This Row],[MMD ID]]</f>
        <v>O-45768-D-0023</v>
      </c>
      <c r="AO520" s="206" t="str" cm="1">
        <f t="array" ref="AO52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1" spans="1:41" x14ac:dyDescent="0.5">
      <c r="A521" s="206" t="s">
        <v>1444</v>
      </c>
      <c r="B521" s="230">
        <v>45768</v>
      </c>
      <c r="C521" s="206" t="s">
        <v>108</v>
      </c>
      <c r="D521" s="206" t="s">
        <v>1434</v>
      </c>
      <c r="E521" s="206" t="s">
        <v>1435</v>
      </c>
      <c r="F521" s="206">
        <v>1780903329</v>
      </c>
      <c r="G521" s="206" t="s">
        <v>280</v>
      </c>
      <c r="H521" s="206" t="s">
        <v>84</v>
      </c>
      <c r="I521" s="206" t="s">
        <v>109</v>
      </c>
      <c r="J521" s="206" t="s">
        <v>282</v>
      </c>
      <c r="K521" s="206" t="s">
        <v>54</v>
      </c>
      <c r="L521" s="206" t="str">
        <f>VLOOKUP(Primary_Order[[#This Row],[Product ID]],SKU[],3,0)</f>
        <v>3000 4T PLUS 10W40</v>
      </c>
      <c r="M521" s="231">
        <v>700</v>
      </c>
      <c r="N521" s="231">
        <v>530</v>
      </c>
      <c r="O521" s="231">
        <v>700</v>
      </c>
      <c r="P521" s="232">
        <v>9.4339622641509413E-3</v>
      </c>
      <c r="Q521" s="231">
        <v>0</v>
      </c>
      <c r="R521" s="231">
        <v>525</v>
      </c>
      <c r="S521" s="231">
        <v>700</v>
      </c>
      <c r="T521" s="231">
        <v>700</v>
      </c>
      <c r="U521" s="231">
        <v>371000</v>
      </c>
      <c r="V521" s="231">
        <v>0</v>
      </c>
      <c r="W521" s="231">
        <v>367500</v>
      </c>
      <c r="X521" s="231">
        <v>47934.782608695656</v>
      </c>
      <c r="Y521" s="231">
        <v>319565.21739130432</v>
      </c>
      <c r="Z521" s="206" t="s">
        <v>882</v>
      </c>
      <c r="AA521" s="206">
        <v>705</v>
      </c>
      <c r="AB521" s="206" t="s">
        <v>749</v>
      </c>
      <c r="AC521" s="230">
        <v>45769</v>
      </c>
      <c r="AD521" s="206" t="s">
        <v>50</v>
      </c>
      <c r="AE521" s="206" t="str">
        <f>IFERROR(VLOOKUP(Primary_Order[[#This Row],[AM]],SP!$E$19:$F$23,2,0),Primary_Order[[#This Row],[AM]])</f>
        <v>Northern</v>
      </c>
      <c r="AF521" s="206" t="str">
        <f>VLOOKUP(Primary_Order[[#This Row],[Product ID]],SKU[],10,0)</f>
        <v>Mineral</v>
      </c>
      <c r="AG521" s="206" t="str">
        <f>VLOOKUP(Primary_Order[[#This Row],[Product ID]],SKU[],9,0)</f>
        <v>MCO</v>
      </c>
      <c r="AH521" s="206" t="str">
        <f>VLOOKUP(Primary_Order[[#This Row],[Product ID]],SKU[],12,0)</f>
        <v>10W40</v>
      </c>
      <c r="AI521" s="206" t="str">
        <f>VLOOKUP(Primary_Order[[#This Row],[Product ID]],SKU[],13,0)</f>
        <v>3000</v>
      </c>
      <c r="AJ521" s="233">
        <f>VLOOKUP(Primary_Order[[#This Row],[Product ID]],SKU[[SKU ID]:[Bottle Size(Ltr)]],6,0)*Primary_Order[[#This Row],[Free Quantity]]</f>
        <v>0</v>
      </c>
      <c r="AK521" s="206" t="str">
        <f>VLOOKUP(Primary_Order[[#This Row],[Product ID]],SKU[[SKU ID]:[Bottle Size(Ltr)]],4,0)</f>
        <v>20x1L</v>
      </c>
      <c r="AL521" s="231">
        <f>VLOOKUP(Primary_Order[[#This Row],[Product ID]],SKU[],14,0)*Primary_Order[[#This Row],[Total Qty]]</f>
        <v>269395</v>
      </c>
      <c r="AM521" s="231">
        <f>IF(Primary_Order[[#This Row],[Cost]]=0,0,Primary_Order[[#This Row],[Net Total(-15%)]]-Primary_Order[[#This Row],[Cost]])</f>
        <v>50170.217391304323</v>
      </c>
      <c r="AN521" s="206" t="str">
        <f>"O-"&amp;Primary_Order[[#This Row],[Date]]&amp;"-"&amp;Primary_Order[[#This Row],[MMD ID]]</f>
        <v>O-45768-D-0023</v>
      </c>
      <c r="AO521" s="206" t="str" cm="1">
        <f t="array" ref="AO52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2" spans="1:41" x14ac:dyDescent="0.5">
      <c r="A522" s="206" t="s">
        <v>1444</v>
      </c>
      <c r="B522" s="230">
        <v>45768</v>
      </c>
      <c r="C522" s="206" t="s">
        <v>108</v>
      </c>
      <c r="D522" s="206" t="s">
        <v>1434</v>
      </c>
      <c r="E522" s="206" t="s">
        <v>1435</v>
      </c>
      <c r="F522" s="206">
        <v>1780903329</v>
      </c>
      <c r="G522" s="206" t="s">
        <v>280</v>
      </c>
      <c r="H522" s="206" t="s">
        <v>84</v>
      </c>
      <c r="I522" s="206" t="s">
        <v>109</v>
      </c>
      <c r="J522" s="206" t="s">
        <v>282</v>
      </c>
      <c r="K522" s="206" t="s">
        <v>75</v>
      </c>
      <c r="L522" s="206" t="str">
        <f>VLOOKUP(Primary_Order[[#This Row],[Product ID]],SKU[],3,0)</f>
        <v>31004T GOLD 20W50</v>
      </c>
      <c r="M522" s="231">
        <v>40</v>
      </c>
      <c r="N522" s="231">
        <v>605</v>
      </c>
      <c r="O522" s="231">
        <v>40</v>
      </c>
      <c r="P522" s="232">
        <v>8.2644628099173278E-3</v>
      </c>
      <c r="Q522" s="231">
        <v>0</v>
      </c>
      <c r="R522" s="231">
        <v>600</v>
      </c>
      <c r="S522" s="231">
        <v>40</v>
      </c>
      <c r="T522" s="231">
        <v>40</v>
      </c>
      <c r="U522" s="231">
        <v>24200</v>
      </c>
      <c r="V522" s="231">
        <v>0</v>
      </c>
      <c r="W522" s="231">
        <v>24000</v>
      </c>
      <c r="X522" s="231">
        <v>3130.4347826086955</v>
      </c>
      <c r="Y522" s="231">
        <v>20869.565217391304</v>
      </c>
      <c r="Z522" s="206" t="s">
        <v>882</v>
      </c>
      <c r="AA522" s="206">
        <v>705</v>
      </c>
      <c r="AB522" s="206" t="s">
        <v>749</v>
      </c>
      <c r="AC522" s="230">
        <v>45769</v>
      </c>
      <c r="AD522" s="206" t="s">
        <v>50</v>
      </c>
      <c r="AE522" s="206" t="str">
        <f>IFERROR(VLOOKUP(Primary_Order[[#This Row],[AM]],SP!$E$19:$F$23,2,0),Primary_Order[[#This Row],[AM]])</f>
        <v>Northern</v>
      </c>
      <c r="AF522" s="206" t="str">
        <f>VLOOKUP(Primary_Order[[#This Row],[Product ID]],SKU[],10,0)</f>
        <v>Technosynthese</v>
      </c>
      <c r="AG522" s="206" t="str">
        <f>VLOOKUP(Primary_Order[[#This Row],[Product ID]],SKU[],9,0)</f>
        <v>MCO</v>
      </c>
      <c r="AH522" s="206" t="str">
        <f>VLOOKUP(Primary_Order[[#This Row],[Product ID]],SKU[],12,0)</f>
        <v>20W50</v>
      </c>
      <c r="AI522" s="206" t="str">
        <f>VLOOKUP(Primary_Order[[#This Row],[Product ID]],SKU[],13,0)</f>
        <v>3100</v>
      </c>
      <c r="AJ522" s="233">
        <f>VLOOKUP(Primary_Order[[#This Row],[Product ID]],SKU[[SKU ID]:[Bottle Size(Ltr)]],6,0)*Primary_Order[[#This Row],[Free Quantity]]</f>
        <v>0</v>
      </c>
      <c r="AK522" s="206" t="str">
        <f>VLOOKUP(Primary_Order[[#This Row],[Product ID]],SKU[[SKU ID]:[Bottle Size(Ltr)]],4,0)</f>
        <v>20x1L</v>
      </c>
      <c r="AL522" s="231">
        <f>VLOOKUP(Primary_Order[[#This Row],[Product ID]],SKU[],14,0)*Primary_Order[[#This Row],[Total Qty]]</f>
        <v>18775.599999999999</v>
      </c>
      <c r="AM522" s="231">
        <f>IF(Primary_Order[[#This Row],[Cost]]=0,0,Primary_Order[[#This Row],[Net Total(-15%)]]-Primary_Order[[#This Row],[Cost]])</f>
        <v>2093.9652173913055</v>
      </c>
      <c r="AN522" s="206" t="str">
        <f>"O-"&amp;Primary_Order[[#This Row],[Date]]&amp;"-"&amp;Primary_Order[[#This Row],[MMD ID]]</f>
        <v>O-45768-D-0023</v>
      </c>
      <c r="AO522" s="206" t="str" cm="1">
        <f t="array" ref="AO52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3" spans="1:41" x14ac:dyDescent="0.5">
      <c r="A523" s="206" t="s">
        <v>1444</v>
      </c>
      <c r="B523" s="230">
        <v>45768</v>
      </c>
      <c r="C523" s="206" t="s">
        <v>108</v>
      </c>
      <c r="D523" s="206" t="s">
        <v>1434</v>
      </c>
      <c r="E523" s="206" t="s">
        <v>1435</v>
      </c>
      <c r="F523" s="206">
        <v>1780903329</v>
      </c>
      <c r="G523" s="206" t="s">
        <v>280</v>
      </c>
      <c r="H523" s="206" t="s">
        <v>84</v>
      </c>
      <c r="I523" s="206" t="s">
        <v>109</v>
      </c>
      <c r="J523" s="206" t="s">
        <v>282</v>
      </c>
      <c r="K523" s="206" t="s">
        <v>36</v>
      </c>
      <c r="L523" s="206" t="str">
        <f>VLOOKUP(Primary_Order[[#This Row],[Product ID]],SKU[],3,0)</f>
        <v>51004T 10W40 ESTER</v>
      </c>
      <c r="M523" s="231">
        <v>24</v>
      </c>
      <c r="N523" s="231">
        <v>855</v>
      </c>
      <c r="O523" s="231">
        <v>24</v>
      </c>
      <c r="P523" s="232">
        <v>5.8479532163743242E-3</v>
      </c>
      <c r="Q523" s="231">
        <v>0</v>
      </c>
      <c r="R523" s="231">
        <v>850</v>
      </c>
      <c r="S523" s="231">
        <v>24</v>
      </c>
      <c r="T523" s="231">
        <v>24</v>
      </c>
      <c r="U523" s="231">
        <v>20520</v>
      </c>
      <c r="V523" s="231">
        <v>0</v>
      </c>
      <c r="W523" s="231">
        <v>20400</v>
      </c>
      <c r="X523" s="231">
        <v>2660.8695652173915</v>
      </c>
      <c r="Y523" s="231">
        <v>17739.130434782608</v>
      </c>
      <c r="Z523" s="206" t="s">
        <v>882</v>
      </c>
      <c r="AA523" s="206">
        <v>705</v>
      </c>
      <c r="AB523" s="206" t="s">
        <v>749</v>
      </c>
      <c r="AC523" s="230">
        <v>45769</v>
      </c>
      <c r="AD523" s="206" t="s">
        <v>50</v>
      </c>
      <c r="AE523" s="206" t="str">
        <f>IFERROR(VLOOKUP(Primary_Order[[#This Row],[AM]],SP!$E$19:$F$23,2,0),Primary_Order[[#This Row],[AM]])</f>
        <v>Northern</v>
      </c>
      <c r="AF523" s="206" t="str">
        <f>VLOOKUP(Primary_Order[[#This Row],[Product ID]],SKU[],10,0)</f>
        <v>Technosynthese</v>
      </c>
      <c r="AG523" s="206" t="str">
        <f>VLOOKUP(Primary_Order[[#This Row],[Product ID]],SKU[],9,0)</f>
        <v>MCO</v>
      </c>
      <c r="AH523" s="206" t="str">
        <f>VLOOKUP(Primary_Order[[#This Row],[Product ID]],SKU[],12,0)</f>
        <v>10W40</v>
      </c>
      <c r="AI523" s="206" t="str">
        <f>VLOOKUP(Primary_Order[[#This Row],[Product ID]],SKU[],13,0)</f>
        <v>5100</v>
      </c>
      <c r="AJ523" s="233">
        <f>VLOOKUP(Primary_Order[[#This Row],[Product ID]],SKU[[SKU ID]:[Bottle Size(Ltr)]],6,0)*Primary_Order[[#This Row],[Free Quantity]]</f>
        <v>0</v>
      </c>
      <c r="AK523" s="206" t="str">
        <f>VLOOKUP(Primary_Order[[#This Row],[Product ID]],SKU[[SKU ID]:[Bottle Size(Ltr)]],4,0)</f>
        <v>12x1L</v>
      </c>
      <c r="AL523" s="231">
        <f>VLOOKUP(Primary_Order[[#This Row],[Product ID]],SKU[],14,0)*Primary_Order[[#This Row],[Total Qty]]</f>
        <v>14599.920000000002</v>
      </c>
      <c r="AM523" s="231">
        <f>IF(Primary_Order[[#This Row],[Cost]]=0,0,Primary_Order[[#This Row],[Net Total(-15%)]]-Primary_Order[[#This Row],[Cost]])</f>
        <v>3139.2104347826062</v>
      </c>
      <c r="AN523" s="206" t="str">
        <f>"O-"&amp;Primary_Order[[#This Row],[Date]]&amp;"-"&amp;Primary_Order[[#This Row],[MMD ID]]</f>
        <v>O-45768-D-0023</v>
      </c>
      <c r="AO523" s="206" t="str" cm="1">
        <f t="array" ref="AO52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4" spans="1:41" x14ac:dyDescent="0.5">
      <c r="A524" s="206" t="s">
        <v>1444</v>
      </c>
      <c r="B524" s="230">
        <v>45768</v>
      </c>
      <c r="C524" s="206" t="s">
        <v>108</v>
      </c>
      <c r="D524" s="206" t="s">
        <v>1434</v>
      </c>
      <c r="E524" s="206" t="s">
        <v>1435</v>
      </c>
      <c r="F524" s="206">
        <v>1780903329</v>
      </c>
      <c r="G524" s="206" t="s">
        <v>280</v>
      </c>
      <c r="H524" s="206" t="s">
        <v>84</v>
      </c>
      <c r="I524" s="206" t="s">
        <v>109</v>
      </c>
      <c r="J524" s="206" t="s">
        <v>282</v>
      </c>
      <c r="K524" s="206" t="s">
        <v>58</v>
      </c>
      <c r="L524" s="206" t="str">
        <f>VLOOKUP(Primary_Order[[#This Row],[Product ID]],SKU[],3,0)</f>
        <v>7100 4T 20W50 ESTER CORE®</v>
      </c>
      <c r="M524" s="231">
        <v>24</v>
      </c>
      <c r="N524" s="231">
        <v>1045</v>
      </c>
      <c r="O524" s="231">
        <v>24</v>
      </c>
      <c r="P524" s="232">
        <v>4.784688995215336E-3</v>
      </c>
      <c r="Q524" s="231">
        <v>0</v>
      </c>
      <c r="R524" s="231">
        <v>1040</v>
      </c>
      <c r="S524" s="231">
        <v>24</v>
      </c>
      <c r="T524" s="231">
        <v>24</v>
      </c>
      <c r="U524" s="231">
        <v>25080</v>
      </c>
      <c r="V524" s="231">
        <v>0</v>
      </c>
      <c r="W524" s="231">
        <v>24960</v>
      </c>
      <c r="X524" s="231">
        <v>3255.6521739130435</v>
      </c>
      <c r="Y524" s="231">
        <v>21704.347826086956</v>
      </c>
      <c r="Z524" s="206" t="s">
        <v>882</v>
      </c>
      <c r="AA524" s="206">
        <v>705</v>
      </c>
      <c r="AB524" s="206" t="s">
        <v>749</v>
      </c>
      <c r="AC524" s="230">
        <v>45769</v>
      </c>
      <c r="AD524" s="206" t="s">
        <v>50</v>
      </c>
      <c r="AE524" s="206" t="str">
        <f>IFERROR(VLOOKUP(Primary_Order[[#This Row],[AM]],SP!$E$19:$F$23,2,0),Primary_Order[[#This Row],[AM]])</f>
        <v>Northern</v>
      </c>
      <c r="AF524" s="206" t="str">
        <f>VLOOKUP(Primary_Order[[#This Row],[Product ID]],SKU[],10,0)</f>
        <v>Synthetic</v>
      </c>
      <c r="AG524" s="206" t="str">
        <f>VLOOKUP(Primary_Order[[#This Row],[Product ID]],SKU[],9,0)</f>
        <v>MCO</v>
      </c>
      <c r="AH524" s="206" t="str">
        <f>VLOOKUP(Primary_Order[[#This Row],[Product ID]],SKU[],12,0)</f>
        <v>20W50</v>
      </c>
      <c r="AI524" s="206" t="str">
        <f>VLOOKUP(Primary_Order[[#This Row],[Product ID]],SKU[],13,0)</f>
        <v>7100</v>
      </c>
      <c r="AJ524" s="233">
        <f>VLOOKUP(Primary_Order[[#This Row],[Product ID]],SKU[[SKU ID]:[Bottle Size(Ltr)]],6,0)*Primary_Order[[#This Row],[Free Quantity]]</f>
        <v>0</v>
      </c>
      <c r="AK524" s="206" t="str">
        <f>VLOOKUP(Primary_Order[[#This Row],[Product ID]],SKU[[SKU ID]:[Bottle Size(Ltr)]],4,0)</f>
        <v>12x1L</v>
      </c>
      <c r="AL524" s="231">
        <f>VLOOKUP(Primary_Order[[#This Row],[Product ID]],SKU[],14,0)*Primary_Order[[#This Row],[Total Qty]]</f>
        <v>18328.761599999998</v>
      </c>
      <c r="AM524" s="231">
        <f>IF(Primary_Order[[#This Row],[Cost]]=0,0,Primary_Order[[#This Row],[Net Total(-15%)]]-Primary_Order[[#This Row],[Cost]])</f>
        <v>3375.586226086958</v>
      </c>
      <c r="AN524" s="206" t="str">
        <f>"O-"&amp;Primary_Order[[#This Row],[Date]]&amp;"-"&amp;Primary_Order[[#This Row],[MMD ID]]</f>
        <v>O-45768-D-0023</v>
      </c>
      <c r="AO524" s="206" t="str" cm="1">
        <f t="array" ref="AO52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5" spans="1:41" x14ac:dyDescent="0.5">
      <c r="A525" s="206" t="s">
        <v>1444</v>
      </c>
      <c r="B525" s="230">
        <v>45768</v>
      </c>
      <c r="C525" s="206" t="s">
        <v>108</v>
      </c>
      <c r="D525" s="206" t="s">
        <v>1434</v>
      </c>
      <c r="E525" s="206" t="s">
        <v>1435</v>
      </c>
      <c r="F525" s="206">
        <v>1780903329</v>
      </c>
      <c r="G525" s="206" t="s">
        <v>280</v>
      </c>
      <c r="H525" s="206" t="s">
        <v>84</v>
      </c>
      <c r="I525" s="206" t="s">
        <v>109</v>
      </c>
      <c r="J525" s="206" t="s">
        <v>282</v>
      </c>
      <c r="K525" s="206" t="s">
        <v>81</v>
      </c>
      <c r="L525" s="206" t="str">
        <f>VLOOKUP(Primary_Order[[#This Row],[Product ID]],SKU[],3,0)</f>
        <v>3000 4T 20W50</v>
      </c>
      <c r="M525" s="231">
        <v>500</v>
      </c>
      <c r="N525" s="231">
        <v>450</v>
      </c>
      <c r="O525" s="231">
        <v>500</v>
      </c>
      <c r="P525" s="232">
        <v>3.3333333333333326E-2</v>
      </c>
      <c r="Q525" s="231">
        <v>0</v>
      </c>
      <c r="R525" s="231">
        <v>435</v>
      </c>
      <c r="S525" s="231">
        <v>500</v>
      </c>
      <c r="T525" s="231">
        <v>500</v>
      </c>
      <c r="U525" s="231">
        <v>225000</v>
      </c>
      <c r="V525" s="231">
        <v>0</v>
      </c>
      <c r="W525" s="231">
        <v>217500</v>
      </c>
      <c r="X525" s="231">
        <v>28369.565217391304</v>
      </c>
      <c r="Y525" s="231">
        <v>189130.4347826087</v>
      </c>
      <c r="Z525" s="206" t="s">
        <v>882</v>
      </c>
      <c r="AA525" s="206">
        <v>705</v>
      </c>
      <c r="AB525" s="206" t="s">
        <v>749</v>
      </c>
      <c r="AC525" s="230">
        <v>45769</v>
      </c>
      <c r="AD525" s="206" t="s">
        <v>50</v>
      </c>
      <c r="AE525" s="206" t="str">
        <f>IFERROR(VLOOKUP(Primary_Order[[#This Row],[AM]],SP!$E$19:$F$23,2,0),Primary_Order[[#This Row],[AM]])</f>
        <v>Northern</v>
      </c>
      <c r="AF525" s="206" t="str">
        <f>VLOOKUP(Primary_Order[[#This Row],[Product ID]],SKU[],10,0)</f>
        <v>Mineral</v>
      </c>
      <c r="AG525" s="206" t="str">
        <f>VLOOKUP(Primary_Order[[#This Row],[Product ID]],SKU[],9,0)</f>
        <v>MCO</v>
      </c>
      <c r="AH525" s="206" t="str">
        <f>VLOOKUP(Primary_Order[[#This Row],[Product ID]],SKU[],12,0)</f>
        <v>20W50</v>
      </c>
      <c r="AI525" s="206" t="str">
        <f>VLOOKUP(Primary_Order[[#This Row],[Product ID]],SKU[],13,0)</f>
        <v>3000</v>
      </c>
      <c r="AJ525" s="233">
        <f>VLOOKUP(Primary_Order[[#This Row],[Product ID]],SKU[[SKU ID]:[Bottle Size(Ltr)]],6,0)*Primary_Order[[#This Row],[Free Quantity]]</f>
        <v>0</v>
      </c>
      <c r="AK525" s="206" t="str">
        <f>VLOOKUP(Primary_Order[[#This Row],[Product ID]],SKU[[SKU ID]:[Bottle Size(Ltr)]],4,0)</f>
        <v>20x1L</v>
      </c>
      <c r="AL525" s="231">
        <f>VLOOKUP(Primary_Order[[#This Row],[Product ID]],SKU[],14,0)*Primary_Order[[#This Row],[Total Qty]]</f>
        <v>182460</v>
      </c>
      <c r="AM525" s="231">
        <f>IF(Primary_Order[[#This Row],[Cost]]=0,0,Primary_Order[[#This Row],[Net Total(-15%)]]-Primary_Order[[#This Row],[Cost]])</f>
        <v>6670.4347826087032</v>
      </c>
      <c r="AN525" s="206" t="str">
        <f>"O-"&amp;Primary_Order[[#This Row],[Date]]&amp;"-"&amp;Primary_Order[[#This Row],[MMD ID]]</f>
        <v>O-45768-D-0023</v>
      </c>
      <c r="AO525" s="206" t="str" cm="1">
        <f t="array" ref="AO52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6" spans="1:41" x14ac:dyDescent="0.5">
      <c r="A526" s="206" t="s">
        <v>1444</v>
      </c>
      <c r="B526" s="230">
        <v>45768</v>
      </c>
      <c r="C526" s="206" t="s">
        <v>108</v>
      </c>
      <c r="D526" s="206" t="s">
        <v>1434</v>
      </c>
      <c r="E526" s="206" t="s">
        <v>1435</v>
      </c>
      <c r="F526" s="206">
        <v>1780903329</v>
      </c>
      <c r="G526" s="206" t="s">
        <v>280</v>
      </c>
      <c r="H526" s="206" t="s">
        <v>84</v>
      </c>
      <c r="I526" s="206" t="s">
        <v>109</v>
      </c>
      <c r="J526" s="206" t="s">
        <v>282</v>
      </c>
      <c r="K526" s="206" t="s">
        <v>99</v>
      </c>
      <c r="L526" s="206" t="str">
        <f>VLOOKUP(Primary_Order[[#This Row],[Product ID]],SKU[],3,0)</f>
        <v>3000 4T 20W50</v>
      </c>
      <c r="M526" s="231">
        <v>20</v>
      </c>
      <c r="N526" s="231">
        <v>557</v>
      </c>
      <c r="O526" s="231">
        <v>24</v>
      </c>
      <c r="P526" s="232">
        <v>3.0520646319569078E-2</v>
      </c>
      <c r="Q526" s="231">
        <v>0</v>
      </c>
      <c r="R526" s="231">
        <v>540</v>
      </c>
      <c r="S526" s="231">
        <v>20</v>
      </c>
      <c r="T526" s="231">
        <v>24</v>
      </c>
      <c r="U526" s="231">
        <v>11140</v>
      </c>
      <c r="V526" s="231">
        <v>0</v>
      </c>
      <c r="W526" s="231">
        <v>10800</v>
      </c>
      <c r="X526" s="231">
        <v>1408.695652173913</v>
      </c>
      <c r="Y526" s="231">
        <v>9391.3043478260861</v>
      </c>
      <c r="Z526" s="206" t="s">
        <v>882</v>
      </c>
      <c r="AA526" s="206">
        <v>705</v>
      </c>
      <c r="AB526" s="206" t="s">
        <v>749</v>
      </c>
      <c r="AC526" s="230">
        <v>45769</v>
      </c>
      <c r="AD526" s="206" t="s">
        <v>50</v>
      </c>
      <c r="AE526" s="206" t="str">
        <f>IFERROR(VLOOKUP(Primary_Order[[#This Row],[AM]],SP!$E$19:$F$23,2,0),Primary_Order[[#This Row],[AM]])</f>
        <v>Northern</v>
      </c>
      <c r="AF526" s="206" t="str">
        <f>VLOOKUP(Primary_Order[[#This Row],[Product ID]],SKU[],10,0)</f>
        <v>Mineral</v>
      </c>
      <c r="AG526" s="206" t="str">
        <f>VLOOKUP(Primary_Order[[#This Row],[Product ID]],SKU[],9,0)</f>
        <v>MCO</v>
      </c>
      <c r="AH526" s="206" t="str">
        <f>VLOOKUP(Primary_Order[[#This Row],[Product ID]],SKU[],12,0)</f>
        <v>20W50</v>
      </c>
      <c r="AI526" s="206" t="str">
        <f>VLOOKUP(Primary_Order[[#This Row],[Product ID]],SKU[],13,0)</f>
        <v>3000</v>
      </c>
      <c r="AJ526" s="233">
        <f>VLOOKUP(Primary_Order[[#This Row],[Product ID]],SKU[[SKU ID]:[Bottle Size(Ltr)]],6,0)*Primary_Order[[#This Row],[Free Quantity]]</f>
        <v>0</v>
      </c>
      <c r="AK526" s="206" t="str">
        <f>VLOOKUP(Primary_Order[[#This Row],[Product ID]],SKU[[SKU ID]:[Bottle Size(Ltr)]],4,0)</f>
        <v>20x1.2L</v>
      </c>
      <c r="AL526" s="231">
        <f>VLOOKUP(Primary_Order[[#This Row],[Product ID]],SKU[],14,0)*Primary_Order[[#This Row],[Total Qty]]</f>
        <v>8692.2000000000007</v>
      </c>
      <c r="AM526" s="231">
        <f>IF(Primary_Order[[#This Row],[Cost]]=0,0,Primary_Order[[#This Row],[Net Total(-15%)]]-Primary_Order[[#This Row],[Cost]])</f>
        <v>699.10434782608536</v>
      </c>
      <c r="AN526" s="206" t="str">
        <f>"O-"&amp;Primary_Order[[#This Row],[Date]]&amp;"-"&amp;Primary_Order[[#This Row],[MMD ID]]</f>
        <v>O-45768-D-0023</v>
      </c>
      <c r="AO526" s="206" t="str" cm="1">
        <f t="array" ref="AO52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7" spans="1:41" x14ac:dyDescent="0.5">
      <c r="A527" s="206" t="s">
        <v>1445</v>
      </c>
      <c r="B527" s="230">
        <v>45768</v>
      </c>
      <c r="C527" s="206" t="s">
        <v>90</v>
      </c>
      <c r="D527" s="206" t="s">
        <v>91</v>
      </c>
      <c r="E527" s="206" t="s">
        <v>93</v>
      </c>
      <c r="F527" s="206" t="s">
        <v>50</v>
      </c>
      <c r="G527" s="206" t="s">
        <v>39</v>
      </c>
      <c r="H527" s="206" t="s">
        <v>40</v>
      </c>
      <c r="I527" s="206" t="s">
        <v>91</v>
      </c>
      <c r="J527" s="206" t="s">
        <v>93</v>
      </c>
      <c r="K527" s="206" t="s">
        <v>31</v>
      </c>
      <c r="L527" s="206" t="str">
        <f>VLOOKUP(Primary_Order[[#This Row],[Product ID]],SKU[],3,0)</f>
        <v>3000 4T PLUS 10W30</v>
      </c>
      <c r="M527" s="231">
        <v>200</v>
      </c>
      <c r="N527" s="231">
        <v>540</v>
      </c>
      <c r="O527" s="231">
        <v>200</v>
      </c>
      <c r="P527" s="232">
        <v>4.629629629629628E-2</v>
      </c>
      <c r="Q527" s="231">
        <v>0</v>
      </c>
      <c r="R527" s="231">
        <v>515</v>
      </c>
      <c r="S527" s="231">
        <v>200</v>
      </c>
      <c r="T527" s="231">
        <v>200</v>
      </c>
      <c r="U527" s="231">
        <v>108000</v>
      </c>
      <c r="V527" s="231">
        <v>0</v>
      </c>
      <c r="W527" s="231">
        <v>103000</v>
      </c>
      <c r="X527" s="231">
        <v>13434.782608695652</v>
      </c>
      <c r="Y527" s="231">
        <v>89565.217391304352</v>
      </c>
      <c r="Z527" s="206" t="s">
        <v>882</v>
      </c>
      <c r="AA527" s="206">
        <v>706</v>
      </c>
      <c r="AB527" s="206" t="s">
        <v>1170</v>
      </c>
      <c r="AC527" s="230">
        <v>45769</v>
      </c>
      <c r="AD527" s="206" t="s">
        <v>50</v>
      </c>
      <c r="AE527" s="206" t="str">
        <f>IFERROR(VLOOKUP(Primary_Order[[#This Row],[AM]],SP!$E$19:$F$23,2,0),Primary_Order[[#This Row],[AM]])</f>
        <v>Central</v>
      </c>
      <c r="AF527" s="206" t="str">
        <f>VLOOKUP(Primary_Order[[#This Row],[Product ID]],SKU[],10,0)</f>
        <v>Mineral</v>
      </c>
      <c r="AG527" s="206" t="str">
        <f>VLOOKUP(Primary_Order[[#This Row],[Product ID]],SKU[],9,0)</f>
        <v>MCO</v>
      </c>
      <c r="AH527" s="206" t="str">
        <f>VLOOKUP(Primary_Order[[#This Row],[Product ID]],SKU[],12,0)</f>
        <v>10W30</v>
      </c>
      <c r="AI527" s="206" t="str">
        <f>VLOOKUP(Primary_Order[[#This Row],[Product ID]],SKU[],13,0)</f>
        <v>3000</v>
      </c>
      <c r="AJ527" s="233">
        <f>VLOOKUP(Primary_Order[[#This Row],[Product ID]],SKU[[SKU ID]:[Bottle Size(Ltr)]],6,0)*Primary_Order[[#This Row],[Free Quantity]]</f>
        <v>0</v>
      </c>
      <c r="AK527" s="206" t="str">
        <f>VLOOKUP(Primary_Order[[#This Row],[Product ID]],SKU[[SKU ID]:[Bottle Size(Ltr)]],4,0)</f>
        <v>20x1L</v>
      </c>
      <c r="AL527" s="231">
        <f>VLOOKUP(Primary_Order[[#This Row],[Product ID]],SKU[],14,0)*Primary_Order[[#This Row],[Total Qty]]</f>
        <v>75866</v>
      </c>
      <c r="AM527" s="231">
        <f>IF(Primary_Order[[#This Row],[Cost]]=0,0,Primary_Order[[#This Row],[Net Total(-15%)]]-Primary_Order[[#This Row],[Cost]])</f>
        <v>13699.217391304352</v>
      </c>
      <c r="AN527" s="206" t="str">
        <f>"O-"&amp;Primary_Order[[#This Row],[Date]]&amp;"-"&amp;Primary_Order[[#This Row],[MMD ID]]</f>
        <v>O-45768-D-0006</v>
      </c>
      <c r="AO527" s="206" t="str" cm="1">
        <f t="array" ref="AO52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8" spans="1:41" x14ac:dyDescent="0.5">
      <c r="A528" s="206" t="s">
        <v>1445</v>
      </c>
      <c r="B528" s="230">
        <v>45768</v>
      </c>
      <c r="C528" s="206" t="s">
        <v>90</v>
      </c>
      <c r="D528" s="206" t="s">
        <v>91</v>
      </c>
      <c r="E528" s="206" t="s">
        <v>93</v>
      </c>
      <c r="F528" s="206" t="s">
        <v>50</v>
      </c>
      <c r="G528" s="206" t="s">
        <v>39</v>
      </c>
      <c r="H528" s="206" t="s">
        <v>40</v>
      </c>
      <c r="I528" s="206" t="s">
        <v>91</v>
      </c>
      <c r="J528" s="206" t="s">
        <v>93</v>
      </c>
      <c r="K528" s="206" t="s">
        <v>54</v>
      </c>
      <c r="L528" s="206" t="str">
        <f>VLOOKUP(Primary_Order[[#This Row],[Product ID]],SKU[],3,0)</f>
        <v>3000 4T PLUS 10W40</v>
      </c>
      <c r="M528" s="231">
        <v>100</v>
      </c>
      <c r="N528" s="231">
        <v>550</v>
      </c>
      <c r="O528" s="231">
        <v>100</v>
      </c>
      <c r="P528" s="232">
        <v>6.3636363636363602E-2</v>
      </c>
      <c r="Q528" s="231">
        <v>0</v>
      </c>
      <c r="R528" s="231">
        <v>515</v>
      </c>
      <c r="S528" s="231">
        <v>100</v>
      </c>
      <c r="T528" s="231">
        <v>100</v>
      </c>
      <c r="U528" s="231">
        <v>55000</v>
      </c>
      <c r="V528" s="231">
        <v>0</v>
      </c>
      <c r="W528" s="231">
        <v>51500</v>
      </c>
      <c r="X528" s="231">
        <v>6717.391304347826</v>
      </c>
      <c r="Y528" s="231">
        <v>44782.608695652176</v>
      </c>
      <c r="Z528" s="206" t="s">
        <v>882</v>
      </c>
      <c r="AA528" s="206">
        <v>706</v>
      </c>
      <c r="AB528" s="206" t="s">
        <v>1170</v>
      </c>
      <c r="AC528" s="230">
        <v>45769</v>
      </c>
      <c r="AD528" s="206" t="s">
        <v>50</v>
      </c>
      <c r="AE528" s="206" t="str">
        <f>IFERROR(VLOOKUP(Primary_Order[[#This Row],[AM]],SP!$E$19:$F$23,2,0),Primary_Order[[#This Row],[AM]])</f>
        <v>Central</v>
      </c>
      <c r="AF528" s="206" t="str">
        <f>VLOOKUP(Primary_Order[[#This Row],[Product ID]],SKU[],10,0)</f>
        <v>Mineral</v>
      </c>
      <c r="AG528" s="206" t="str">
        <f>VLOOKUP(Primary_Order[[#This Row],[Product ID]],SKU[],9,0)</f>
        <v>MCO</v>
      </c>
      <c r="AH528" s="206" t="str">
        <f>VLOOKUP(Primary_Order[[#This Row],[Product ID]],SKU[],12,0)</f>
        <v>10W40</v>
      </c>
      <c r="AI528" s="206" t="str">
        <f>VLOOKUP(Primary_Order[[#This Row],[Product ID]],SKU[],13,0)</f>
        <v>3000</v>
      </c>
      <c r="AJ528" s="233">
        <f>VLOOKUP(Primary_Order[[#This Row],[Product ID]],SKU[[SKU ID]:[Bottle Size(Ltr)]],6,0)*Primary_Order[[#This Row],[Free Quantity]]</f>
        <v>0</v>
      </c>
      <c r="AK528" s="206" t="str">
        <f>VLOOKUP(Primary_Order[[#This Row],[Product ID]],SKU[[SKU ID]:[Bottle Size(Ltr)]],4,0)</f>
        <v>20x1L</v>
      </c>
      <c r="AL528" s="231">
        <f>VLOOKUP(Primary_Order[[#This Row],[Product ID]],SKU[],14,0)*Primary_Order[[#This Row],[Total Qty]]</f>
        <v>38485</v>
      </c>
      <c r="AM528" s="231">
        <f>IF(Primary_Order[[#This Row],[Cost]]=0,0,Primary_Order[[#This Row],[Net Total(-15%)]]-Primary_Order[[#This Row],[Cost]])</f>
        <v>6297.6086956521758</v>
      </c>
      <c r="AN528" s="206" t="str">
        <f>"O-"&amp;Primary_Order[[#This Row],[Date]]&amp;"-"&amp;Primary_Order[[#This Row],[MMD ID]]</f>
        <v>O-45768-D-0006</v>
      </c>
      <c r="AO528" s="206" t="str" cm="1">
        <f t="array" ref="AO52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29" spans="1:41" x14ac:dyDescent="0.5">
      <c r="A529" s="206" t="s">
        <v>1445</v>
      </c>
      <c r="B529" s="230">
        <v>45768</v>
      </c>
      <c r="C529" s="206" t="s">
        <v>90</v>
      </c>
      <c r="D529" s="206" t="s">
        <v>91</v>
      </c>
      <c r="E529" s="206" t="s">
        <v>93</v>
      </c>
      <c r="F529" s="206" t="s">
        <v>50</v>
      </c>
      <c r="G529" s="206" t="s">
        <v>39</v>
      </c>
      <c r="H529" s="206" t="s">
        <v>40</v>
      </c>
      <c r="I529" s="206" t="s">
        <v>91</v>
      </c>
      <c r="J529" s="206" t="s">
        <v>93</v>
      </c>
      <c r="K529" s="206" t="s">
        <v>35</v>
      </c>
      <c r="L529" s="206" t="str">
        <f>VLOOKUP(Primary_Order[[#This Row],[Product ID]],SKU[],3,0)</f>
        <v>51004T 10W30 ESTER</v>
      </c>
      <c r="M529" s="231">
        <v>24</v>
      </c>
      <c r="N529" s="231">
        <v>860</v>
      </c>
      <c r="O529" s="231">
        <v>24</v>
      </c>
      <c r="P529" s="232">
        <v>4.6511627906976716E-2</v>
      </c>
      <c r="Q529" s="231">
        <v>0</v>
      </c>
      <c r="R529" s="231">
        <v>820</v>
      </c>
      <c r="S529" s="231">
        <v>24</v>
      </c>
      <c r="T529" s="231">
        <v>24</v>
      </c>
      <c r="U529" s="231">
        <v>20640</v>
      </c>
      <c r="V529" s="231">
        <v>0</v>
      </c>
      <c r="W529" s="231">
        <v>19680</v>
      </c>
      <c r="X529" s="231">
        <v>2566.9565217391305</v>
      </c>
      <c r="Y529" s="231">
        <v>17113.043478260868</v>
      </c>
      <c r="Z529" s="206" t="s">
        <v>882</v>
      </c>
      <c r="AA529" s="206">
        <v>706</v>
      </c>
      <c r="AB529" s="206" t="s">
        <v>1170</v>
      </c>
      <c r="AC529" s="230">
        <v>45769</v>
      </c>
      <c r="AD529" s="206" t="s">
        <v>50</v>
      </c>
      <c r="AE529" s="206" t="str">
        <f>IFERROR(VLOOKUP(Primary_Order[[#This Row],[AM]],SP!$E$19:$F$23,2,0),Primary_Order[[#This Row],[AM]])</f>
        <v>Central</v>
      </c>
      <c r="AF529" s="206" t="str">
        <f>VLOOKUP(Primary_Order[[#This Row],[Product ID]],SKU[],10,0)</f>
        <v>Technosynthese</v>
      </c>
      <c r="AG529" s="206" t="str">
        <f>VLOOKUP(Primary_Order[[#This Row],[Product ID]],SKU[],9,0)</f>
        <v>MCO</v>
      </c>
      <c r="AH529" s="206" t="str">
        <f>VLOOKUP(Primary_Order[[#This Row],[Product ID]],SKU[],12,0)</f>
        <v>10W30</v>
      </c>
      <c r="AI529" s="206" t="str">
        <f>VLOOKUP(Primary_Order[[#This Row],[Product ID]],SKU[],13,0)</f>
        <v>5100</v>
      </c>
      <c r="AJ529" s="233">
        <f>VLOOKUP(Primary_Order[[#This Row],[Product ID]],SKU[[SKU ID]:[Bottle Size(Ltr)]],6,0)*Primary_Order[[#This Row],[Free Quantity]]</f>
        <v>0</v>
      </c>
      <c r="AK529" s="206" t="str">
        <f>VLOOKUP(Primary_Order[[#This Row],[Product ID]],SKU[[SKU ID]:[Bottle Size(Ltr)]],4,0)</f>
        <v>12x1L</v>
      </c>
      <c r="AL529" s="231">
        <f>VLOOKUP(Primary_Order[[#This Row],[Product ID]],SKU[],14,0)*Primary_Order[[#This Row],[Total Qty]]</f>
        <v>14463.36</v>
      </c>
      <c r="AM529" s="231">
        <f>IF(Primary_Order[[#This Row],[Cost]]=0,0,Primary_Order[[#This Row],[Net Total(-15%)]]-Primary_Order[[#This Row],[Cost]])</f>
        <v>2649.6834782608676</v>
      </c>
      <c r="AN529" s="206" t="str">
        <f>"O-"&amp;Primary_Order[[#This Row],[Date]]&amp;"-"&amp;Primary_Order[[#This Row],[MMD ID]]</f>
        <v>O-45768-D-0006</v>
      </c>
      <c r="AO529" s="206" t="str" cm="1">
        <f t="array" ref="AO52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0" spans="1:41" x14ac:dyDescent="0.5">
      <c r="A530" s="206" t="s">
        <v>1445</v>
      </c>
      <c r="B530" s="230">
        <v>45768</v>
      </c>
      <c r="C530" s="206" t="s">
        <v>90</v>
      </c>
      <c r="D530" s="206" t="s">
        <v>91</v>
      </c>
      <c r="E530" s="206" t="s">
        <v>93</v>
      </c>
      <c r="F530" s="206" t="s">
        <v>50</v>
      </c>
      <c r="G530" s="206" t="s">
        <v>39</v>
      </c>
      <c r="H530" s="206" t="s">
        <v>40</v>
      </c>
      <c r="I530" s="206" t="s">
        <v>91</v>
      </c>
      <c r="J530" s="206" t="s">
        <v>93</v>
      </c>
      <c r="K530" s="206" t="s">
        <v>36</v>
      </c>
      <c r="L530" s="206" t="str">
        <f>VLOOKUP(Primary_Order[[#This Row],[Product ID]],SKU[],3,0)</f>
        <v>51004T 10W40 ESTER</v>
      </c>
      <c r="M530" s="231">
        <v>60</v>
      </c>
      <c r="N530" s="231">
        <v>860</v>
      </c>
      <c r="O530" s="231">
        <v>60</v>
      </c>
      <c r="P530" s="232">
        <v>4.6511627906976716E-2</v>
      </c>
      <c r="Q530" s="231">
        <v>0</v>
      </c>
      <c r="R530" s="231">
        <v>820</v>
      </c>
      <c r="S530" s="231">
        <v>60</v>
      </c>
      <c r="T530" s="231">
        <v>60</v>
      </c>
      <c r="U530" s="231">
        <v>51600</v>
      </c>
      <c r="V530" s="231">
        <v>0</v>
      </c>
      <c r="W530" s="231">
        <v>49200</v>
      </c>
      <c r="X530" s="231">
        <v>6417.391304347826</v>
      </c>
      <c r="Y530" s="231">
        <v>42782.608695652176</v>
      </c>
      <c r="Z530" s="206" t="s">
        <v>882</v>
      </c>
      <c r="AA530" s="206">
        <v>706</v>
      </c>
      <c r="AB530" s="206" t="s">
        <v>1170</v>
      </c>
      <c r="AC530" s="230">
        <v>45769</v>
      </c>
      <c r="AD530" s="206" t="s">
        <v>50</v>
      </c>
      <c r="AE530" s="206" t="str">
        <f>IFERROR(VLOOKUP(Primary_Order[[#This Row],[AM]],SP!$E$19:$F$23,2,0),Primary_Order[[#This Row],[AM]])</f>
        <v>Central</v>
      </c>
      <c r="AF530" s="206" t="str">
        <f>VLOOKUP(Primary_Order[[#This Row],[Product ID]],SKU[],10,0)</f>
        <v>Technosynthese</v>
      </c>
      <c r="AG530" s="206" t="str">
        <f>VLOOKUP(Primary_Order[[#This Row],[Product ID]],SKU[],9,0)</f>
        <v>MCO</v>
      </c>
      <c r="AH530" s="206" t="str">
        <f>VLOOKUP(Primary_Order[[#This Row],[Product ID]],SKU[],12,0)</f>
        <v>10W40</v>
      </c>
      <c r="AI530" s="206" t="str">
        <f>VLOOKUP(Primary_Order[[#This Row],[Product ID]],SKU[],13,0)</f>
        <v>5100</v>
      </c>
      <c r="AJ530" s="233">
        <f>VLOOKUP(Primary_Order[[#This Row],[Product ID]],SKU[[SKU ID]:[Bottle Size(Ltr)]],6,0)*Primary_Order[[#This Row],[Free Quantity]]</f>
        <v>0</v>
      </c>
      <c r="AK530" s="206" t="str">
        <f>VLOOKUP(Primary_Order[[#This Row],[Product ID]],SKU[[SKU ID]:[Bottle Size(Ltr)]],4,0)</f>
        <v>12x1L</v>
      </c>
      <c r="AL530" s="231">
        <f>VLOOKUP(Primary_Order[[#This Row],[Product ID]],SKU[],14,0)*Primary_Order[[#This Row],[Total Qty]]</f>
        <v>36499.800000000003</v>
      </c>
      <c r="AM530" s="231">
        <f>IF(Primary_Order[[#This Row],[Cost]]=0,0,Primary_Order[[#This Row],[Net Total(-15%)]]-Primary_Order[[#This Row],[Cost]])</f>
        <v>6282.8086956521729</v>
      </c>
      <c r="AN530" s="206" t="str">
        <f>"O-"&amp;Primary_Order[[#This Row],[Date]]&amp;"-"&amp;Primary_Order[[#This Row],[MMD ID]]</f>
        <v>O-45768-D-0006</v>
      </c>
      <c r="AO530" s="206" t="str" cm="1">
        <f t="array" ref="AO53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1" spans="1:41" x14ac:dyDescent="0.5">
      <c r="A531" s="206" t="s">
        <v>1445</v>
      </c>
      <c r="B531" s="230">
        <v>45768</v>
      </c>
      <c r="C531" s="206" t="s">
        <v>90</v>
      </c>
      <c r="D531" s="206" t="s">
        <v>91</v>
      </c>
      <c r="E531" s="206" t="s">
        <v>93</v>
      </c>
      <c r="F531" s="206" t="s">
        <v>50</v>
      </c>
      <c r="G531" s="206" t="s">
        <v>39</v>
      </c>
      <c r="H531" s="206" t="s">
        <v>40</v>
      </c>
      <c r="I531" s="206" t="s">
        <v>91</v>
      </c>
      <c r="J531" s="206" t="s">
        <v>93</v>
      </c>
      <c r="K531" s="206" t="s">
        <v>56</v>
      </c>
      <c r="L531" s="206" t="str">
        <f>VLOOKUP(Primary_Order[[#This Row],[Product ID]],SKU[],3,0)</f>
        <v>7100 4T 10W30 ESTER CORE®</v>
      </c>
      <c r="M531" s="231">
        <v>60</v>
      </c>
      <c r="N531" s="231">
        <v>1080</v>
      </c>
      <c r="O531" s="231">
        <v>60</v>
      </c>
      <c r="P531" s="232">
        <v>5.555555555555558E-2</v>
      </c>
      <c r="Q531" s="231">
        <v>0</v>
      </c>
      <c r="R531" s="231">
        <v>1020</v>
      </c>
      <c r="S531" s="231">
        <v>60</v>
      </c>
      <c r="T531" s="231">
        <v>60</v>
      </c>
      <c r="U531" s="231">
        <v>64800</v>
      </c>
      <c r="V531" s="231">
        <v>0</v>
      </c>
      <c r="W531" s="231">
        <v>61200</v>
      </c>
      <c r="X531" s="231">
        <v>7982.608695652174</v>
      </c>
      <c r="Y531" s="231">
        <v>53217.391304347824</v>
      </c>
      <c r="Z531" s="206" t="s">
        <v>882</v>
      </c>
      <c r="AA531" s="206">
        <v>706</v>
      </c>
      <c r="AB531" s="206" t="s">
        <v>1170</v>
      </c>
      <c r="AC531" s="230">
        <v>45769</v>
      </c>
      <c r="AD531" s="206" t="s">
        <v>50</v>
      </c>
      <c r="AE531" s="206" t="str">
        <f>IFERROR(VLOOKUP(Primary_Order[[#This Row],[AM]],SP!$E$19:$F$23,2,0),Primary_Order[[#This Row],[AM]])</f>
        <v>Central</v>
      </c>
      <c r="AF531" s="206" t="str">
        <f>VLOOKUP(Primary_Order[[#This Row],[Product ID]],SKU[],10,0)</f>
        <v>Synthetic</v>
      </c>
      <c r="AG531" s="206" t="str">
        <f>VLOOKUP(Primary_Order[[#This Row],[Product ID]],SKU[],9,0)</f>
        <v>MCO</v>
      </c>
      <c r="AH531" s="206" t="str">
        <f>VLOOKUP(Primary_Order[[#This Row],[Product ID]],SKU[],12,0)</f>
        <v>10W30</v>
      </c>
      <c r="AI531" s="206" t="str">
        <f>VLOOKUP(Primary_Order[[#This Row],[Product ID]],SKU[],13,0)</f>
        <v>7100</v>
      </c>
      <c r="AJ531" s="233">
        <f>VLOOKUP(Primary_Order[[#This Row],[Product ID]],SKU[[SKU ID]:[Bottle Size(Ltr)]],6,0)*Primary_Order[[#This Row],[Free Quantity]]</f>
        <v>0</v>
      </c>
      <c r="AK531" s="206" t="str">
        <f>VLOOKUP(Primary_Order[[#This Row],[Product ID]],SKU[[SKU ID]:[Bottle Size(Ltr)]],4,0)</f>
        <v>12x1L</v>
      </c>
      <c r="AL531" s="231">
        <f>VLOOKUP(Primary_Order[[#This Row],[Product ID]],SKU[],14,0)*Primary_Order[[#This Row],[Total Qty]]</f>
        <v>41391.599999999999</v>
      </c>
      <c r="AM531" s="231">
        <f>IF(Primary_Order[[#This Row],[Cost]]=0,0,Primary_Order[[#This Row],[Net Total(-15%)]]-Primary_Order[[#This Row],[Cost]])</f>
        <v>11825.791304347826</v>
      </c>
      <c r="AN531" s="206" t="str">
        <f>"O-"&amp;Primary_Order[[#This Row],[Date]]&amp;"-"&amp;Primary_Order[[#This Row],[MMD ID]]</f>
        <v>O-45768-D-0006</v>
      </c>
      <c r="AO531" s="206" t="str" cm="1">
        <f t="array" ref="AO53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2" spans="1:41" x14ac:dyDescent="0.5">
      <c r="A532" s="206" t="s">
        <v>1446</v>
      </c>
      <c r="B532" s="230">
        <v>45769</v>
      </c>
      <c r="C532" s="206" t="s">
        <v>133</v>
      </c>
      <c r="D532" s="206" t="s">
        <v>134</v>
      </c>
      <c r="E532" s="206" t="s">
        <v>50</v>
      </c>
      <c r="F532" s="206" t="s">
        <v>50</v>
      </c>
      <c r="G532" s="206" t="s">
        <v>87</v>
      </c>
      <c r="H532" s="206" t="s">
        <v>87</v>
      </c>
      <c r="I532" s="206" t="s">
        <v>134</v>
      </c>
      <c r="J532" s="206" t="s">
        <v>52</v>
      </c>
      <c r="K532" s="206" t="s">
        <v>135</v>
      </c>
      <c r="L532" s="206" t="str">
        <f>VLOOKUP(Primary_Order[[#This Row],[Product ID]],SKU[],3,0)</f>
        <v>Agri Super 15W40</v>
      </c>
      <c r="M532" s="231">
        <v>227</v>
      </c>
      <c r="N532" s="231">
        <v>660</v>
      </c>
      <c r="O532" s="231">
        <v>227</v>
      </c>
      <c r="P532" s="232">
        <v>0.22727272727272729</v>
      </c>
      <c r="Q532" s="231">
        <v>0</v>
      </c>
      <c r="R532" s="231">
        <v>510</v>
      </c>
      <c r="S532" s="231">
        <v>227</v>
      </c>
      <c r="T532" s="231">
        <v>227</v>
      </c>
      <c r="U532" s="231">
        <v>149820</v>
      </c>
      <c r="V532" s="231">
        <v>0</v>
      </c>
      <c r="W532" s="231">
        <v>115770</v>
      </c>
      <c r="X532" s="231">
        <v>15100.434782608696</v>
      </c>
      <c r="Y532" s="231">
        <v>100669.56521739131</v>
      </c>
      <c r="Z532" s="206" t="s">
        <v>882</v>
      </c>
      <c r="AA532" s="206">
        <v>701</v>
      </c>
      <c r="AB532" s="206" t="s">
        <v>1170</v>
      </c>
      <c r="AC532" s="230">
        <v>45769</v>
      </c>
      <c r="AD532" s="206" t="s">
        <v>50</v>
      </c>
      <c r="AE532" s="206" t="str">
        <f>IFERROR(VLOOKUP(Primary_Order[[#This Row],[AM]],SP!$E$19:$F$23,2,0),Primary_Order[[#This Row],[AM]])</f>
        <v>Captive Sales</v>
      </c>
      <c r="AF532" s="206" t="str">
        <f>VLOOKUP(Primary_Order[[#This Row],[Product ID]],SKU[],10,0)</f>
        <v>Mineral</v>
      </c>
      <c r="AG532" s="206" t="str">
        <f>VLOOKUP(Primary_Order[[#This Row],[Product ID]],SKU[],9,0)</f>
        <v>Agri</v>
      </c>
      <c r="AH532" s="206" t="str">
        <f>VLOOKUP(Primary_Order[[#This Row],[Product ID]],SKU[],12,0)</f>
        <v>15W40</v>
      </c>
      <c r="AI532" s="206" t="str">
        <f>VLOOKUP(Primary_Order[[#This Row],[Product ID]],SKU[],13,0)</f>
        <v>Agri</v>
      </c>
      <c r="AJ532" s="233">
        <f>VLOOKUP(Primary_Order[[#This Row],[Product ID]],SKU[[SKU ID]:[Bottle Size(Ltr)]],6,0)*Primary_Order[[#This Row],[Free Quantity]]</f>
        <v>0</v>
      </c>
      <c r="AK532" s="206" t="str">
        <f>VLOOKUP(Primary_Order[[#This Row],[Product ID]],SKU[[SKU ID]:[Bottle Size(Ltr)]],4,0)</f>
        <v>20x1L</v>
      </c>
      <c r="AL532" s="231">
        <f>VLOOKUP(Primary_Order[[#This Row],[Product ID]],SKU[],14,0)*Primary_Order[[#This Row],[Total Qty]]</f>
        <v>90395.94</v>
      </c>
      <c r="AM532" s="231">
        <f>IF(Primary_Order[[#This Row],[Cost]]=0,0,Primary_Order[[#This Row],[Net Total(-15%)]]-Primary_Order[[#This Row],[Cost]])</f>
        <v>10273.625217391309</v>
      </c>
      <c r="AN532" s="206" t="str">
        <f>"O-"&amp;Primary_Order[[#This Row],[Date]]&amp;"-"&amp;Primary_Order[[#This Row],[MMD ID]]</f>
        <v>O-45769-D-0028</v>
      </c>
      <c r="AO532" s="206" t="str" cm="1">
        <f t="array" ref="AO53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3" spans="1:41" x14ac:dyDescent="0.5">
      <c r="A533" s="206" t="s">
        <v>1446</v>
      </c>
      <c r="B533" s="230">
        <v>45769</v>
      </c>
      <c r="C533" s="206" t="s">
        <v>133</v>
      </c>
      <c r="D533" s="206" t="s">
        <v>134</v>
      </c>
      <c r="E533" s="206" t="s">
        <v>50</v>
      </c>
      <c r="F533" s="206" t="s">
        <v>50</v>
      </c>
      <c r="G533" s="206" t="s">
        <v>87</v>
      </c>
      <c r="H533" s="206" t="s">
        <v>87</v>
      </c>
      <c r="I533" s="206" t="s">
        <v>134</v>
      </c>
      <c r="J533" s="206" t="s">
        <v>52</v>
      </c>
      <c r="K533" s="206" t="s">
        <v>136</v>
      </c>
      <c r="L533" s="206" t="str">
        <f>VLOOKUP(Primary_Order[[#This Row],[Product ID]],SKU[],3,0)</f>
        <v>Agri Super 15W40</v>
      </c>
      <c r="M533" s="231">
        <v>30</v>
      </c>
      <c r="N533" s="231">
        <v>3100</v>
      </c>
      <c r="O533" s="231">
        <v>150</v>
      </c>
      <c r="P533" s="232">
        <v>0.1806451612903226</v>
      </c>
      <c r="Q533" s="231">
        <v>0</v>
      </c>
      <c r="R533" s="231">
        <v>2540</v>
      </c>
      <c r="S533" s="231">
        <v>30</v>
      </c>
      <c r="T533" s="231">
        <v>150</v>
      </c>
      <c r="U533" s="231">
        <v>93000</v>
      </c>
      <c r="V533" s="231">
        <v>0</v>
      </c>
      <c r="W533" s="231">
        <v>76200</v>
      </c>
      <c r="X533" s="231">
        <v>9939.1304347826081</v>
      </c>
      <c r="Y533" s="231">
        <v>66260.869565217392</v>
      </c>
      <c r="Z533" s="206" t="s">
        <v>882</v>
      </c>
      <c r="AA533" s="206">
        <v>701</v>
      </c>
      <c r="AB533" s="206" t="s">
        <v>1170</v>
      </c>
      <c r="AC533" s="230">
        <v>45769</v>
      </c>
      <c r="AD533" s="206" t="s">
        <v>50</v>
      </c>
      <c r="AE533" s="206" t="str">
        <f>IFERROR(VLOOKUP(Primary_Order[[#This Row],[AM]],SP!$E$19:$F$23,2,0),Primary_Order[[#This Row],[AM]])</f>
        <v>Captive Sales</v>
      </c>
      <c r="AF533" s="206" t="str">
        <f>VLOOKUP(Primary_Order[[#This Row],[Product ID]],SKU[],10,0)</f>
        <v>Mineral</v>
      </c>
      <c r="AG533" s="206" t="str">
        <f>VLOOKUP(Primary_Order[[#This Row],[Product ID]],SKU[],9,0)</f>
        <v>Agri</v>
      </c>
      <c r="AH533" s="206" t="str">
        <f>VLOOKUP(Primary_Order[[#This Row],[Product ID]],SKU[],12,0)</f>
        <v>15W40</v>
      </c>
      <c r="AI533" s="206" t="str">
        <f>VLOOKUP(Primary_Order[[#This Row],[Product ID]],SKU[],13,0)</f>
        <v>Agri</v>
      </c>
      <c r="AJ533" s="233">
        <f>VLOOKUP(Primary_Order[[#This Row],[Product ID]],SKU[[SKU ID]:[Bottle Size(Ltr)]],6,0)*Primary_Order[[#This Row],[Free Quantity]]</f>
        <v>0</v>
      </c>
      <c r="AK533" s="206" t="str">
        <f>VLOOKUP(Primary_Order[[#This Row],[Product ID]],SKU[[SKU ID]:[Bottle Size(Ltr)]],4,0)</f>
        <v>4x5L</v>
      </c>
      <c r="AL533" s="231">
        <f>VLOOKUP(Primary_Order[[#This Row],[Product ID]],SKU[],14,0)*Primary_Order[[#This Row],[Total Qty]]</f>
        <v>58760.700000000004</v>
      </c>
      <c r="AM533" s="231">
        <f>IF(Primary_Order[[#This Row],[Cost]]=0,0,Primary_Order[[#This Row],[Net Total(-15%)]]-Primary_Order[[#This Row],[Cost]])</f>
        <v>7500.1695652173876</v>
      </c>
      <c r="AN533" s="206" t="str">
        <f>"O-"&amp;Primary_Order[[#This Row],[Date]]&amp;"-"&amp;Primary_Order[[#This Row],[MMD ID]]</f>
        <v>O-45769-D-0028</v>
      </c>
      <c r="AO533" s="206" t="str" cm="1">
        <f t="array" ref="AO53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4" spans="1:41" x14ac:dyDescent="0.5">
      <c r="A534" s="206" t="s">
        <v>1446</v>
      </c>
      <c r="B534" s="230">
        <v>45769</v>
      </c>
      <c r="C534" s="206" t="s">
        <v>133</v>
      </c>
      <c r="D534" s="206" t="s">
        <v>134</v>
      </c>
      <c r="E534" s="206" t="s">
        <v>50</v>
      </c>
      <c r="F534" s="206" t="s">
        <v>50</v>
      </c>
      <c r="G534" s="206" t="s">
        <v>87</v>
      </c>
      <c r="H534" s="206" t="s">
        <v>87</v>
      </c>
      <c r="I534" s="206" t="s">
        <v>134</v>
      </c>
      <c r="J534" s="206" t="s">
        <v>52</v>
      </c>
      <c r="K534" s="206" t="s">
        <v>137</v>
      </c>
      <c r="L534" s="206" t="str">
        <f>VLOOKUP(Primary_Order[[#This Row],[Product ID]],SKU[],3,0)</f>
        <v>Agri Super 15W40</v>
      </c>
      <c r="M534" s="231">
        <v>24</v>
      </c>
      <c r="N534" s="231">
        <v>4613</v>
      </c>
      <c r="O534" s="231">
        <v>180</v>
      </c>
      <c r="P534" s="232">
        <v>0.2000867114675916</v>
      </c>
      <c r="Q534" s="231">
        <v>0</v>
      </c>
      <c r="R534" s="231">
        <v>3690</v>
      </c>
      <c r="S534" s="231">
        <v>24</v>
      </c>
      <c r="T534" s="231">
        <v>180</v>
      </c>
      <c r="U534" s="231">
        <v>110712</v>
      </c>
      <c r="V534" s="231">
        <v>0</v>
      </c>
      <c r="W534" s="231">
        <v>88560</v>
      </c>
      <c r="X534" s="231">
        <v>11551.304347826086</v>
      </c>
      <c r="Y534" s="231">
        <v>77008.695652173919</v>
      </c>
      <c r="Z534" s="206" t="s">
        <v>882</v>
      </c>
      <c r="AA534" s="206">
        <v>701</v>
      </c>
      <c r="AB534" s="206" t="s">
        <v>1170</v>
      </c>
      <c r="AC534" s="230">
        <v>45769</v>
      </c>
      <c r="AD534" s="206" t="s">
        <v>50</v>
      </c>
      <c r="AE534" s="206" t="str">
        <f>IFERROR(VLOOKUP(Primary_Order[[#This Row],[AM]],SP!$E$19:$F$23,2,0),Primary_Order[[#This Row],[AM]])</f>
        <v>Captive Sales</v>
      </c>
      <c r="AF534" s="206" t="str">
        <f>VLOOKUP(Primary_Order[[#This Row],[Product ID]],SKU[],10,0)</f>
        <v>Mineral</v>
      </c>
      <c r="AG534" s="206" t="str">
        <f>VLOOKUP(Primary_Order[[#This Row],[Product ID]],SKU[],9,0)</f>
        <v>Agri</v>
      </c>
      <c r="AH534" s="206" t="str">
        <f>VLOOKUP(Primary_Order[[#This Row],[Product ID]],SKU[],12,0)</f>
        <v>15W40</v>
      </c>
      <c r="AI534" s="206" t="str">
        <f>VLOOKUP(Primary_Order[[#This Row],[Product ID]],SKU[],13,0)</f>
        <v>Agri</v>
      </c>
      <c r="AJ534" s="233">
        <f>VLOOKUP(Primary_Order[[#This Row],[Product ID]],SKU[[SKU ID]:[Bottle Size(Ltr)]],6,0)*Primary_Order[[#This Row],[Free Quantity]]</f>
        <v>0</v>
      </c>
      <c r="AK534" s="206" t="str">
        <f>VLOOKUP(Primary_Order[[#This Row],[Product ID]],SKU[[SKU ID]:[Bottle Size(Ltr)]],4,0)</f>
        <v>7.5L</v>
      </c>
      <c r="AL534" s="231">
        <f>VLOOKUP(Primary_Order[[#This Row],[Product ID]],SKU[],14,0)*Primary_Order[[#This Row],[Total Qty]]</f>
        <v>69786.240000000005</v>
      </c>
      <c r="AM534" s="231">
        <f>IF(Primary_Order[[#This Row],[Cost]]=0,0,Primary_Order[[#This Row],[Net Total(-15%)]]-Primary_Order[[#This Row],[Cost]])</f>
        <v>7222.4556521739141</v>
      </c>
      <c r="AN534" s="206" t="str">
        <f>"O-"&amp;Primary_Order[[#This Row],[Date]]&amp;"-"&amp;Primary_Order[[#This Row],[MMD ID]]</f>
        <v>O-45769-D-0028</v>
      </c>
      <c r="AO534" s="206" t="str" cm="1">
        <f t="array" ref="AO53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5" spans="1:41" x14ac:dyDescent="0.5">
      <c r="A535" s="206" t="s">
        <v>1446</v>
      </c>
      <c r="B535" s="230">
        <v>45769</v>
      </c>
      <c r="C535" s="206" t="s">
        <v>133</v>
      </c>
      <c r="D535" s="206" t="s">
        <v>134</v>
      </c>
      <c r="E535" s="206" t="s">
        <v>50</v>
      </c>
      <c r="F535" s="206" t="s">
        <v>50</v>
      </c>
      <c r="G535" s="206" t="s">
        <v>87</v>
      </c>
      <c r="H535" s="206" t="s">
        <v>87</v>
      </c>
      <c r="I535" s="206" t="s">
        <v>134</v>
      </c>
      <c r="J535" s="206" t="s">
        <v>52</v>
      </c>
      <c r="K535" s="206" t="s">
        <v>138</v>
      </c>
      <c r="L535" s="206" t="str">
        <f>VLOOKUP(Primary_Order[[#This Row],[Product ID]],SKU[],3,0)</f>
        <v>Agri Super 15W40</v>
      </c>
      <c r="M535" s="231">
        <v>48</v>
      </c>
      <c r="N535" s="231">
        <v>6100</v>
      </c>
      <c r="O535" s="231">
        <v>480</v>
      </c>
      <c r="P535" s="232">
        <v>0.19836065573770489</v>
      </c>
      <c r="Q535" s="231">
        <v>0</v>
      </c>
      <c r="R535" s="231">
        <v>4890</v>
      </c>
      <c r="S535" s="231">
        <v>48</v>
      </c>
      <c r="T535" s="231">
        <v>480</v>
      </c>
      <c r="U535" s="231">
        <v>292800</v>
      </c>
      <c r="V535" s="231">
        <v>0</v>
      </c>
      <c r="W535" s="231">
        <v>234720</v>
      </c>
      <c r="X535" s="231">
        <v>30615.652173913044</v>
      </c>
      <c r="Y535" s="231">
        <v>204104.34782608695</v>
      </c>
      <c r="Z535" s="206" t="s">
        <v>882</v>
      </c>
      <c r="AA535" s="206">
        <v>701</v>
      </c>
      <c r="AB535" s="206" t="s">
        <v>1170</v>
      </c>
      <c r="AC535" s="230">
        <v>45769</v>
      </c>
      <c r="AD535" s="206" t="s">
        <v>50</v>
      </c>
      <c r="AE535" s="206" t="str">
        <f>IFERROR(VLOOKUP(Primary_Order[[#This Row],[AM]],SP!$E$19:$F$23,2,0),Primary_Order[[#This Row],[AM]])</f>
        <v>Captive Sales</v>
      </c>
      <c r="AF535" s="206" t="str">
        <f>VLOOKUP(Primary_Order[[#This Row],[Product ID]],SKU[],10,0)</f>
        <v>Mineral</v>
      </c>
      <c r="AG535" s="206" t="str">
        <f>VLOOKUP(Primary_Order[[#This Row],[Product ID]],SKU[],9,0)</f>
        <v>Agri</v>
      </c>
      <c r="AH535" s="206" t="str">
        <f>VLOOKUP(Primary_Order[[#This Row],[Product ID]],SKU[],12,0)</f>
        <v>15W40</v>
      </c>
      <c r="AI535" s="206" t="str">
        <f>VLOOKUP(Primary_Order[[#This Row],[Product ID]],SKU[],13,0)</f>
        <v>Agri</v>
      </c>
      <c r="AJ535" s="233">
        <f>VLOOKUP(Primary_Order[[#This Row],[Product ID]],SKU[[SKU ID]:[Bottle Size(Ltr)]],6,0)*Primary_Order[[#This Row],[Free Quantity]]</f>
        <v>0</v>
      </c>
      <c r="AK535" s="206" t="str">
        <f>VLOOKUP(Primary_Order[[#This Row],[Product ID]],SKU[[SKU ID]:[Bottle Size(Ltr)]],4,0)</f>
        <v>10L</v>
      </c>
      <c r="AL535" s="231">
        <f>VLOOKUP(Primary_Order[[#This Row],[Product ID]],SKU[],14,0)*Primary_Order[[#This Row],[Total Qty]]</f>
        <v>181808.16</v>
      </c>
      <c r="AM535" s="231">
        <f>IF(Primary_Order[[#This Row],[Cost]]=0,0,Primary_Order[[#This Row],[Net Total(-15%)]]-Primary_Order[[#This Row],[Cost]])</f>
        <v>22296.187826086942</v>
      </c>
      <c r="AN535" s="206" t="str">
        <f>"O-"&amp;Primary_Order[[#This Row],[Date]]&amp;"-"&amp;Primary_Order[[#This Row],[MMD ID]]</f>
        <v>O-45769-D-0028</v>
      </c>
      <c r="AO535" s="206" t="str" cm="1">
        <f t="array" ref="AO53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6" spans="1:41" x14ac:dyDescent="0.5">
      <c r="A536" s="206" t="s">
        <v>1447</v>
      </c>
      <c r="B536" s="230">
        <v>45769</v>
      </c>
      <c r="C536" s="206" t="s">
        <v>133</v>
      </c>
      <c r="D536" s="206" t="s">
        <v>134</v>
      </c>
      <c r="E536" s="206" t="s">
        <v>50</v>
      </c>
      <c r="F536" s="206" t="s">
        <v>50</v>
      </c>
      <c r="G536" s="206" t="s">
        <v>87</v>
      </c>
      <c r="H536" s="206" t="s">
        <v>87</v>
      </c>
      <c r="I536" s="206" t="s">
        <v>134</v>
      </c>
      <c r="J536" s="206" t="s">
        <v>52</v>
      </c>
      <c r="K536" s="206" t="s">
        <v>135</v>
      </c>
      <c r="L536" s="206" t="str">
        <f>VLOOKUP(Primary_Order[[#This Row],[Product ID]],SKU[],3,0)</f>
        <v>Agri Super 15W40</v>
      </c>
      <c r="M536" s="231">
        <v>13</v>
      </c>
      <c r="N536" s="231">
        <v>660</v>
      </c>
      <c r="O536" s="231">
        <v>13</v>
      </c>
      <c r="P536" s="232">
        <v>0.22727272727272729</v>
      </c>
      <c r="Q536" s="231">
        <v>0</v>
      </c>
      <c r="R536" s="231">
        <v>510</v>
      </c>
      <c r="S536" s="231">
        <v>13</v>
      </c>
      <c r="T536" s="231">
        <v>13</v>
      </c>
      <c r="U536" s="231">
        <v>8580</v>
      </c>
      <c r="V536" s="231">
        <v>0</v>
      </c>
      <c r="W536" s="231">
        <v>6630</v>
      </c>
      <c r="X536" s="231">
        <v>864.78260869565213</v>
      </c>
      <c r="Y536" s="231">
        <v>5765.217391304348</v>
      </c>
      <c r="Z536" s="206" t="s">
        <v>882</v>
      </c>
      <c r="AA536" s="206">
        <v>702</v>
      </c>
      <c r="AB536" s="206" t="s">
        <v>1170</v>
      </c>
      <c r="AC536" s="230">
        <v>45769</v>
      </c>
      <c r="AD536" s="206" t="s">
        <v>50</v>
      </c>
      <c r="AE536" s="206" t="str">
        <f>IFERROR(VLOOKUP(Primary_Order[[#This Row],[AM]],SP!$E$19:$F$23,2,0),Primary_Order[[#This Row],[AM]])</f>
        <v>Captive Sales</v>
      </c>
      <c r="AF536" s="206" t="str">
        <f>VLOOKUP(Primary_Order[[#This Row],[Product ID]],SKU[],10,0)</f>
        <v>Mineral</v>
      </c>
      <c r="AG536" s="206" t="str">
        <f>VLOOKUP(Primary_Order[[#This Row],[Product ID]],SKU[],9,0)</f>
        <v>Agri</v>
      </c>
      <c r="AH536" s="206" t="str">
        <f>VLOOKUP(Primary_Order[[#This Row],[Product ID]],SKU[],12,0)</f>
        <v>15W40</v>
      </c>
      <c r="AI536" s="206" t="str">
        <f>VLOOKUP(Primary_Order[[#This Row],[Product ID]],SKU[],13,0)</f>
        <v>Agri</v>
      </c>
      <c r="AJ536" s="233">
        <f>VLOOKUP(Primary_Order[[#This Row],[Product ID]],SKU[[SKU ID]:[Bottle Size(Ltr)]],6,0)*Primary_Order[[#This Row],[Free Quantity]]</f>
        <v>0</v>
      </c>
      <c r="AK536" s="206" t="str">
        <f>VLOOKUP(Primary_Order[[#This Row],[Product ID]],SKU[[SKU ID]:[Bottle Size(Ltr)]],4,0)</f>
        <v>20x1L</v>
      </c>
      <c r="AL536" s="231">
        <f>VLOOKUP(Primary_Order[[#This Row],[Product ID]],SKU[],14,0)*Primary_Order[[#This Row],[Total Qty]]</f>
        <v>5176.8600000000006</v>
      </c>
      <c r="AM536" s="231">
        <f>IF(Primary_Order[[#This Row],[Cost]]=0,0,Primary_Order[[#This Row],[Net Total(-15%)]]-Primary_Order[[#This Row],[Cost]])</f>
        <v>588.3573913043474</v>
      </c>
      <c r="AN536" s="206" t="str">
        <f>"O-"&amp;Primary_Order[[#This Row],[Date]]&amp;"-"&amp;Primary_Order[[#This Row],[MMD ID]]</f>
        <v>O-45769-D-0028</v>
      </c>
      <c r="AO536" s="206" t="str" cm="1">
        <f t="array" ref="AO53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7" spans="1:41" x14ac:dyDescent="0.5">
      <c r="A537" s="206" t="s">
        <v>1447</v>
      </c>
      <c r="B537" s="230">
        <v>45769</v>
      </c>
      <c r="C537" s="206" t="s">
        <v>133</v>
      </c>
      <c r="D537" s="206" t="s">
        <v>134</v>
      </c>
      <c r="E537" s="206" t="s">
        <v>50</v>
      </c>
      <c r="F537" s="206" t="s">
        <v>50</v>
      </c>
      <c r="G537" s="206" t="s">
        <v>87</v>
      </c>
      <c r="H537" s="206" t="s">
        <v>87</v>
      </c>
      <c r="I537" s="206" t="s">
        <v>134</v>
      </c>
      <c r="J537" s="206" t="s">
        <v>52</v>
      </c>
      <c r="K537" s="206" t="s">
        <v>136</v>
      </c>
      <c r="L537" s="206" t="str">
        <f>VLOOKUP(Primary_Order[[#This Row],[Product ID]],SKU[],3,0)</f>
        <v>Agri Super 15W40</v>
      </c>
      <c r="M537" s="231">
        <v>30</v>
      </c>
      <c r="N537" s="231">
        <v>3100</v>
      </c>
      <c r="O537" s="231">
        <v>150</v>
      </c>
      <c r="P537" s="232">
        <v>0.1806451612903226</v>
      </c>
      <c r="Q537" s="231">
        <v>0</v>
      </c>
      <c r="R537" s="231">
        <v>2540</v>
      </c>
      <c r="S537" s="231">
        <v>30</v>
      </c>
      <c r="T537" s="231">
        <v>150</v>
      </c>
      <c r="U537" s="231">
        <v>93000</v>
      </c>
      <c r="V537" s="231">
        <v>0</v>
      </c>
      <c r="W537" s="231">
        <v>76200</v>
      </c>
      <c r="X537" s="231">
        <v>9939.1304347826081</v>
      </c>
      <c r="Y537" s="231">
        <v>66260.869565217392</v>
      </c>
      <c r="Z537" s="206" t="s">
        <v>882</v>
      </c>
      <c r="AA537" s="206">
        <v>702</v>
      </c>
      <c r="AB537" s="206" t="s">
        <v>1170</v>
      </c>
      <c r="AC537" s="230">
        <v>45769</v>
      </c>
      <c r="AD537" s="206" t="s">
        <v>50</v>
      </c>
      <c r="AE537" s="206" t="str">
        <f>IFERROR(VLOOKUP(Primary_Order[[#This Row],[AM]],SP!$E$19:$F$23,2,0),Primary_Order[[#This Row],[AM]])</f>
        <v>Captive Sales</v>
      </c>
      <c r="AF537" s="206" t="str">
        <f>VLOOKUP(Primary_Order[[#This Row],[Product ID]],SKU[],10,0)</f>
        <v>Mineral</v>
      </c>
      <c r="AG537" s="206" t="str">
        <f>VLOOKUP(Primary_Order[[#This Row],[Product ID]],SKU[],9,0)</f>
        <v>Agri</v>
      </c>
      <c r="AH537" s="206" t="str">
        <f>VLOOKUP(Primary_Order[[#This Row],[Product ID]],SKU[],12,0)</f>
        <v>15W40</v>
      </c>
      <c r="AI537" s="206" t="str">
        <f>VLOOKUP(Primary_Order[[#This Row],[Product ID]],SKU[],13,0)</f>
        <v>Agri</v>
      </c>
      <c r="AJ537" s="233">
        <f>VLOOKUP(Primary_Order[[#This Row],[Product ID]],SKU[[SKU ID]:[Bottle Size(Ltr)]],6,0)*Primary_Order[[#This Row],[Free Quantity]]</f>
        <v>0</v>
      </c>
      <c r="AK537" s="206" t="str">
        <f>VLOOKUP(Primary_Order[[#This Row],[Product ID]],SKU[[SKU ID]:[Bottle Size(Ltr)]],4,0)</f>
        <v>4x5L</v>
      </c>
      <c r="AL537" s="231">
        <f>VLOOKUP(Primary_Order[[#This Row],[Product ID]],SKU[],14,0)*Primary_Order[[#This Row],[Total Qty]]</f>
        <v>58760.700000000004</v>
      </c>
      <c r="AM537" s="231">
        <f>IF(Primary_Order[[#This Row],[Cost]]=0,0,Primary_Order[[#This Row],[Net Total(-15%)]]-Primary_Order[[#This Row],[Cost]])</f>
        <v>7500.1695652173876</v>
      </c>
      <c r="AN537" s="206" t="str">
        <f>"O-"&amp;Primary_Order[[#This Row],[Date]]&amp;"-"&amp;Primary_Order[[#This Row],[MMD ID]]</f>
        <v>O-45769-D-0028</v>
      </c>
      <c r="AO537" s="206" t="str" cm="1">
        <f t="array" ref="AO53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8" spans="1:41" x14ac:dyDescent="0.5">
      <c r="A538" s="206" t="s">
        <v>1447</v>
      </c>
      <c r="B538" s="230">
        <v>45769</v>
      </c>
      <c r="C538" s="206" t="s">
        <v>133</v>
      </c>
      <c r="D538" s="206" t="s">
        <v>134</v>
      </c>
      <c r="E538" s="206" t="s">
        <v>50</v>
      </c>
      <c r="F538" s="206" t="s">
        <v>50</v>
      </c>
      <c r="G538" s="206" t="s">
        <v>87</v>
      </c>
      <c r="H538" s="206" t="s">
        <v>87</v>
      </c>
      <c r="I538" s="206" t="s">
        <v>134</v>
      </c>
      <c r="J538" s="206" t="s">
        <v>52</v>
      </c>
      <c r="K538" s="206" t="s">
        <v>137</v>
      </c>
      <c r="L538" s="206" t="str">
        <f>VLOOKUP(Primary_Order[[#This Row],[Product ID]],SKU[],3,0)</f>
        <v>Agri Super 15W40</v>
      </c>
      <c r="M538" s="231">
        <v>24</v>
      </c>
      <c r="N538" s="231">
        <v>4613</v>
      </c>
      <c r="O538" s="231">
        <v>180</v>
      </c>
      <c r="P538" s="232">
        <v>0.2000867114675916</v>
      </c>
      <c r="Q538" s="231">
        <v>0</v>
      </c>
      <c r="R538" s="231">
        <v>3690</v>
      </c>
      <c r="S538" s="231">
        <v>24</v>
      </c>
      <c r="T538" s="231">
        <v>180</v>
      </c>
      <c r="U538" s="231">
        <v>110712</v>
      </c>
      <c r="V538" s="231">
        <v>0</v>
      </c>
      <c r="W538" s="231">
        <v>88560</v>
      </c>
      <c r="X538" s="231">
        <v>11551.304347826086</v>
      </c>
      <c r="Y538" s="231">
        <v>77008.695652173919</v>
      </c>
      <c r="Z538" s="206" t="s">
        <v>882</v>
      </c>
      <c r="AA538" s="206">
        <v>702</v>
      </c>
      <c r="AB538" s="206" t="s">
        <v>1170</v>
      </c>
      <c r="AC538" s="230">
        <v>45769</v>
      </c>
      <c r="AD538" s="206" t="s">
        <v>50</v>
      </c>
      <c r="AE538" s="206" t="str">
        <f>IFERROR(VLOOKUP(Primary_Order[[#This Row],[AM]],SP!$E$19:$F$23,2,0),Primary_Order[[#This Row],[AM]])</f>
        <v>Captive Sales</v>
      </c>
      <c r="AF538" s="206" t="str">
        <f>VLOOKUP(Primary_Order[[#This Row],[Product ID]],SKU[],10,0)</f>
        <v>Mineral</v>
      </c>
      <c r="AG538" s="206" t="str">
        <f>VLOOKUP(Primary_Order[[#This Row],[Product ID]],SKU[],9,0)</f>
        <v>Agri</v>
      </c>
      <c r="AH538" s="206" t="str">
        <f>VLOOKUP(Primary_Order[[#This Row],[Product ID]],SKU[],12,0)</f>
        <v>15W40</v>
      </c>
      <c r="AI538" s="206" t="str">
        <f>VLOOKUP(Primary_Order[[#This Row],[Product ID]],SKU[],13,0)</f>
        <v>Agri</v>
      </c>
      <c r="AJ538" s="233">
        <f>VLOOKUP(Primary_Order[[#This Row],[Product ID]],SKU[[SKU ID]:[Bottle Size(Ltr)]],6,0)*Primary_Order[[#This Row],[Free Quantity]]</f>
        <v>0</v>
      </c>
      <c r="AK538" s="206" t="str">
        <f>VLOOKUP(Primary_Order[[#This Row],[Product ID]],SKU[[SKU ID]:[Bottle Size(Ltr)]],4,0)</f>
        <v>7.5L</v>
      </c>
      <c r="AL538" s="231">
        <f>VLOOKUP(Primary_Order[[#This Row],[Product ID]],SKU[],14,0)*Primary_Order[[#This Row],[Total Qty]]</f>
        <v>69786.240000000005</v>
      </c>
      <c r="AM538" s="231">
        <f>IF(Primary_Order[[#This Row],[Cost]]=0,0,Primary_Order[[#This Row],[Net Total(-15%)]]-Primary_Order[[#This Row],[Cost]])</f>
        <v>7222.4556521739141</v>
      </c>
      <c r="AN538" s="206" t="str">
        <f>"O-"&amp;Primary_Order[[#This Row],[Date]]&amp;"-"&amp;Primary_Order[[#This Row],[MMD ID]]</f>
        <v>O-45769-D-0028</v>
      </c>
      <c r="AO538" s="206" t="str" cm="1">
        <f t="array" ref="AO53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39" spans="1:41" x14ac:dyDescent="0.5">
      <c r="A539" s="206" t="s">
        <v>1447</v>
      </c>
      <c r="B539" s="230">
        <v>45769</v>
      </c>
      <c r="C539" s="206" t="s">
        <v>133</v>
      </c>
      <c r="D539" s="206" t="s">
        <v>134</v>
      </c>
      <c r="E539" s="206" t="s">
        <v>50</v>
      </c>
      <c r="F539" s="206" t="s">
        <v>50</v>
      </c>
      <c r="G539" s="206" t="s">
        <v>87</v>
      </c>
      <c r="H539" s="206" t="s">
        <v>87</v>
      </c>
      <c r="I539" s="206" t="s">
        <v>134</v>
      </c>
      <c r="J539" s="206" t="s">
        <v>52</v>
      </c>
      <c r="K539" s="206" t="s">
        <v>138</v>
      </c>
      <c r="L539" s="206" t="str">
        <f>VLOOKUP(Primary_Order[[#This Row],[Product ID]],SKU[],3,0)</f>
        <v>Agri Super 15W40</v>
      </c>
      <c r="M539" s="231">
        <v>48</v>
      </c>
      <c r="N539" s="231">
        <v>6100</v>
      </c>
      <c r="O539" s="231">
        <v>480</v>
      </c>
      <c r="P539" s="232">
        <v>0.19836065573770489</v>
      </c>
      <c r="Q539" s="231">
        <v>0</v>
      </c>
      <c r="R539" s="231">
        <v>4890</v>
      </c>
      <c r="S539" s="231">
        <v>48</v>
      </c>
      <c r="T539" s="231">
        <v>480</v>
      </c>
      <c r="U539" s="231">
        <v>292800</v>
      </c>
      <c r="V539" s="231">
        <v>0</v>
      </c>
      <c r="W539" s="231">
        <v>234720</v>
      </c>
      <c r="X539" s="231">
        <v>30615.652173913044</v>
      </c>
      <c r="Y539" s="231">
        <v>204104.34782608695</v>
      </c>
      <c r="Z539" s="206" t="s">
        <v>882</v>
      </c>
      <c r="AA539" s="206">
        <v>702</v>
      </c>
      <c r="AB539" s="206" t="s">
        <v>1170</v>
      </c>
      <c r="AC539" s="230">
        <v>45769</v>
      </c>
      <c r="AD539" s="206" t="s">
        <v>50</v>
      </c>
      <c r="AE539" s="206" t="str">
        <f>IFERROR(VLOOKUP(Primary_Order[[#This Row],[AM]],SP!$E$19:$F$23,2,0),Primary_Order[[#This Row],[AM]])</f>
        <v>Captive Sales</v>
      </c>
      <c r="AF539" s="206" t="str">
        <f>VLOOKUP(Primary_Order[[#This Row],[Product ID]],SKU[],10,0)</f>
        <v>Mineral</v>
      </c>
      <c r="AG539" s="206" t="str">
        <f>VLOOKUP(Primary_Order[[#This Row],[Product ID]],SKU[],9,0)</f>
        <v>Agri</v>
      </c>
      <c r="AH539" s="206" t="str">
        <f>VLOOKUP(Primary_Order[[#This Row],[Product ID]],SKU[],12,0)</f>
        <v>15W40</v>
      </c>
      <c r="AI539" s="206" t="str">
        <f>VLOOKUP(Primary_Order[[#This Row],[Product ID]],SKU[],13,0)</f>
        <v>Agri</v>
      </c>
      <c r="AJ539" s="233">
        <f>VLOOKUP(Primary_Order[[#This Row],[Product ID]],SKU[[SKU ID]:[Bottle Size(Ltr)]],6,0)*Primary_Order[[#This Row],[Free Quantity]]</f>
        <v>0</v>
      </c>
      <c r="AK539" s="206" t="str">
        <f>VLOOKUP(Primary_Order[[#This Row],[Product ID]],SKU[[SKU ID]:[Bottle Size(Ltr)]],4,0)</f>
        <v>10L</v>
      </c>
      <c r="AL539" s="231">
        <f>VLOOKUP(Primary_Order[[#This Row],[Product ID]],SKU[],14,0)*Primary_Order[[#This Row],[Total Qty]]</f>
        <v>181808.16</v>
      </c>
      <c r="AM539" s="231">
        <f>IF(Primary_Order[[#This Row],[Cost]]=0,0,Primary_Order[[#This Row],[Net Total(-15%)]]-Primary_Order[[#This Row],[Cost]])</f>
        <v>22296.187826086942</v>
      </c>
      <c r="AN539" s="206" t="str">
        <f>"O-"&amp;Primary_Order[[#This Row],[Date]]&amp;"-"&amp;Primary_Order[[#This Row],[MMD ID]]</f>
        <v>O-45769-D-0028</v>
      </c>
      <c r="AO539" s="206" t="str" cm="1">
        <f t="array" ref="AO53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40" spans="1:41" x14ac:dyDescent="0.5">
      <c r="A540" s="206" t="s">
        <v>1448</v>
      </c>
      <c r="B540" s="230">
        <v>45769</v>
      </c>
      <c r="C540" s="206" t="s">
        <v>133</v>
      </c>
      <c r="D540" s="206" t="s">
        <v>134</v>
      </c>
      <c r="E540" s="206" t="s">
        <v>50</v>
      </c>
      <c r="F540" s="206" t="s">
        <v>50</v>
      </c>
      <c r="G540" s="206" t="s">
        <v>87</v>
      </c>
      <c r="H540" s="206" t="s">
        <v>87</v>
      </c>
      <c r="I540" s="206" t="s">
        <v>134</v>
      </c>
      <c r="J540" s="206" t="s">
        <v>52</v>
      </c>
      <c r="K540" s="206" t="s">
        <v>136</v>
      </c>
      <c r="L540" s="206" t="str">
        <f>VLOOKUP(Primary_Order[[#This Row],[Product ID]],SKU[],3,0)</f>
        <v>Agri Super 15W40</v>
      </c>
      <c r="M540" s="231">
        <v>28</v>
      </c>
      <c r="N540" s="231">
        <v>3100</v>
      </c>
      <c r="O540" s="231">
        <v>140</v>
      </c>
      <c r="P540" s="232">
        <v>0.1806451612903226</v>
      </c>
      <c r="Q540" s="231">
        <v>0</v>
      </c>
      <c r="R540" s="231">
        <v>2540</v>
      </c>
      <c r="S540" s="231">
        <v>28</v>
      </c>
      <c r="T540" s="231">
        <v>140</v>
      </c>
      <c r="U540" s="231">
        <v>86800</v>
      </c>
      <c r="V540" s="231">
        <v>0</v>
      </c>
      <c r="W540" s="231">
        <v>71120</v>
      </c>
      <c r="X540" s="231">
        <v>9276.5217391304341</v>
      </c>
      <c r="Y540" s="231">
        <v>61843.478260869568</v>
      </c>
      <c r="Z540" s="206" t="s">
        <v>882</v>
      </c>
      <c r="AA540" s="206">
        <v>703</v>
      </c>
      <c r="AB540" s="206" t="s">
        <v>1170</v>
      </c>
      <c r="AC540" s="230">
        <v>45769</v>
      </c>
      <c r="AD540" s="206" t="s">
        <v>50</v>
      </c>
      <c r="AE540" s="206" t="str">
        <f>IFERROR(VLOOKUP(Primary_Order[[#This Row],[AM]],SP!$E$19:$F$23,2,0),Primary_Order[[#This Row],[AM]])</f>
        <v>Captive Sales</v>
      </c>
      <c r="AF540" s="206" t="str">
        <f>VLOOKUP(Primary_Order[[#This Row],[Product ID]],SKU[],10,0)</f>
        <v>Mineral</v>
      </c>
      <c r="AG540" s="206" t="str">
        <f>VLOOKUP(Primary_Order[[#This Row],[Product ID]],SKU[],9,0)</f>
        <v>Agri</v>
      </c>
      <c r="AH540" s="206" t="str">
        <f>VLOOKUP(Primary_Order[[#This Row],[Product ID]],SKU[],12,0)</f>
        <v>15W40</v>
      </c>
      <c r="AI540" s="206" t="str">
        <f>VLOOKUP(Primary_Order[[#This Row],[Product ID]],SKU[],13,0)</f>
        <v>Agri</v>
      </c>
      <c r="AJ540" s="233">
        <f>VLOOKUP(Primary_Order[[#This Row],[Product ID]],SKU[[SKU ID]:[Bottle Size(Ltr)]],6,0)*Primary_Order[[#This Row],[Free Quantity]]</f>
        <v>0</v>
      </c>
      <c r="AK540" s="206" t="str">
        <f>VLOOKUP(Primary_Order[[#This Row],[Product ID]],SKU[[SKU ID]:[Bottle Size(Ltr)]],4,0)</f>
        <v>4x5L</v>
      </c>
      <c r="AL540" s="231">
        <f>VLOOKUP(Primary_Order[[#This Row],[Product ID]],SKU[],14,0)*Primary_Order[[#This Row],[Total Qty]]</f>
        <v>54843.32</v>
      </c>
      <c r="AM540" s="231">
        <f>IF(Primary_Order[[#This Row],[Cost]]=0,0,Primary_Order[[#This Row],[Net Total(-15%)]]-Primary_Order[[#This Row],[Cost]])</f>
        <v>7000.158260869568</v>
      </c>
      <c r="AN540" s="206" t="str">
        <f>"O-"&amp;Primary_Order[[#This Row],[Date]]&amp;"-"&amp;Primary_Order[[#This Row],[MMD ID]]</f>
        <v>O-45769-D-0028</v>
      </c>
      <c r="AO540" s="206" t="str" cm="1">
        <f t="array" ref="AO54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41" spans="1:41" x14ac:dyDescent="0.5">
      <c r="A541" s="206" t="s">
        <v>1448</v>
      </c>
      <c r="B541" s="230">
        <v>45769</v>
      </c>
      <c r="C541" s="206" t="s">
        <v>133</v>
      </c>
      <c r="D541" s="206" t="s">
        <v>134</v>
      </c>
      <c r="E541" s="206" t="s">
        <v>50</v>
      </c>
      <c r="F541" s="206" t="s">
        <v>50</v>
      </c>
      <c r="G541" s="206" t="s">
        <v>87</v>
      </c>
      <c r="H541" s="206" t="s">
        <v>87</v>
      </c>
      <c r="I541" s="206" t="s">
        <v>134</v>
      </c>
      <c r="J541" s="206" t="s">
        <v>52</v>
      </c>
      <c r="K541" s="206" t="s">
        <v>137</v>
      </c>
      <c r="L541" s="206" t="str">
        <f>VLOOKUP(Primary_Order[[#This Row],[Product ID]],SKU[],3,0)</f>
        <v>Agri Super 15W40</v>
      </c>
      <c r="M541" s="231">
        <v>24</v>
      </c>
      <c r="N541" s="231">
        <v>4613</v>
      </c>
      <c r="O541" s="231">
        <v>180</v>
      </c>
      <c r="P541" s="232">
        <v>0.2000867114675916</v>
      </c>
      <c r="Q541" s="231">
        <v>0</v>
      </c>
      <c r="R541" s="231">
        <v>3690</v>
      </c>
      <c r="S541" s="231">
        <v>24</v>
      </c>
      <c r="T541" s="231">
        <v>180</v>
      </c>
      <c r="U541" s="231">
        <v>110712</v>
      </c>
      <c r="V541" s="231">
        <v>0</v>
      </c>
      <c r="W541" s="231">
        <v>88560</v>
      </c>
      <c r="X541" s="231">
        <v>11551.304347826086</v>
      </c>
      <c r="Y541" s="231">
        <v>77008.695652173919</v>
      </c>
      <c r="Z541" s="206" t="s">
        <v>882</v>
      </c>
      <c r="AA541" s="206">
        <v>703</v>
      </c>
      <c r="AB541" s="206" t="s">
        <v>1170</v>
      </c>
      <c r="AC541" s="230">
        <v>45769</v>
      </c>
      <c r="AD541" s="206" t="s">
        <v>50</v>
      </c>
      <c r="AE541" s="206" t="str">
        <f>IFERROR(VLOOKUP(Primary_Order[[#This Row],[AM]],SP!$E$19:$F$23,2,0),Primary_Order[[#This Row],[AM]])</f>
        <v>Captive Sales</v>
      </c>
      <c r="AF541" s="206" t="str">
        <f>VLOOKUP(Primary_Order[[#This Row],[Product ID]],SKU[],10,0)</f>
        <v>Mineral</v>
      </c>
      <c r="AG541" s="206" t="str">
        <f>VLOOKUP(Primary_Order[[#This Row],[Product ID]],SKU[],9,0)</f>
        <v>Agri</v>
      </c>
      <c r="AH541" s="206" t="str">
        <f>VLOOKUP(Primary_Order[[#This Row],[Product ID]],SKU[],12,0)</f>
        <v>15W40</v>
      </c>
      <c r="AI541" s="206" t="str">
        <f>VLOOKUP(Primary_Order[[#This Row],[Product ID]],SKU[],13,0)</f>
        <v>Agri</v>
      </c>
      <c r="AJ541" s="233">
        <f>VLOOKUP(Primary_Order[[#This Row],[Product ID]],SKU[[SKU ID]:[Bottle Size(Ltr)]],6,0)*Primary_Order[[#This Row],[Free Quantity]]</f>
        <v>0</v>
      </c>
      <c r="AK541" s="206" t="str">
        <f>VLOOKUP(Primary_Order[[#This Row],[Product ID]],SKU[[SKU ID]:[Bottle Size(Ltr)]],4,0)</f>
        <v>7.5L</v>
      </c>
      <c r="AL541" s="231">
        <f>VLOOKUP(Primary_Order[[#This Row],[Product ID]],SKU[],14,0)*Primary_Order[[#This Row],[Total Qty]]</f>
        <v>69786.240000000005</v>
      </c>
      <c r="AM541" s="231">
        <f>IF(Primary_Order[[#This Row],[Cost]]=0,0,Primary_Order[[#This Row],[Net Total(-15%)]]-Primary_Order[[#This Row],[Cost]])</f>
        <v>7222.4556521739141</v>
      </c>
      <c r="AN541" s="206" t="str">
        <f>"O-"&amp;Primary_Order[[#This Row],[Date]]&amp;"-"&amp;Primary_Order[[#This Row],[MMD ID]]</f>
        <v>O-45769-D-0028</v>
      </c>
      <c r="AO541" s="206" t="str" cm="1">
        <f t="array" ref="AO54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42" spans="1:41" x14ac:dyDescent="0.5">
      <c r="A542" s="206" t="s">
        <v>1448</v>
      </c>
      <c r="B542" s="230">
        <v>45769</v>
      </c>
      <c r="C542" s="206" t="s">
        <v>133</v>
      </c>
      <c r="D542" s="206" t="s">
        <v>134</v>
      </c>
      <c r="E542" s="206" t="s">
        <v>50</v>
      </c>
      <c r="F542" s="206" t="s">
        <v>50</v>
      </c>
      <c r="G542" s="206" t="s">
        <v>87</v>
      </c>
      <c r="H542" s="206" t="s">
        <v>87</v>
      </c>
      <c r="I542" s="206" t="s">
        <v>134</v>
      </c>
      <c r="J542" s="206" t="s">
        <v>52</v>
      </c>
      <c r="K542" s="206" t="s">
        <v>138</v>
      </c>
      <c r="L542" s="206" t="str">
        <f>VLOOKUP(Primary_Order[[#This Row],[Product ID]],SKU[],3,0)</f>
        <v>Agri Super 15W40</v>
      </c>
      <c r="M542" s="231">
        <v>48</v>
      </c>
      <c r="N542" s="231">
        <v>6100</v>
      </c>
      <c r="O542" s="231">
        <v>480</v>
      </c>
      <c r="P542" s="232">
        <v>0.19836065573770489</v>
      </c>
      <c r="Q542" s="231">
        <v>0</v>
      </c>
      <c r="R542" s="231">
        <v>4890</v>
      </c>
      <c r="S542" s="231">
        <v>48</v>
      </c>
      <c r="T542" s="231">
        <v>480</v>
      </c>
      <c r="U542" s="231">
        <v>292800</v>
      </c>
      <c r="V542" s="231">
        <v>0</v>
      </c>
      <c r="W542" s="231">
        <v>234720</v>
      </c>
      <c r="X542" s="231">
        <v>30615.652173913044</v>
      </c>
      <c r="Y542" s="231">
        <v>204104.34782608695</v>
      </c>
      <c r="Z542" s="206" t="s">
        <v>882</v>
      </c>
      <c r="AA542" s="206">
        <v>703</v>
      </c>
      <c r="AB542" s="206" t="s">
        <v>1170</v>
      </c>
      <c r="AC542" s="230">
        <v>45769</v>
      </c>
      <c r="AD542" s="206" t="s">
        <v>50</v>
      </c>
      <c r="AE542" s="206" t="str">
        <f>IFERROR(VLOOKUP(Primary_Order[[#This Row],[AM]],SP!$E$19:$F$23,2,0),Primary_Order[[#This Row],[AM]])</f>
        <v>Captive Sales</v>
      </c>
      <c r="AF542" s="206" t="str">
        <f>VLOOKUP(Primary_Order[[#This Row],[Product ID]],SKU[],10,0)</f>
        <v>Mineral</v>
      </c>
      <c r="AG542" s="206" t="str">
        <f>VLOOKUP(Primary_Order[[#This Row],[Product ID]],SKU[],9,0)</f>
        <v>Agri</v>
      </c>
      <c r="AH542" s="206" t="str">
        <f>VLOOKUP(Primary_Order[[#This Row],[Product ID]],SKU[],12,0)</f>
        <v>15W40</v>
      </c>
      <c r="AI542" s="206" t="str">
        <f>VLOOKUP(Primary_Order[[#This Row],[Product ID]],SKU[],13,0)</f>
        <v>Agri</v>
      </c>
      <c r="AJ542" s="233">
        <f>VLOOKUP(Primary_Order[[#This Row],[Product ID]],SKU[[SKU ID]:[Bottle Size(Ltr)]],6,0)*Primary_Order[[#This Row],[Free Quantity]]</f>
        <v>0</v>
      </c>
      <c r="AK542" s="206" t="str">
        <f>VLOOKUP(Primary_Order[[#This Row],[Product ID]],SKU[[SKU ID]:[Bottle Size(Ltr)]],4,0)</f>
        <v>10L</v>
      </c>
      <c r="AL542" s="231">
        <f>VLOOKUP(Primary_Order[[#This Row],[Product ID]],SKU[],14,0)*Primary_Order[[#This Row],[Total Qty]]</f>
        <v>181808.16</v>
      </c>
      <c r="AM542" s="231">
        <f>IF(Primary_Order[[#This Row],[Cost]]=0,0,Primary_Order[[#This Row],[Net Total(-15%)]]-Primary_Order[[#This Row],[Cost]])</f>
        <v>22296.187826086942</v>
      </c>
      <c r="AN542" s="206" t="str">
        <f>"O-"&amp;Primary_Order[[#This Row],[Date]]&amp;"-"&amp;Primary_Order[[#This Row],[MMD ID]]</f>
        <v>O-45769-D-0028</v>
      </c>
      <c r="AO542" s="206" t="str" cm="1">
        <f t="array" ref="AO54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43" spans="1:41" x14ac:dyDescent="0.5">
      <c r="A543" s="206" t="s">
        <v>1465</v>
      </c>
      <c r="B543" s="230">
        <v>45771</v>
      </c>
      <c r="C543" s="206" t="s">
        <v>123</v>
      </c>
      <c r="D543" s="206" t="s">
        <v>124</v>
      </c>
      <c r="E543" s="206" t="s">
        <v>1247</v>
      </c>
      <c r="F543" s="206" t="s">
        <v>50</v>
      </c>
      <c r="G543" s="206" t="s">
        <v>79</v>
      </c>
      <c r="H543" s="206" t="s">
        <v>40</v>
      </c>
      <c r="I543" s="206" t="s">
        <v>124</v>
      </c>
      <c r="J543" s="206" t="s">
        <v>80</v>
      </c>
      <c r="K543" s="206" t="s">
        <v>54</v>
      </c>
      <c r="L543" s="206" t="str">
        <f>VLOOKUP(Primary_Order[[#This Row],[Product ID]],SKU[],3,0)</f>
        <v>3000 4T PLUS 10W40</v>
      </c>
      <c r="M543" s="231">
        <v>3075</v>
      </c>
      <c r="N543" s="231">
        <v>550</v>
      </c>
      <c r="O543" s="231">
        <v>3075</v>
      </c>
      <c r="P543" s="232">
        <v>0.63636363636363635</v>
      </c>
      <c r="Q543" s="231">
        <v>0</v>
      </c>
      <c r="R543" s="231">
        <v>200</v>
      </c>
      <c r="S543" s="231">
        <v>3075</v>
      </c>
      <c r="T543" s="231">
        <v>3075</v>
      </c>
      <c r="U543" s="231">
        <v>1691250</v>
      </c>
      <c r="V543" s="231">
        <v>0</v>
      </c>
      <c r="W543" s="231">
        <v>615000</v>
      </c>
      <c r="X543" s="231">
        <v>80217.391304347824</v>
      </c>
      <c r="Y543" s="231">
        <v>534782.60869565222</v>
      </c>
      <c r="Z543" s="206" t="s">
        <v>882</v>
      </c>
      <c r="AA543" s="206" t="s">
        <v>50</v>
      </c>
      <c r="AB543" s="206" t="s">
        <v>1170</v>
      </c>
      <c r="AC543" s="230" t="s">
        <v>50</v>
      </c>
      <c r="AD543" s="206" t="s">
        <v>1464</v>
      </c>
      <c r="AE543" s="206" t="str">
        <f>IFERROR(VLOOKUP(Primary_Order[[#This Row],[AM]],SP!$E$19:$F$23,2,0),Primary_Order[[#This Row],[AM]])</f>
        <v>Central</v>
      </c>
      <c r="AF543" s="206" t="str">
        <f>VLOOKUP(Primary_Order[[#This Row],[Product ID]],SKU[],10,0)</f>
        <v>Mineral</v>
      </c>
      <c r="AG543" s="206" t="str">
        <f>VLOOKUP(Primary_Order[[#This Row],[Product ID]],SKU[],9,0)</f>
        <v>MCO</v>
      </c>
      <c r="AH543" s="206" t="str">
        <f>VLOOKUP(Primary_Order[[#This Row],[Product ID]],SKU[],12,0)</f>
        <v>10W40</v>
      </c>
      <c r="AI543" s="206" t="str">
        <f>VLOOKUP(Primary_Order[[#This Row],[Product ID]],SKU[],13,0)</f>
        <v>3000</v>
      </c>
      <c r="AJ543" s="233">
        <f>VLOOKUP(Primary_Order[[#This Row],[Product ID]],SKU[[SKU ID]:[Bottle Size(Ltr)]],6,0)*Primary_Order[[#This Row],[Free Quantity]]</f>
        <v>0</v>
      </c>
      <c r="AK543" s="206" t="str">
        <f>VLOOKUP(Primary_Order[[#This Row],[Product ID]],SKU[[SKU ID]:[Bottle Size(Ltr)]],4,0)</f>
        <v>20x1L</v>
      </c>
      <c r="AL543" s="231">
        <f>VLOOKUP(Primary_Order[[#This Row],[Product ID]],SKU[],14,0)*Primary_Order[[#This Row],[Total Qty]]</f>
        <v>1183413.75</v>
      </c>
      <c r="AM543" s="231">
        <f>IF(Primary_Order[[#This Row],[Cost]]=0,0,Primary_Order[[#This Row],[Net Total(-15%)]]-Primary_Order[[#This Row],[Cost]])</f>
        <v>-648631.14130434778</v>
      </c>
      <c r="AN543" s="206" t="str">
        <f>"O-"&amp;Primary_Order[[#This Row],[Date]]&amp;"-"&amp;Primary_Order[[#This Row],[MMD ID]]</f>
        <v>O-45771-D-0015</v>
      </c>
      <c r="AO543" s="206" t="str" cm="1">
        <f t="array" ref="AO54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DMG-Sold</v>
      </c>
    </row>
    <row r="544" spans="1:41" x14ac:dyDescent="0.5">
      <c r="A544" s="206" t="s">
        <v>1470</v>
      </c>
      <c r="B544" s="230">
        <v>45773</v>
      </c>
      <c r="C544" s="206" t="s">
        <v>110</v>
      </c>
      <c r="D544" s="206" t="s">
        <v>1467</v>
      </c>
      <c r="E544" s="206" t="s">
        <v>1468</v>
      </c>
      <c r="F544" s="206" t="s">
        <v>50</v>
      </c>
      <c r="G544" s="206" t="s">
        <v>87</v>
      </c>
      <c r="H544" s="206" t="s">
        <v>87</v>
      </c>
      <c r="I544" s="206" t="s">
        <v>88</v>
      </c>
      <c r="J544" s="206" t="s">
        <v>52</v>
      </c>
      <c r="K544" s="206" t="s">
        <v>54</v>
      </c>
      <c r="L544" s="206" t="str">
        <f>VLOOKUP(Primary_Order[[#This Row],[Product ID]],SKU[],3,0)</f>
        <v>3000 4T PLUS 10W40</v>
      </c>
      <c r="M544" s="231">
        <v>153</v>
      </c>
      <c r="N544" s="231">
        <v>550</v>
      </c>
      <c r="O544" s="231">
        <v>153</v>
      </c>
      <c r="P544" s="232">
        <v>0.6</v>
      </c>
      <c r="Q544" s="231">
        <v>0</v>
      </c>
      <c r="R544" s="231">
        <v>220</v>
      </c>
      <c r="S544" s="231">
        <v>153</v>
      </c>
      <c r="T544" s="231">
        <v>153</v>
      </c>
      <c r="U544" s="231">
        <v>84150</v>
      </c>
      <c r="V544" s="231">
        <v>0</v>
      </c>
      <c r="W544" s="231">
        <v>33660</v>
      </c>
      <c r="X544" s="231">
        <v>4390.434782608696</v>
      </c>
      <c r="Y544" s="231">
        <v>29269.565217391304</v>
      </c>
      <c r="Z544" s="206" t="s">
        <v>882</v>
      </c>
      <c r="AA544" s="206" t="s">
        <v>50</v>
      </c>
      <c r="AB544" s="206" t="s">
        <v>1170</v>
      </c>
      <c r="AC544" s="230" t="s">
        <v>50</v>
      </c>
      <c r="AD544" s="206" t="s">
        <v>1469</v>
      </c>
      <c r="AE544" s="206" t="str">
        <f>IFERROR(VLOOKUP(Primary_Order[[#This Row],[AM]],SP!$E$19:$F$23,2,0),Primary_Order[[#This Row],[AM]])</f>
        <v>Captive Sales</v>
      </c>
      <c r="AF544" s="206" t="str">
        <f>VLOOKUP(Primary_Order[[#This Row],[Product ID]],SKU[],10,0)</f>
        <v>Mineral</v>
      </c>
      <c r="AG544" s="206" t="str">
        <f>VLOOKUP(Primary_Order[[#This Row],[Product ID]],SKU[],9,0)</f>
        <v>MCO</v>
      </c>
      <c r="AH544" s="206" t="str">
        <f>VLOOKUP(Primary_Order[[#This Row],[Product ID]],SKU[],12,0)</f>
        <v>10W40</v>
      </c>
      <c r="AI544" s="206" t="str">
        <f>VLOOKUP(Primary_Order[[#This Row],[Product ID]],SKU[],13,0)</f>
        <v>3000</v>
      </c>
      <c r="AJ544" s="233">
        <f>VLOOKUP(Primary_Order[[#This Row],[Product ID]],SKU[[SKU ID]:[Bottle Size(Ltr)]],6,0)*Primary_Order[[#This Row],[Free Quantity]]</f>
        <v>0</v>
      </c>
      <c r="AK544" s="206" t="str">
        <f>VLOOKUP(Primary_Order[[#This Row],[Product ID]],SKU[[SKU ID]:[Bottle Size(Ltr)]],4,0)</f>
        <v>20x1L</v>
      </c>
      <c r="AL544" s="231">
        <f>VLOOKUP(Primary_Order[[#This Row],[Product ID]],SKU[],14,0)*Primary_Order[[#This Row],[Total Qty]]</f>
        <v>58882.05</v>
      </c>
      <c r="AM544" s="231">
        <f>IF(Primary_Order[[#This Row],[Cost]]=0,0,Primary_Order[[#This Row],[Net Total(-15%)]]-Primary_Order[[#This Row],[Cost]])</f>
        <v>-29612.484782608699</v>
      </c>
      <c r="AN544" s="206" t="str">
        <f>"O-"&amp;Primary_Order[[#This Row],[Date]]&amp;"-"&amp;Primary_Order[[#This Row],[MMD ID]]</f>
        <v>O-45773-D-0025</v>
      </c>
      <c r="AO544" s="206" t="str" cm="1">
        <f t="array" ref="AO54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DMG-Sold</v>
      </c>
    </row>
    <row r="545" spans="1:41" x14ac:dyDescent="0.5">
      <c r="A545" s="206" t="s">
        <v>1471</v>
      </c>
      <c r="B545" s="230">
        <v>45774</v>
      </c>
      <c r="C545" s="206" t="s">
        <v>26</v>
      </c>
      <c r="D545" s="206" t="s">
        <v>1243</v>
      </c>
      <c r="E545" s="206" t="s">
        <v>1449</v>
      </c>
      <c r="F545" s="206" t="s">
        <v>1245</v>
      </c>
      <c r="G545" s="206" t="s">
        <v>27</v>
      </c>
      <c r="H545" s="206" t="s">
        <v>28</v>
      </c>
      <c r="I545" s="206" t="s">
        <v>29</v>
      </c>
      <c r="J545" s="206" t="s">
        <v>30</v>
      </c>
      <c r="K545" s="206" t="s">
        <v>31</v>
      </c>
      <c r="L545" s="206" t="str">
        <f>VLOOKUP(Primary_Order[[#This Row],[Product ID]],SKU[],3,0)</f>
        <v>3000 4T PLUS 10W30</v>
      </c>
      <c r="M545" s="231">
        <v>12</v>
      </c>
      <c r="N545" s="231">
        <v>540</v>
      </c>
      <c r="O545" s="231">
        <v>12</v>
      </c>
      <c r="P545" s="232">
        <v>1</v>
      </c>
      <c r="Q545" s="231">
        <v>0</v>
      </c>
      <c r="R545" s="231">
        <v>0</v>
      </c>
      <c r="S545" s="231">
        <v>12</v>
      </c>
      <c r="T545" s="231">
        <v>12</v>
      </c>
      <c r="U545" s="231">
        <v>6480</v>
      </c>
      <c r="V545" s="231">
        <v>0</v>
      </c>
      <c r="W545" s="231">
        <v>0</v>
      </c>
      <c r="X545" s="231">
        <v>0</v>
      </c>
      <c r="Y545" s="231">
        <v>0</v>
      </c>
      <c r="Z545" s="206" t="s">
        <v>882</v>
      </c>
      <c r="AA545" s="206" t="s">
        <v>50</v>
      </c>
      <c r="AB545" s="206" t="s">
        <v>641</v>
      </c>
      <c r="AC545" s="230" t="s">
        <v>50</v>
      </c>
      <c r="AD545" s="206" t="s">
        <v>1472</v>
      </c>
      <c r="AE545" s="206" t="str">
        <f>IFERROR(VLOOKUP(Primary_Order[[#This Row],[AM]],SP!$E$19:$F$23,2,0),Primary_Order[[#This Row],[AM]])</f>
        <v>Eastern</v>
      </c>
      <c r="AF545" s="206" t="str">
        <f>VLOOKUP(Primary_Order[[#This Row],[Product ID]],SKU[],10,0)</f>
        <v>Mineral</v>
      </c>
      <c r="AG545" s="206" t="str">
        <f>VLOOKUP(Primary_Order[[#This Row],[Product ID]],SKU[],9,0)</f>
        <v>MCO</v>
      </c>
      <c r="AH545" s="206" t="str">
        <f>VLOOKUP(Primary_Order[[#This Row],[Product ID]],SKU[],12,0)</f>
        <v>10W30</v>
      </c>
      <c r="AI545" s="206" t="str">
        <f>VLOOKUP(Primary_Order[[#This Row],[Product ID]],SKU[],13,0)</f>
        <v>3000</v>
      </c>
      <c r="AJ545" s="233">
        <f>VLOOKUP(Primary_Order[[#This Row],[Product ID]],SKU[[SKU ID]:[Bottle Size(Ltr)]],6,0)*Primary_Order[[#This Row],[Free Quantity]]</f>
        <v>0</v>
      </c>
      <c r="AK545" s="206" t="str">
        <f>VLOOKUP(Primary_Order[[#This Row],[Product ID]],SKU[[SKU ID]:[Bottle Size(Ltr)]],4,0)</f>
        <v>20x1L</v>
      </c>
      <c r="AL545" s="231">
        <f>VLOOKUP(Primary_Order[[#This Row],[Product ID]],SKU[],14,0)*Primary_Order[[#This Row],[Total Qty]]</f>
        <v>4551.96</v>
      </c>
      <c r="AM545" s="231">
        <f>IF(Primary_Order[[#This Row],[Cost]]=0,0,Primary_Order[[#This Row],[Net Total(-15%)]]-Primary_Order[[#This Row],[Cost]])</f>
        <v>-4551.96</v>
      </c>
      <c r="AN545" s="206" t="str">
        <f>"O-"&amp;Primary_Order[[#This Row],[Date]]&amp;"-"&amp;Primary_Order[[#This Row],[MMD ID]]</f>
        <v>O-45774-D-0018</v>
      </c>
      <c r="AO545" s="206" t="str" cm="1">
        <f t="array" ref="AO54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46" spans="1:41" x14ac:dyDescent="0.5">
      <c r="A546" s="206" t="s">
        <v>1471</v>
      </c>
      <c r="B546" s="230">
        <v>45774</v>
      </c>
      <c r="C546" s="206" t="s">
        <v>26</v>
      </c>
      <c r="D546" s="206" t="s">
        <v>1243</v>
      </c>
      <c r="E546" s="206" t="s">
        <v>1449</v>
      </c>
      <c r="F546" s="206" t="s">
        <v>1245</v>
      </c>
      <c r="G546" s="206" t="s">
        <v>27</v>
      </c>
      <c r="H546" s="206" t="s">
        <v>28</v>
      </c>
      <c r="I546" s="206" t="s">
        <v>29</v>
      </c>
      <c r="J546" s="206" t="s">
        <v>30</v>
      </c>
      <c r="K546" s="206" t="s">
        <v>53</v>
      </c>
      <c r="L546" s="206" t="str">
        <f>VLOOKUP(Primary_Order[[#This Row],[Product ID]],SKU[],3,0)</f>
        <v>3000 4T PLUS 20W40</v>
      </c>
      <c r="M546" s="231">
        <v>30</v>
      </c>
      <c r="N546" s="231">
        <v>535</v>
      </c>
      <c r="O546" s="231">
        <v>30</v>
      </c>
      <c r="P546" s="232">
        <v>1</v>
      </c>
      <c r="Q546" s="231">
        <v>0</v>
      </c>
      <c r="R546" s="231">
        <v>0</v>
      </c>
      <c r="S546" s="231">
        <v>30</v>
      </c>
      <c r="T546" s="231">
        <v>30</v>
      </c>
      <c r="U546" s="231">
        <v>16050</v>
      </c>
      <c r="V546" s="231">
        <v>0</v>
      </c>
      <c r="W546" s="231">
        <v>0</v>
      </c>
      <c r="X546" s="231">
        <v>0</v>
      </c>
      <c r="Y546" s="231">
        <v>0</v>
      </c>
      <c r="Z546" s="206" t="s">
        <v>882</v>
      </c>
      <c r="AA546" s="206" t="s">
        <v>50</v>
      </c>
      <c r="AB546" s="206" t="s">
        <v>641</v>
      </c>
      <c r="AC546" s="230" t="s">
        <v>50</v>
      </c>
      <c r="AD546" s="206" t="s">
        <v>1472</v>
      </c>
      <c r="AE546" s="206" t="str">
        <f>IFERROR(VLOOKUP(Primary_Order[[#This Row],[AM]],SP!$E$19:$F$23,2,0),Primary_Order[[#This Row],[AM]])</f>
        <v>Eastern</v>
      </c>
      <c r="AF546" s="206" t="str">
        <f>VLOOKUP(Primary_Order[[#This Row],[Product ID]],SKU[],10,0)</f>
        <v>Mineral</v>
      </c>
      <c r="AG546" s="206" t="str">
        <f>VLOOKUP(Primary_Order[[#This Row],[Product ID]],SKU[],9,0)</f>
        <v>MCO</v>
      </c>
      <c r="AH546" s="206" t="str">
        <f>VLOOKUP(Primary_Order[[#This Row],[Product ID]],SKU[],12,0)</f>
        <v>20W40</v>
      </c>
      <c r="AI546" s="206" t="str">
        <f>VLOOKUP(Primary_Order[[#This Row],[Product ID]],SKU[],13,0)</f>
        <v>3000</v>
      </c>
      <c r="AJ546" s="233">
        <f>VLOOKUP(Primary_Order[[#This Row],[Product ID]],SKU[[SKU ID]:[Bottle Size(Ltr)]],6,0)*Primary_Order[[#This Row],[Free Quantity]]</f>
        <v>0</v>
      </c>
      <c r="AK546" s="206" t="str">
        <f>VLOOKUP(Primary_Order[[#This Row],[Product ID]],SKU[[SKU ID]:[Bottle Size(Ltr)]],4,0)</f>
        <v>20x1L</v>
      </c>
      <c r="AL546" s="231">
        <f>VLOOKUP(Primary_Order[[#This Row],[Product ID]],SKU[],14,0)*Primary_Order[[#This Row],[Total Qty]]</f>
        <v>12382.8</v>
      </c>
      <c r="AM546" s="231">
        <f>IF(Primary_Order[[#This Row],[Cost]]=0,0,Primary_Order[[#This Row],[Net Total(-15%)]]-Primary_Order[[#This Row],[Cost]])</f>
        <v>-12382.8</v>
      </c>
      <c r="AN546" s="206" t="str">
        <f>"O-"&amp;Primary_Order[[#This Row],[Date]]&amp;"-"&amp;Primary_Order[[#This Row],[MMD ID]]</f>
        <v>O-45774-D-0018</v>
      </c>
      <c r="AO546" s="206" t="str" cm="1">
        <f t="array" ref="AO54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47" spans="1:41" x14ac:dyDescent="0.5">
      <c r="A547" s="206" t="s">
        <v>1471</v>
      </c>
      <c r="B547" s="230">
        <v>45774</v>
      </c>
      <c r="C547" s="206" t="s">
        <v>26</v>
      </c>
      <c r="D547" s="206" t="s">
        <v>1243</v>
      </c>
      <c r="E547" s="206" t="s">
        <v>1449</v>
      </c>
      <c r="F547" s="206" t="s">
        <v>1245</v>
      </c>
      <c r="G547" s="206" t="s">
        <v>27</v>
      </c>
      <c r="H547" s="206" t="s">
        <v>28</v>
      </c>
      <c r="I547" s="206" t="s">
        <v>29</v>
      </c>
      <c r="J547" s="206" t="s">
        <v>30</v>
      </c>
      <c r="K547" s="206" t="s">
        <v>54</v>
      </c>
      <c r="L547" s="206" t="str">
        <f>VLOOKUP(Primary_Order[[#This Row],[Product ID]],SKU[],3,0)</f>
        <v>3000 4T PLUS 10W40</v>
      </c>
      <c r="M547" s="231">
        <v>37</v>
      </c>
      <c r="N547" s="231">
        <v>550</v>
      </c>
      <c r="O547" s="231">
        <v>37</v>
      </c>
      <c r="P547" s="232">
        <v>1</v>
      </c>
      <c r="Q547" s="231">
        <v>0</v>
      </c>
      <c r="R547" s="231">
        <v>0</v>
      </c>
      <c r="S547" s="231">
        <v>37</v>
      </c>
      <c r="T547" s="231">
        <v>37</v>
      </c>
      <c r="U547" s="231">
        <v>20350</v>
      </c>
      <c r="V547" s="231">
        <v>0</v>
      </c>
      <c r="W547" s="231">
        <v>0</v>
      </c>
      <c r="X547" s="231">
        <v>0</v>
      </c>
      <c r="Y547" s="231">
        <v>0</v>
      </c>
      <c r="Z547" s="206" t="s">
        <v>882</v>
      </c>
      <c r="AA547" s="206" t="s">
        <v>50</v>
      </c>
      <c r="AB547" s="206" t="s">
        <v>641</v>
      </c>
      <c r="AC547" s="230" t="s">
        <v>50</v>
      </c>
      <c r="AD547" s="206" t="s">
        <v>1472</v>
      </c>
      <c r="AE547" s="206" t="str">
        <f>IFERROR(VLOOKUP(Primary_Order[[#This Row],[AM]],SP!$E$19:$F$23,2,0),Primary_Order[[#This Row],[AM]])</f>
        <v>Eastern</v>
      </c>
      <c r="AF547" s="206" t="str">
        <f>VLOOKUP(Primary_Order[[#This Row],[Product ID]],SKU[],10,0)</f>
        <v>Mineral</v>
      </c>
      <c r="AG547" s="206" t="str">
        <f>VLOOKUP(Primary_Order[[#This Row],[Product ID]],SKU[],9,0)</f>
        <v>MCO</v>
      </c>
      <c r="AH547" s="206" t="str">
        <f>VLOOKUP(Primary_Order[[#This Row],[Product ID]],SKU[],12,0)</f>
        <v>10W40</v>
      </c>
      <c r="AI547" s="206" t="str">
        <f>VLOOKUP(Primary_Order[[#This Row],[Product ID]],SKU[],13,0)</f>
        <v>3000</v>
      </c>
      <c r="AJ547" s="233">
        <f>VLOOKUP(Primary_Order[[#This Row],[Product ID]],SKU[[SKU ID]:[Bottle Size(Ltr)]],6,0)*Primary_Order[[#This Row],[Free Quantity]]</f>
        <v>0</v>
      </c>
      <c r="AK547" s="206" t="str">
        <f>VLOOKUP(Primary_Order[[#This Row],[Product ID]],SKU[[SKU ID]:[Bottle Size(Ltr)]],4,0)</f>
        <v>20x1L</v>
      </c>
      <c r="AL547" s="231">
        <f>VLOOKUP(Primary_Order[[#This Row],[Product ID]],SKU[],14,0)*Primary_Order[[#This Row],[Total Qty]]</f>
        <v>14239.45</v>
      </c>
      <c r="AM547" s="231">
        <f>IF(Primary_Order[[#This Row],[Cost]]=0,0,Primary_Order[[#This Row],[Net Total(-15%)]]-Primary_Order[[#This Row],[Cost]])</f>
        <v>-14239.45</v>
      </c>
      <c r="AN547" s="206" t="str">
        <f>"O-"&amp;Primary_Order[[#This Row],[Date]]&amp;"-"&amp;Primary_Order[[#This Row],[MMD ID]]</f>
        <v>O-45774-D-0018</v>
      </c>
      <c r="AO547" s="206" t="str" cm="1">
        <f t="array" ref="AO54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48" spans="1:41" x14ac:dyDescent="0.5">
      <c r="A548" s="206" t="s">
        <v>1471</v>
      </c>
      <c r="B548" s="230">
        <v>45774</v>
      </c>
      <c r="C548" s="206" t="s">
        <v>26</v>
      </c>
      <c r="D548" s="206" t="s">
        <v>1243</v>
      </c>
      <c r="E548" s="206" t="s">
        <v>1449</v>
      </c>
      <c r="F548" s="206" t="s">
        <v>1245</v>
      </c>
      <c r="G548" s="206" t="s">
        <v>27</v>
      </c>
      <c r="H548" s="206" t="s">
        <v>28</v>
      </c>
      <c r="I548" s="206" t="s">
        <v>29</v>
      </c>
      <c r="J548" s="206" t="s">
        <v>30</v>
      </c>
      <c r="K548" s="206" t="s">
        <v>32</v>
      </c>
      <c r="L548" s="206" t="str">
        <f>VLOOKUP(Primary_Order[[#This Row],[Product ID]],SKU[],3,0)</f>
        <v>3000 4T PLUS 10W30</v>
      </c>
      <c r="M548" s="231">
        <v>2</v>
      </c>
      <c r="N548" s="231">
        <v>650</v>
      </c>
      <c r="O548" s="231">
        <v>2.4</v>
      </c>
      <c r="P548" s="232">
        <v>1</v>
      </c>
      <c r="Q548" s="231">
        <v>0</v>
      </c>
      <c r="R548" s="231">
        <v>0</v>
      </c>
      <c r="S548" s="231">
        <v>2</v>
      </c>
      <c r="T548" s="231">
        <v>2.4</v>
      </c>
      <c r="U548" s="231">
        <v>1300</v>
      </c>
      <c r="V548" s="231">
        <v>0</v>
      </c>
      <c r="W548" s="231">
        <v>0</v>
      </c>
      <c r="X548" s="231">
        <v>0</v>
      </c>
      <c r="Y548" s="231">
        <v>0</v>
      </c>
      <c r="Z548" s="206" t="s">
        <v>882</v>
      </c>
      <c r="AA548" s="206" t="s">
        <v>50</v>
      </c>
      <c r="AB548" s="206" t="s">
        <v>641</v>
      </c>
      <c r="AC548" s="230" t="s">
        <v>50</v>
      </c>
      <c r="AD548" s="206" t="s">
        <v>1472</v>
      </c>
      <c r="AE548" s="206" t="str">
        <f>IFERROR(VLOOKUP(Primary_Order[[#This Row],[AM]],SP!$E$19:$F$23,2,0),Primary_Order[[#This Row],[AM]])</f>
        <v>Eastern</v>
      </c>
      <c r="AF548" s="206" t="str">
        <f>VLOOKUP(Primary_Order[[#This Row],[Product ID]],SKU[],10,0)</f>
        <v>Mineral</v>
      </c>
      <c r="AG548" s="206" t="str">
        <f>VLOOKUP(Primary_Order[[#This Row],[Product ID]],SKU[],9,0)</f>
        <v>MCO</v>
      </c>
      <c r="AH548" s="206" t="str">
        <f>VLOOKUP(Primary_Order[[#This Row],[Product ID]],SKU[],12,0)</f>
        <v>10W30</v>
      </c>
      <c r="AI548" s="206" t="str">
        <f>VLOOKUP(Primary_Order[[#This Row],[Product ID]],SKU[],13,0)</f>
        <v>3000</v>
      </c>
      <c r="AJ548" s="233">
        <f>VLOOKUP(Primary_Order[[#This Row],[Product ID]],SKU[[SKU ID]:[Bottle Size(Ltr)]],6,0)*Primary_Order[[#This Row],[Free Quantity]]</f>
        <v>0</v>
      </c>
      <c r="AK548" s="206" t="str">
        <f>VLOOKUP(Primary_Order[[#This Row],[Product ID]],SKU[[SKU ID]:[Bottle Size(Ltr)]],4,0)</f>
        <v>20x1.2L</v>
      </c>
      <c r="AL548" s="231">
        <f>VLOOKUP(Primary_Order[[#This Row],[Product ID]],SKU[],14,0)*Primary_Order[[#This Row],[Total Qty]]</f>
        <v>877.8</v>
      </c>
      <c r="AM548" s="231">
        <f>IF(Primary_Order[[#This Row],[Cost]]=0,0,Primary_Order[[#This Row],[Net Total(-15%)]]-Primary_Order[[#This Row],[Cost]])</f>
        <v>-877.8</v>
      </c>
      <c r="AN548" s="206" t="str">
        <f>"O-"&amp;Primary_Order[[#This Row],[Date]]&amp;"-"&amp;Primary_Order[[#This Row],[MMD ID]]</f>
        <v>O-45774-D-0018</v>
      </c>
      <c r="AO548" s="206" t="str" cm="1">
        <f t="array" ref="AO54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49" spans="1:41" x14ac:dyDescent="0.5">
      <c r="A549" s="206" t="s">
        <v>1471</v>
      </c>
      <c r="B549" s="230">
        <v>45774</v>
      </c>
      <c r="C549" s="206" t="s">
        <v>26</v>
      </c>
      <c r="D549" s="206" t="s">
        <v>1243</v>
      </c>
      <c r="E549" s="206" t="s">
        <v>1449</v>
      </c>
      <c r="F549" s="206" t="s">
        <v>1245</v>
      </c>
      <c r="G549" s="206" t="s">
        <v>27</v>
      </c>
      <c r="H549" s="206" t="s">
        <v>28</v>
      </c>
      <c r="I549" s="206" t="s">
        <v>29</v>
      </c>
      <c r="J549" s="206" t="s">
        <v>30</v>
      </c>
      <c r="K549" s="206" t="s">
        <v>75</v>
      </c>
      <c r="L549" s="206" t="str">
        <f>VLOOKUP(Primary_Order[[#This Row],[Product ID]],SKU[],3,0)</f>
        <v>31004T GOLD 20W50</v>
      </c>
      <c r="M549" s="231">
        <v>28</v>
      </c>
      <c r="N549" s="231">
        <v>600</v>
      </c>
      <c r="O549" s="231">
        <v>28</v>
      </c>
      <c r="P549" s="232">
        <v>1</v>
      </c>
      <c r="Q549" s="231">
        <v>0</v>
      </c>
      <c r="R549" s="231">
        <v>0</v>
      </c>
      <c r="S549" s="231">
        <v>28</v>
      </c>
      <c r="T549" s="231">
        <v>28</v>
      </c>
      <c r="U549" s="231">
        <v>16800</v>
      </c>
      <c r="V549" s="231">
        <v>0</v>
      </c>
      <c r="W549" s="231">
        <v>0</v>
      </c>
      <c r="X549" s="231">
        <v>0</v>
      </c>
      <c r="Y549" s="231">
        <v>0</v>
      </c>
      <c r="Z549" s="206" t="s">
        <v>882</v>
      </c>
      <c r="AA549" s="206" t="s">
        <v>50</v>
      </c>
      <c r="AB549" s="206" t="s">
        <v>641</v>
      </c>
      <c r="AC549" s="230" t="s">
        <v>50</v>
      </c>
      <c r="AD549" s="206" t="s">
        <v>1472</v>
      </c>
      <c r="AE549" s="206" t="str">
        <f>IFERROR(VLOOKUP(Primary_Order[[#This Row],[AM]],SP!$E$19:$F$23,2,0),Primary_Order[[#This Row],[AM]])</f>
        <v>Eastern</v>
      </c>
      <c r="AF549" s="206" t="str">
        <f>VLOOKUP(Primary_Order[[#This Row],[Product ID]],SKU[],10,0)</f>
        <v>Technosynthese</v>
      </c>
      <c r="AG549" s="206" t="str">
        <f>VLOOKUP(Primary_Order[[#This Row],[Product ID]],SKU[],9,0)</f>
        <v>MCO</v>
      </c>
      <c r="AH549" s="206" t="str">
        <f>VLOOKUP(Primary_Order[[#This Row],[Product ID]],SKU[],12,0)</f>
        <v>20W50</v>
      </c>
      <c r="AI549" s="206" t="str">
        <f>VLOOKUP(Primary_Order[[#This Row],[Product ID]],SKU[],13,0)</f>
        <v>3100</v>
      </c>
      <c r="AJ549" s="233">
        <f>VLOOKUP(Primary_Order[[#This Row],[Product ID]],SKU[[SKU ID]:[Bottle Size(Ltr)]],6,0)*Primary_Order[[#This Row],[Free Quantity]]</f>
        <v>0</v>
      </c>
      <c r="AK549" s="206" t="str">
        <f>VLOOKUP(Primary_Order[[#This Row],[Product ID]],SKU[[SKU ID]:[Bottle Size(Ltr)]],4,0)</f>
        <v>20x1L</v>
      </c>
      <c r="AL549" s="231">
        <f>VLOOKUP(Primary_Order[[#This Row],[Product ID]],SKU[],14,0)*Primary_Order[[#This Row],[Total Qty]]</f>
        <v>13142.92</v>
      </c>
      <c r="AM549" s="231">
        <f>IF(Primary_Order[[#This Row],[Cost]]=0,0,Primary_Order[[#This Row],[Net Total(-15%)]]-Primary_Order[[#This Row],[Cost]])</f>
        <v>-13142.92</v>
      </c>
      <c r="AN549" s="206" t="str">
        <f>"O-"&amp;Primary_Order[[#This Row],[Date]]&amp;"-"&amp;Primary_Order[[#This Row],[MMD ID]]</f>
        <v>O-45774-D-0018</v>
      </c>
      <c r="AO549" s="206" t="str" cm="1">
        <f t="array" ref="AO54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0" spans="1:41" x14ac:dyDescent="0.5">
      <c r="A550" s="206" t="s">
        <v>1471</v>
      </c>
      <c r="B550" s="230">
        <v>45774</v>
      </c>
      <c r="C550" s="206" t="s">
        <v>26</v>
      </c>
      <c r="D550" s="206" t="s">
        <v>1243</v>
      </c>
      <c r="E550" s="206" t="s">
        <v>1449</v>
      </c>
      <c r="F550" s="206" t="s">
        <v>1245</v>
      </c>
      <c r="G550" s="206" t="s">
        <v>27</v>
      </c>
      <c r="H550" s="206" t="s">
        <v>28</v>
      </c>
      <c r="I550" s="206" t="s">
        <v>29</v>
      </c>
      <c r="J550" s="206" t="s">
        <v>30</v>
      </c>
      <c r="K550" s="206" t="s">
        <v>56</v>
      </c>
      <c r="L550" s="206" t="str">
        <f>VLOOKUP(Primary_Order[[#This Row],[Product ID]],SKU[],3,0)</f>
        <v>7100 4T 10W30 ESTER CORE®</v>
      </c>
      <c r="M550" s="231">
        <v>1</v>
      </c>
      <c r="N550" s="231">
        <v>1080</v>
      </c>
      <c r="O550" s="231">
        <v>1</v>
      </c>
      <c r="P550" s="232">
        <v>1</v>
      </c>
      <c r="Q550" s="231">
        <v>0</v>
      </c>
      <c r="R550" s="231">
        <v>0</v>
      </c>
      <c r="S550" s="231">
        <v>1</v>
      </c>
      <c r="T550" s="231">
        <v>1</v>
      </c>
      <c r="U550" s="231">
        <v>1080</v>
      </c>
      <c r="V550" s="231">
        <v>0</v>
      </c>
      <c r="W550" s="231">
        <v>0</v>
      </c>
      <c r="X550" s="231">
        <v>0</v>
      </c>
      <c r="Y550" s="231">
        <v>0</v>
      </c>
      <c r="Z550" s="206" t="s">
        <v>882</v>
      </c>
      <c r="AA550" s="206" t="s">
        <v>50</v>
      </c>
      <c r="AB550" s="206" t="s">
        <v>641</v>
      </c>
      <c r="AC550" s="230" t="s">
        <v>50</v>
      </c>
      <c r="AD550" s="206" t="s">
        <v>1472</v>
      </c>
      <c r="AE550" s="206" t="str">
        <f>IFERROR(VLOOKUP(Primary_Order[[#This Row],[AM]],SP!$E$19:$F$23,2,0),Primary_Order[[#This Row],[AM]])</f>
        <v>Eastern</v>
      </c>
      <c r="AF550" s="206" t="str">
        <f>VLOOKUP(Primary_Order[[#This Row],[Product ID]],SKU[],10,0)</f>
        <v>Synthetic</v>
      </c>
      <c r="AG550" s="206" t="str">
        <f>VLOOKUP(Primary_Order[[#This Row],[Product ID]],SKU[],9,0)</f>
        <v>MCO</v>
      </c>
      <c r="AH550" s="206" t="str">
        <f>VLOOKUP(Primary_Order[[#This Row],[Product ID]],SKU[],12,0)</f>
        <v>10W30</v>
      </c>
      <c r="AI550" s="206" t="str">
        <f>VLOOKUP(Primary_Order[[#This Row],[Product ID]],SKU[],13,0)</f>
        <v>7100</v>
      </c>
      <c r="AJ550" s="233">
        <f>VLOOKUP(Primary_Order[[#This Row],[Product ID]],SKU[[SKU ID]:[Bottle Size(Ltr)]],6,0)*Primary_Order[[#This Row],[Free Quantity]]</f>
        <v>0</v>
      </c>
      <c r="AK550" s="206" t="str">
        <f>VLOOKUP(Primary_Order[[#This Row],[Product ID]],SKU[[SKU ID]:[Bottle Size(Ltr)]],4,0)</f>
        <v>12x1L</v>
      </c>
      <c r="AL550" s="231">
        <f>VLOOKUP(Primary_Order[[#This Row],[Product ID]],SKU[],14,0)*Primary_Order[[#This Row],[Total Qty]]</f>
        <v>689.86</v>
      </c>
      <c r="AM550" s="231">
        <f>IF(Primary_Order[[#This Row],[Cost]]=0,0,Primary_Order[[#This Row],[Net Total(-15%)]]-Primary_Order[[#This Row],[Cost]])</f>
        <v>-689.86</v>
      </c>
      <c r="AN550" s="206" t="str">
        <f>"O-"&amp;Primary_Order[[#This Row],[Date]]&amp;"-"&amp;Primary_Order[[#This Row],[MMD ID]]</f>
        <v>O-45774-D-0018</v>
      </c>
      <c r="AO550" s="206" t="str" cm="1">
        <f t="array" ref="AO55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1" spans="1:41" x14ac:dyDescent="0.5">
      <c r="A551" s="206" t="s">
        <v>1471</v>
      </c>
      <c r="B551" s="230">
        <v>45774</v>
      </c>
      <c r="C551" s="206" t="s">
        <v>26</v>
      </c>
      <c r="D551" s="206" t="s">
        <v>1243</v>
      </c>
      <c r="E551" s="206" t="s">
        <v>1449</v>
      </c>
      <c r="F551" s="206" t="s">
        <v>1245</v>
      </c>
      <c r="G551" s="206" t="s">
        <v>27</v>
      </c>
      <c r="H551" s="206" t="s">
        <v>28</v>
      </c>
      <c r="I551" s="206" t="s">
        <v>29</v>
      </c>
      <c r="J551" s="206" t="s">
        <v>30</v>
      </c>
      <c r="K551" s="206" t="s">
        <v>58</v>
      </c>
      <c r="L551" s="206" t="str">
        <f>VLOOKUP(Primary_Order[[#This Row],[Product ID]],SKU[],3,0)</f>
        <v>7100 4T 20W50 ESTER CORE®</v>
      </c>
      <c r="M551" s="231">
        <v>1</v>
      </c>
      <c r="N551" s="231">
        <v>1080</v>
      </c>
      <c r="O551" s="231">
        <v>1</v>
      </c>
      <c r="P551" s="232">
        <v>1</v>
      </c>
      <c r="Q551" s="231">
        <v>0</v>
      </c>
      <c r="R551" s="231">
        <v>0</v>
      </c>
      <c r="S551" s="231">
        <v>1</v>
      </c>
      <c r="T551" s="231">
        <v>1</v>
      </c>
      <c r="U551" s="231">
        <v>1080</v>
      </c>
      <c r="V551" s="231">
        <v>0</v>
      </c>
      <c r="W551" s="231">
        <v>0</v>
      </c>
      <c r="X551" s="231">
        <v>0</v>
      </c>
      <c r="Y551" s="231">
        <v>0</v>
      </c>
      <c r="Z551" s="206" t="s">
        <v>882</v>
      </c>
      <c r="AA551" s="206" t="s">
        <v>50</v>
      </c>
      <c r="AB551" s="206" t="s">
        <v>641</v>
      </c>
      <c r="AC551" s="230" t="s">
        <v>50</v>
      </c>
      <c r="AD551" s="206" t="s">
        <v>1472</v>
      </c>
      <c r="AE551" s="206" t="str">
        <f>IFERROR(VLOOKUP(Primary_Order[[#This Row],[AM]],SP!$E$19:$F$23,2,0),Primary_Order[[#This Row],[AM]])</f>
        <v>Eastern</v>
      </c>
      <c r="AF551" s="206" t="str">
        <f>VLOOKUP(Primary_Order[[#This Row],[Product ID]],SKU[],10,0)</f>
        <v>Synthetic</v>
      </c>
      <c r="AG551" s="206" t="str">
        <f>VLOOKUP(Primary_Order[[#This Row],[Product ID]],SKU[],9,0)</f>
        <v>MCO</v>
      </c>
      <c r="AH551" s="206" t="str">
        <f>VLOOKUP(Primary_Order[[#This Row],[Product ID]],SKU[],12,0)</f>
        <v>20W50</v>
      </c>
      <c r="AI551" s="206" t="str">
        <f>VLOOKUP(Primary_Order[[#This Row],[Product ID]],SKU[],13,0)</f>
        <v>7100</v>
      </c>
      <c r="AJ551" s="233">
        <f>VLOOKUP(Primary_Order[[#This Row],[Product ID]],SKU[[SKU ID]:[Bottle Size(Ltr)]],6,0)*Primary_Order[[#This Row],[Free Quantity]]</f>
        <v>0</v>
      </c>
      <c r="AK551" s="206" t="str">
        <f>VLOOKUP(Primary_Order[[#This Row],[Product ID]],SKU[[SKU ID]:[Bottle Size(Ltr)]],4,0)</f>
        <v>12x1L</v>
      </c>
      <c r="AL551" s="231">
        <f>VLOOKUP(Primary_Order[[#This Row],[Product ID]],SKU[],14,0)*Primary_Order[[#This Row],[Total Qty]]</f>
        <v>763.69839999999999</v>
      </c>
      <c r="AM551" s="231">
        <f>IF(Primary_Order[[#This Row],[Cost]]=0,0,Primary_Order[[#This Row],[Net Total(-15%)]]-Primary_Order[[#This Row],[Cost]])</f>
        <v>-763.69839999999999</v>
      </c>
      <c r="AN551" s="206" t="str">
        <f>"O-"&amp;Primary_Order[[#This Row],[Date]]&amp;"-"&amp;Primary_Order[[#This Row],[MMD ID]]</f>
        <v>O-45774-D-0018</v>
      </c>
      <c r="AO551" s="206" t="str" cm="1">
        <f t="array" ref="AO55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2" spans="1:41" x14ac:dyDescent="0.5">
      <c r="A552" s="206" t="s">
        <v>1471</v>
      </c>
      <c r="B552" s="230">
        <v>45774</v>
      </c>
      <c r="C552" s="206" t="s">
        <v>26</v>
      </c>
      <c r="D552" s="206" t="s">
        <v>1243</v>
      </c>
      <c r="E552" s="206" t="s">
        <v>1449</v>
      </c>
      <c r="F552" s="206" t="s">
        <v>1245</v>
      </c>
      <c r="G552" s="206" t="s">
        <v>27</v>
      </c>
      <c r="H552" s="206" t="s">
        <v>28</v>
      </c>
      <c r="I552" s="206" t="s">
        <v>29</v>
      </c>
      <c r="J552" s="206" t="s">
        <v>30</v>
      </c>
      <c r="K552" s="206" t="s">
        <v>152</v>
      </c>
      <c r="L552" s="206" t="str">
        <f>VLOOKUP(Primary_Order[[#This Row],[Product ID]],SKU[],3,0)</f>
        <v>Inugel Expert Coolant</v>
      </c>
      <c r="M552" s="231">
        <v>1</v>
      </c>
      <c r="N552" s="231">
        <v>425</v>
      </c>
      <c r="O552" s="231">
        <v>1</v>
      </c>
      <c r="P552" s="232">
        <v>1</v>
      </c>
      <c r="Q552" s="231">
        <v>0</v>
      </c>
      <c r="R552" s="231">
        <v>0</v>
      </c>
      <c r="S552" s="231">
        <v>1</v>
      </c>
      <c r="T552" s="231">
        <v>1</v>
      </c>
      <c r="U552" s="231">
        <v>425</v>
      </c>
      <c r="V552" s="231">
        <v>0</v>
      </c>
      <c r="W552" s="231">
        <v>0</v>
      </c>
      <c r="X552" s="231">
        <v>0</v>
      </c>
      <c r="Y552" s="231">
        <v>0</v>
      </c>
      <c r="Z552" s="206" t="s">
        <v>882</v>
      </c>
      <c r="AA552" s="206" t="s">
        <v>50</v>
      </c>
      <c r="AB552" s="206" t="s">
        <v>641</v>
      </c>
      <c r="AC552" s="230" t="s">
        <v>50</v>
      </c>
      <c r="AD552" s="206" t="s">
        <v>1472</v>
      </c>
      <c r="AE552" s="206" t="str">
        <f>IFERROR(VLOOKUP(Primary_Order[[#This Row],[AM]],SP!$E$19:$F$23,2,0),Primary_Order[[#This Row],[AM]])</f>
        <v>Eastern</v>
      </c>
      <c r="AF552" s="206" t="str">
        <f>VLOOKUP(Primary_Order[[#This Row],[Product ID]],SKU[],10,0)</f>
        <v>Care Products</v>
      </c>
      <c r="AG552" s="206" t="str">
        <f>VLOOKUP(Primary_Order[[#This Row],[Product ID]],SKU[],9,0)</f>
        <v>Care Products</v>
      </c>
      <c r="AH552" s="206" t="str">
        <f>VLOOKUP(Primary_Order[[#This Row],[Product ID]],SKU[],12,0)</f>
        <v>Care Products</v>
      </c>
      <c r="AI552" s="206" t="str">
        <f>VLOOKUP(Primary_Order[[#This Row],[Product ID]],SKU[],13,0)</f>
        <v>Coolant</v>
      </c>
      <c r="AJ552" s="233">
        <f>VLOOKUP(Primary_Order[[#This Row],[Product ID]],SKU[[SKU ID]:[Bottle Size(Ltr)]],6,0)*Primary_Order[[#This Row],[Free Quantity]]</f>
        <v>0</v>
      </c>
      <c r="AK552" s="206" t="str">
        <f>VLOOKUP(Primary_Order[[#This Row],[Product ID]],SKU[[SKU ID]:[Bottle Size(Ltr)]],4,0)</f>
        <v>20x1L</v>
      </c>
      <c r="AL552" s="231">
        <f>VLOOKUP(Primary_Order[[#This Row],[Product ID]],SKU[],14,0)*Primary_Order[[#This Row],[Total Qty]]</f>
        <v>230.64</v>
      </c>
      <c r="AM552" s="231">
        <f>IF(Primary_Order[[#This Row],[Cost]]=0,0,Primary_Order[[#This Row],[Net Total(-15%)]]-Primary_Order[[#This Row],[Cost]])</f>
        <v>-230.64</v>
      </c>
      <c r="AN552" s="206" t="str">
        <f>"O-"&amp;Primary_Order[[#This Row],[Date]]&amp;"-"&amp;Primary_Order[[#This Row],[MMD ID]]</f>
        <v>O-45774-D-0018</v>
      </c>
      <c r="AO552" s="206" t="str" cm="1">
        <f t="array" ref="AO55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3" spans="1:41" x14ac:dyDescent="0.5">
      <c r="A553" s="206" t="s">
        <v>1471</v>
      </c>
      <c r="B553" s="230">
        <v>45774</v>
      </c>
      <c r="C553" s="206" t="s">
        <v>26</v>
      </c>
      <c r="D553" s="206" t="s">
        <v>1243</v>
      </c>
      <c r="E553" s="206" t="s">
        <v>1449</v>
      </c>
      <c r="F553" s="206" t="s">
        <v>1245</v>
      </c>
      <c r="G553" s="206" t="s">
        <v>27</v>
      </c>
      <c r="H553" s="206" t="s">
        <v>28</v>
      </c>
      <c r="I553" s="206" t="s">
        <v>29</v>
      </c>
      <c r="J553" s="206" t="s">
        <v>30</v>
      </c>
      <c r="K553" s="206" t="s">
        <v>143</v>
      </c>
      <c r="L553" s="206" t="str">
        <f>VLOOKUP(Primary_Order[[#This Row],[Product ID]],SKU[],3,0)</f>
        <v>Run 4T 20W50</v>
      </c>
      <c r="M553" s="231">
        <v>8</v>
      </c>
      <c r="N553" s="231">
        <v>0</v>
      </c>
      <c r="O553" s="231">
        <v>8</v>
      </c>
      <c r="P553" s="232" t="s">
        <v>50</v>
      </c>
      <c r="Q553" s="231">
        <v>0</v>
      </c>
      <c r="R553" s="231">
        <v>0</v>
      </c>
      <c r="S553" s="231">
        <v>8</v>
      </c>
      <c r="T553" s="231">
        <v>8</v>
      </c>
      <c r="U553" s="231">
        <v>0</v>
      </c>
      <c r="V553" s="231">
        <v>0</v>
      </c>
      <c r="W553" s="231">
        <v>0</v>
      </c>
      <c r="X553" s="231">
        <v>0</v>
      </c>
      <c r="Y553" s="231">
        <v>0</v>
      </c>
      <c r="Z553" s="206" t="s">
        <v>882</v>
      </c>
      <c r="AA553" s="206" t="s">
        <v>50</v>
      </c>
      <c r="AB553" s="206" t="s">
        <v>641</v>
      </c>
      <c r="AC553" s="230" t="s">
        <v>50</v>
      </c>
      <c r="AD553" s="206" t="s">
        <v>1472</v>
      </c>
      <c r="AE553" s="206" t="str">
        <f>IFERROR(VLOOKUP(Primary_Order[[#This Row],[AM]],SP!$E$19:$F$23,2,0),Primary_Order[[#This Row],[AM]])</f>
        <v>Eastern</v>
      </c>
      <c r="AF553" s="206" t="str">
        <f>VLOOKUP(Primary_Order[[#This Row],[Product ID]],SKU[],10,0)</f>
        <v>Mineral</v>
      </c>
      <c r="AG553" s="206" t="str">
        <f>VLOOKUP(Primary_Order[[#This Row],[Product ID]],SKU[],9,0)</f>
        <v>MCO</v>
      </c>
      <c r="AH553" s="206" t="str">
        <f>VLOOKUP(Primary_Order[[#This Row],[Product ID]],SKU[],12,0)</f>
        <v>20W50</v>
      </c>
      <c r="AI553" s="206" t="str">
        <f>VLOOKUP(Primary_Order[[#This Row],[Product ID]],SKU[],13,0)</f>
        <v xml:space="preserve">Run </v>
      </c>
      <c r="AJ553" s="233">
        <f>VLOOKUP(Primary_Order[[#This Row],[Product ID]],SKU[[SKU ID]:[Bottle Size(Ltr)]],6,0)*Primary_Order[[#This Row],[Free Quantity]]</f>
        <v>0</v>
      </c>
      <c r="AK553" s="206" t="str">
        <f>VLOOKUP(Primary_Order[[#This Row],[Product ID]],SKU[[SKU ID]:[Bottle Size(Ltr)]],4,0)</f>
        <v>20X1L</v>
      </c>
      <c r="AL553" s="231">
        <f>VLOOKUP(Primary_Order[[#This Row],[Product ID]],SKU[],14,0)*Primary_Order[[#This Row],[Total Qty]]</f>
        <v>2747.04</v>
      </c>
      <c r="AM553" s="231">
        <f>IF(Primary_Order[[#This Row],[Cost]]=0,0,Primary_Order[[#This Row],[Net Total(-15%)]]-Primary_Order[[#This Row],[Cost]])</f>
        <v>-2747.04</v>
      </c>
      <c r="AN553" s="206" t="str">
        <f>"O-"&amp;Primary_Order[[#This Row],[Date]]&amp;"-"&amp;Primary_Order[[#This Row],[MMD ID]]</f>
        <v>O-45774-D-0018</v>
      </c>
      <c r="AO553" s="206" t="str" cm="1">
        <f t="array" ref="AO55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4" spans="1:41" x14ac:dyDescent="0.5">
      <c r="A554" s="206" t="s">
        <v>1471</v>
      </c>
      <c r="B554" s="230">
        <v>45774</v>
      </c>
      <c r="C554" s="206" t="s">
        <v>26</v>
      </c>
      <c r="D554" s="206" t="s">
        <v>1243</v>
      </c>
      <c r="E554" s="206" t="s">
        <v>1449</v>
      </c>
      <c r="F554" s="206" t="s">
        <v>1245</v>
      </c>
      <c r="G554" s="206" t="s">
        <v>27</v>
      </c>
      <c r="H554" s="206" t="s">
        <v>28</v>
      </c>
      <c r="I554" s="206" t="s">
        <v>29</v>
      </c>
      <c r="J554" s="206" t="s">
        <v>30</v>
      </c>
      <c r="K554" s="206" t="s">
        <v>48</v>
      </c>
      <c r="L554" s="206" t="str">
        <f>VLOOKUP(Primary_Order[[#This Row],[Product ID]],SKU[],3,0)</f>
        <v>RUN 4T 20W40</v>
      </c>
      <c r="M554" s="231">
        <v>10</v>
      </c>
      <c r="N554" s="231">
        <v>565</v>
      </c>
      <c r="O554" s="231">
        <v>10</v>
      </c>
      <c r="P554" s="232">
        <v>1</v>
      </c>
      <c r="Q554" s="231">
        <v>0</v>
      </c>
      <c r="R554" s="231">
        <v>0</v>
      </c>
      <c r="S554" s="231">
        <v>10</v>
      </c>
      <c r="T554" s="231">
        <v>10</v>
      </c>
      <c r="U554" s="231">
        <v>5650</v>
      </c>
      <c r="V554" s="231">
        <v>0</v>
      </c>
      <c r="W554" s="231">
        <v>0</v>
      </c>
      <c r="X554" s="231">
        <v>0</v>
      </c>
      <c r="Y554" s="231">
        <v>0</v>
      </c>
      <c r="Z554" s="206" t="s">
        <v>882</v>
      </c>
      <c r="AA554" s="206" t="s">
        <v>50</v>
      </c>
      <c r="AB554" s="206" t="s">
        <v>641</v>
      </c>
      <c r="AC554" s="230" t="s">
        <v>50</v>
      </c>
      <c r="AD554" s="206" t="s">
        <v>1472</v>
      </c>
      <c r="AE554" s="206" t="str">
        <f>IFERROR(VLOOKUP(Primary_Order[[#This Row],[AM]],SP!$E$19:$F$23,2,0),Primary_Order[[#This Row],[AM]])</f>
        <v>Eastern</v>
      </c>
      <c r="AF554" s="206" t="str">
        <f>VLOOKUP(Primary_Order[[#This Row],[Product ID]],SKU[],10,0)</f>
        <v>Mineral</v>
      </c>
      <c r="AG554" s="206" t="str">
        <f>VLOOKUP(Primary_Order[[#This Row],[Product ID]],SKU[],9,0)</f>
        <v>MCO</v>
      </c>
      <c r="AH554" s="206" t="str">
        <f>VLOOKUP(Primary_Order[[#This Row],[Product ID]],SKU[],12,0)</f>
        <v>20W40</v>
      </c>
      <c r="AI554" s="206" t="str">
        <f>VLOOKUP(Primary_Order[[#This Row],[Product ID]],SKU[],13,0)</f>
        <v xml:space="preserve">RUN </v>
      </c>
      <c r="AJ554" s="233">
        <f>VLOOKUP(Primary_Order[[#This Row],[Product ID]],SKU[[SKU ID]:[Bottle Size(Ltr)]],6,0)*Primary_Order[[#This Row],[Free Quantity]]</f>
        <v>0</v>
      </c>
      <c r="AK554" s="206" t="str">
        <f>VLOOKUP(Primary_Order[[#This Row],[Product ID]],SKU[[SKU ID]:[Bottle Size(Ltr)]],4,0)</f>
        <v>20x1L</v>
      </c>
      <c r="AL554" s="231">
        <f>VLOOKUP(Primary_Order[[#This Row],[Product ID]],SKU[],14,0)*Primary_Order[[#This Row],[Total Qty]]</f>
        <v>3595.7</v>
      </c>
      <c r="AM554" s="231">
        <f>IF(Primary_Order[[#This Row],[Cost]]=0,0,Primary_Order[[#This Row],[Net Total(-15%)]]-Primary_Order[[#This Row],[Cost]])</f>
        <v>-3595.7</v>
      </c>
      <c r="AN554" s="206" t="str">
        <f>"O-"&amp;Primary_Order[[#This Row],[Date]]&amp;"-"&amp;Primary_Order[[#This Row],[MMD ID]]</f>
        <v>O-45774-D-0018</v>
      </c>
      <c r="AO554" s="206" t="str" cm="1">
        <f t="array" ref="AO55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5" spans="1:41" x14ac:dyDescent="0.5">
      <c r="A555" s="206" t="s">
        <v>1471</v>
      </c>
      <c r="B555" s="230">
        <v>45774</v>
      </c>
      <c r="C555" s="206" t="s">
        <v>26</v>
      </c>
      <c r="D555" s="206" t="s">
        <v>1243</v>
      </c>
      <c r="E555" s="206" t="s">
        <v>1449</v>
      </c>
      <c r="F555" s="206" t="s">
        <v>1245</v>
      </c>
      <c r="G555" s="206" t="s">
        <v>27</v>
      </c>
      <c r="H555" s="206" t="s">
        <v>28</v>
      </c>
      <c r="I555" s="206" t="s">
        <v>29</v>
      </c>
      <c r="J555" s="206" t="s">
        <v>30</v>
      </c>
      <c r="K555" s="206" t="s">
        <v>99</v>
      </c>
      <c r="L555" s="206" t="str">
        <f>VLOOKUP(Primary_Order[[#This Row],[Product ID]],SKU[],3,0)</f>
        <v>3000 4T 20W50</v>
      </c>
      <c r="M555" s="231">
        <v>1</v>
      </c>
      <c r="N555" s="231">
        <v>595</v>
      </c>
      <c r="O555" s="231">
        <v>1.2</v>
      </c>
      <c r="P555" s="232">
        <v>1</v>
      </c>
      <c r="Q555" s="231">
        <v>0</v>
      </c>
      <c r="R555" s="231">
        <v>0</v>
      </c>
      <c r="S555" s="231">
        <v>1</v>
      </c>
      <c r="T555" s="231">
        <v>1.2</v>
      </c>
      <c r="U555" s="231">
        <v>595</v>
      </c>
      <c r="V555" s="231">
        <v>0</v>
      </c>
      <c r="W555" s="231">
        <v>0</v>
      </c>
      <c r="X555" s="231">
        <v>0</v>
      </c>
      <c r="Y555" s="231">
        <v>0</v>
      </c>
      <c r="Z555" s="206" t="s">
        <v>882</v>
      </c>
      <c r="AA555" s="206" t="s">
        <v>50</v>
      </c>
      <c r="AB555" s="206" t="s">
        <v>641</v>
      </c>
      <c r="AC555" s="230" t="s">
        <v>50</v>
      </c>
      <c r="AD555" s="206" t="s">
        <v>1472</v>
      </c>
      <c r="AE555" s="206" t="str">
        <f>IFERROR(VLOOKUP(Primary_Order[[#This Row],[AM]],SP!$E$19:$F$23,2,0),Primary_Order[[#This Row],[AM]])</f>
        <v>Eastern</v>
      </c>
      <c r="AF555" s="206" t="str">
        <f>VLOOKUP(Primary_Order[[#This Row],[Product ID]],SKU[],10,0)</f>
        <v>Mineral</v>
      </c>
      <c r="AG555" s="206" t="str">
        <f>VLOOKUP(Primary_Order[[#This Row],[Product ID]],SKU[],9,0)</f>
        <v>MCO</v>
      </c>
      <c r="AH555" s="206" t="str">
        <f>VLOOKUP(Primary_Order[[#This Row],[Product ID]],SKU[],12,0)</f>
        <v>20W50</v>
      </c>
      <c r="AI555" s="206" t="str">
        <f>VLOOKUP(Primary_Order[[#This Row],[Product ID]],SKU[],13,0)</f>
        <v>3000</v>
      </c>
      <c r="AJ555" s="233">
        <f>VLOOKUP(Primary_Order[[#This Row],[Product ID]],SKU[[SKU ID]:[Bottle Size(Ltr)]],6,0)*Primary_Order[[#This Row],[Free Quantity]]</f>
        <v>0</v>
      </c>
      <c r="AK555" s="206" t="str">
        <f>VLOOKUP(Primary_Order[[#This Row],[Product ID]],SKU[[SKU ID]:[Bottle Size(Ltr)]],4,0)</f>
        <v>20x1.2L</v>
      </c>
      <c r="AL555" s="231">
        <f>VLOOKUP(Primary_Order[[#This Row],[Product ID]],SKU[],14,0)*Primary_Order[[#This Row],[Total Qty]]</f>
        <v>434.61</v>
      </c>
      <c r="AM555" s="231">
        <f>IF(Primary_Order[[#This Row],[Cost]]=0,0,Primary_Order[[#This Row],[Net Total(-15%)]]-Primary_Order[[#This Row],[Cost]])</f>
        <v>-434.61</v>
      </c>
      <c r="AN555" s="206" t="str">
        <f>"O-"&amp;Primary_Order[[#This Row],[Date]]&amp;"-"&amp;Primary_Order[[#This Row],[MMD ID]]</f>
        <v>O-45774-D-0018</v>
      </c>
      <c r="AO555" s="206" t="str" cm="1">
        <f t="array" ref="AO55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Replaced</v>
      </c>
    </row>
    <row r="556" spans="1:41" x14ac:dyDescent="0.5">
      <c r="A556" s="206" t="s">
        <v>1445</v>
      </c>
      <c r="B556" s="230">
        <v>45770</v>
      </c>
      <c r="C556" s="206" t="s">
        <v>26</v>
      </c>
      <c r="D556" s="206" t="s">
        <v>1243</v>
      </c>
      <c r="E556" s="206" t="s">
        <v>1449</v>
      </c>
      <c r="F556" s="206" t="s">
        <v>1245</v>
      </c>
      <c r="G556" s="206" t="s">
        <v>27</v>
      </c>
      <c r="H556" s="206" t="s">
        <v>28</v>
      </c>
      <c r="I556" s="206" t="s">
        <v>29</v>
      </c>
      <c r="J556" s="206" t="s">
        <v>30</v>
      </c>
      <c r="K556" s="206" t="s">
        <v>31</v>
      </c>
      <c r="L556" s="206" t="str">
        <f>VLOOKUP(Primary_Order[[#This Row],[Product ID]],SKU[],3,0)</f>
        <v>3000 4T PLUS 10W30</v>
      </c>
      <c r="M556" s="231">
        <v>500</v>
      </c>
      <c r="N556" s="231">
        <v>525</v>
      </c>
      <c r="O556" s="231">
        <v>500</v>
      </c>
      <c r="P556" s="232">
        <v>0</v>
      </c>
      <c r="Q556" s="231">
        <v>0</v>
      </c>
      <c r="R556" s="231">
        <v>525</v>
      </c>
      <c r="S556" s="231">
        <v>500</v>
      </c>
      <c r="T556" s="231">
        <v>500</v>
      </c>
      <c r="U556" s="231">
        <v>262500</v>
      </c>
      <c r="V556" s="231">
        <v>0</v>
      </c>
      <c r="W556" s="231">
        <v>262500</v>
      </c>
      <c r="X556" s="231">
        <v>34239.130434782608</v>
      </c>
      <c r="Y556" s="231">
        <v>228260.86956521738</v>
      </c>
      <c r="Z556" s="206" t="s">
        <v>882</v>
      </c>
      <c r="AA556" s="206">
        <v>708</v>
      </c>
      <c r="AB556" s="206" t="s">
        <v>641</v>
      </c>
      <c r="AC556" s="230">
        <v>45773</v>
      </c>
      <c r="AD556" s="206" t="s">
        <v>50</v>
      </c>
      <c r="AE556" s="206" t="str">
        <f>IFERROR(VLOOKUP(Primary_Order[[#This Row],[AM]],SP!$E$19:$F$23,2,0),Primary_Order[[#This Row],[AM]])</f>
        <v>Eastern</v>
      </c>
      <c r="AF556" s="206" t="str">
        <f>VLOOKUP(Primary_Order[[#This Row],[Product ID]],SKU[],10,0)</f>
        <v>Mineral</v>
      </c>
      <c r="AG556" s="206" t="str">
        <f>VLOOKUP(Primary_Order[[#This Row],[Product ID]],SKU[],9,0)</f>
        <v>MCO</v>
      </c>
      <c r="AH556" s="206" t="str">
        <f>VLOOKUP(Primary_Order[[#This Row],[Product ID]],SKU[],12,0)</f>
        <v>10W30</v>
      </c>
      <c r="AI556" s="206" t="str">
        <f>VLOOKUP(Primary_Order[[#This Row],[Product ID]],SKU[],13,0)</f>
        <v>3000</v>
      </c>
      <c r="AJ556" s="233">
        <f>VLOOKUP(Primary_Order[[#This Row],[Product ID]],SKU[[SKU ID]:[Bottle Size(Ltr)]],6,0)*Primary_Order[[#This Row],[Free Quantity]]</f>
        <v>0</v>
      </c>
      <c r="AK556" s="206" t="str">
        <f>VLOOKUP(Primary_Order[[#This Row],[Product ID]],SKU[[SKU ID]:[Bottle Size(Ltr)]],4,0)</f>
        <v>20x1L</v>
      </c>
      <c r="AL556" s="231">
        <f>VLOOKUP(Primary_Order[[#This Row],[Product ID]],SKU[],14,0)*Primary_Order[[#This Row],[Total Qty]]</f>
        <v>189665</v>
      </c>
      <c r="AM556" s="231">
        <f>IF(Primary_Order[[#This Row],[Cost]]=0,0,Primary_Order[[#This Row],[Net Total(-15%)]]-Primary_Order[[#This Row],[Cost]])</f>
        <v>38595.869565217377</v>
      </c>
      <c r="AN556" s="206" t="str">
        <f>"O-"&amp;Primary_Order[[#This Row],[Date]]&amp;"-"&amp;Primary_Order[[#This Row],[MMD ID]]</f>
        <v>O-45770-D-0018</v>
      </c>
      <c r="AO556" s="206" t="str" cm="1">
        <f t="array" ref="AO55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57" spans="1:41" x14ac:dyDescent="0.5">
      <c r="A557" s="206" t="s">
        <v>1445</v>
      </c>
      <c r="B557" s="230">
        <v>45770</v>
      </c>
      <c r="C557" s="206" t="s">
        <v>26</v>
      </c>
      <c r="D557" s="206" t="s">
        <v>1243</v>
      </c>
      <c r="E557" s="206" t="s">
        <v>1449</v>
      </c>
      <c r="F557" s="206" t="s">
        <v>1245</v>
      </c>
      <c r="G557" s="206" t="s">
        <v>27</v>
      </c>
      <c r="H557" s="206" t="s">
        <v>28</v>
      </c>
      <c r="I557" s="206" t="s">
        <v>29</v>
      </c>
      <c r="J557" s="206" t="s">
        <v>30</v>
      </c>
      <c r="K557" s="206" t="s">
        <v>54</v>
      </c>
      <c r="L557" s="206" t="str">
        <f>VLOOKUP(Primary_Order[[#This Row],[Product ID]],SKU[],3,0)</f>
        <v>3000 4T PLUS 10W40</v>
      </c>
      <c r="M557" s="231">
        <v>720</v>
      </c>
      <c r="N557" s="231">
        <v>525</v>
      </c>
      <c r="O557" s="231">
        <v>720</v>
      </c>
      <c r="P557" s="232">
        <v>0</v>
      </c>
      <c r="Q557" s="231">
        <v>0</v>
      </c>
      <c r="R557" s="231">
        <v>525</v>
      </c>
      <c r="S557" s="231">
        <v>720</v>
      </c>
      <c r="T557" s="231">
        <v>720</v>
      </c>
      <c r="U557" s="231">
        <v>378000</v>
      </c>
      <c r="V557" s="231">
        <v>0</v>
      </c>
      <c r="W557" s="231">
        <v>378000</v>
      </c>
      <c r="X557" s="231">
        <v>49304.34782608696</v>
      </c>
      <c r="Y557" s="231">
        <v>328695.65217391303</v>
      </c>
      <c r="Z557" s="206" t="s">
        <v>882</v>
      </c>
      <c r="AA557" s="206">
        <v>708</v>
      </c>
      <c r="AB557" s="206" t="s">
        <v>641</v>
      </c>
      <c r="AC557" s="230">
        <v>45773</v>
      </c>
      <c r="AD557" s="206" t="s">
        <v>50</v>
      </c>
      <c r="AE557" s="206" t="str">
        <f>IFERROR(VLOOKUP(Primary_Order[[#This Row],[AM]],SP!$E$19:$F$23,2,0),Primary_Order[[#This Row],[AM]])</f>
        <v>Eastern</v>
      </c>
      <c r="AF557" s="206" t="str">
        <f>VLOOKUP(Primary_Order[[#This Row],[Product ID]],SKU[],10,0)</f>
        <v>Mineral</v>
      </c>
      <c r="AG557" s="206" t="str">
        <f>VLOOKUP(Primary_Order[[#This Row],[Product ID]],SKU[],9,0)</f>
        <v>MCO</v>
      </c>
      <c r="AH557" s="206" t="str">
        <f>VLOOKUP(Primary_Order[[#This Row],[Product ID]],SKU[],12,0)</f>
        <v>10W40</v>
      </c>
      <c r="AI557" s="206" t="str">
        <f>VLOOKUP(Primary_Order[[#This Row],[Product ID]],SKU[],13,0)</f>
        <v>3000</v>
      </c>
      <c r="AJ557" s="233">
        <f>VLOOKUP(Primary_Order[[#This Row],[Product ID]],SKU[[SKU ID]:[Bottle Size(Ltr)]],6,0)*Primary_Order[[#This Row],[Free Quantity]]</f>
        <v>0</v>
      </c>
      <c r="AK557" s="206" t="str">
        <f>VLOOKUP(Primary_Order[[#This Row],[Product ID]],SKU[[SKU ID]:[Bottle Size(Ltr)]],4,0)</f>
        <v>20x1L</v>
      </c>
      <c r="AL557" s="231">
        <f>VLOOKUP(Primary_Order[[#This Row],[Product ID]],SKU[],14,0)*Primary_Order[[#This Row],[Total Qty]]</f>
        <v>277092</v>
      </c>
      <c r="AM557" s="231">
        <f>IF(Primary_Order[[#This Row],[Cost]]=0,0,Primary_Order[[#This Row],[Net Total(-15%)]]-Primary_Order[[#This Row],[Cost]])</f>
        <v>51603.652173913026</v>
      </c>
      <c r="AN557" s="206" t="str">
        <f>"O-"&amp;Primary_Order[[#This Row],[Date]]&amp;"-"&amp;Primary_Order[[#This Row],[MMD ID]]</f>
        <v>O-45770-D-0018</v>
      </c>
      <c r="AO557" s="206" t="str" cm="1">
        <f t="array" ref="AO55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58" spans="1:41" x14ac:dyDescent="0.5">
      <c r="A558" s="206" t="s">
        <v>1445</v>
      </c>
      <c r="B558" s="230">
        <v>45770</v>
      </c>
      <c r="C558" s="206" t="s">
        <v>26</v>
      </c>
      <c r="D558" s="206" t="s">
        <v>1243</v>
      </c>
      <c r="E558" s="206" t="s">
        <v>1449</v>
      </c>
      <c r="F558" s="206" t="s">
        <v>1245</v>
      </c>
      <c r="G558" s="206" t="s">
        <v>27</v>
      </c>
      <c r="H558" s="206" t="s">
        <v>28</v>
      </c>
      <c r="I558" s="206" t="s">
        <v>29</v>
      </c>
      <c r="J558" s="206" t="s">
        <v>30</v>
      </c>
      <c r="K558" s="206" t="s">
        <v>77</v>
      </c>
      <c r="L558" s="206" t="str">
        <f>VLOOKUP(Primary_Order[[#This Row],[Product ID]],SKU[],3,0)</f>
        <v>31004T GOLD 10W30</v>
      </c>
      <c r="M558" s="231">
        <v>100</v>
      </c>
      <c r="N558" s="231">
        <v>540</v>
      </c>
      <c r="O558" s="231">
        <v>100</v>
      </c>
      <c r="P558" s="232">
        <v>0</v>
      </c>
      <c r="Q558" s="231">
        <v>0</v>
      </c>
      <c r="R558" s="231">
        <v>540</v>
      </c>
      <c r="S558" s="231">
        <v>100</v>
      </c>
      <c r="T558" s="231">
        <v>100</v>
      </c>
      <c r="U558" s="231">
        <v>54000</v>
      </c>
      <c r="V558" s="231">
        <v>0</v>
      </c>
      <c r="W558" s="231">
        <v>54000</v>
      </c>
      <c r="X558" s="231">
        <v>7043.478260869565</v>
      </c>
      <c r="Y558" s="231">
        <v>46956.521739130432</v>
      </c>
      <c r="Z558" s="206" t="s">
        <v>882</v>
      </c>
      <c r="AA558" s="206">
        <v>708</v>
      </c>
      <c r="AB558" s="206" t="s">
        <v>641</v>
      </c>
      <c r="AC558" s="230">
        <v>45773</v>
      </c>
      <c r="AD558" s="206" t="s">
        <v>50</v>
      </c>
      <c r="AE558" s="206" t="str">
        <f>IFERROR(VLOOKUP(Primary_Order[[#This Row],[AM]],SP!$E$19:$F$23,2,0),Primary_Order[[#This Row],[AM]])</f>
        <v>Eastern</v>
      </c>
      <c r="AF558" s="206" t="str">
        <f>VLOOKUP(Primary_Order[[#This Row],[Product ID]],SKU[],10,0)</f>
        <v>Technosynthese</v>
      </c>
      <c r="AG558" s="206" t="str">
        <f>VLOOKUP(Primary_Order[[#This Row],[Product ID]],SKU[],9,0)</f>
        <v>MCO</v>
      </c>
      <c r="AH558" s="206" t="str">
        <f>VLOOKUP(Primary_Order[[#This Row],[Product ID]],SKU[],12,0)</f>
        <v>10W30</v>
      </c>
      <c r="AI558" s="206" t="str">
        <f>VLOOKUP(Primary_Order[[#This Row],[Product ID]],SKU[],13,0)</f>
        <v>3100</v>
      </c>
      <c r="AJ558" s="233">
        <f>VLOOKUP(Primary_Order[[#This Row],[Product ID]],SKU[[SKU ID]:[Bottle Size(Ltr)]],6,0)*Primary_Order[[#This Row],[Free Quantity]]</f>
        <v>0</v>
      </c>
      <c r="AK558" s="206" t="str">
        <f>VLOOKUP(Primary_Order[[#This Row],[Product ID]],SKU[[SKU ID]:[Bottle Size(Ltr)]],4,0)</f>
        <v>20x1L</v>
      </c>
      <c r="AL558" s="231">
        <f>VLOOKUP(Primary_Order[[#This Row],[Product ID]],SKU[],14,0)*Primary_Order[[#This Row],[Total Qty]]</f>
        <v>42510</v>
      </c>
      <c r="AM558" s="231">
        <f>IF(Primary_Order[[#This Row],[Cost]]=0,0,Primary_Order[[#This Row],[Net Total(-15%)]]-Primary_Order[[#This Row],[Cost]])</f>
        <v>4446.5217391304323</v>
      </c>
      <c r="AN558" s="206" t="str">
        <f>"O-"&amp;Primary_Order[[#This Row],[Date]]&amp;"-"&amp;Primary_Order[[#This Row],[MMD ID]]</f>
        <v>O-45770-D-0018</v>
      </c>
      <c r="AO558" s="206" t="str" cm="1">
        <f t="array" ref="AO55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59" spans="1:41" x14ac:dyDescent="0.5">
      <c r="A559" s="206" t="s">
        <v>1445</v>
      </c>
      <c r="B559" s="230">
        <v>45770</v>
      </c>
      <c r="C559" s="206" t="s">
        <v>26</v>
      </c>
      <c r="D559" s="206" t="s">
        <v>1243</v>
      </c>
      <c r="E559" s="206" t="s">
        <v>1449</v>
      </c>
      <c r="F559" s="206" t="s">
        <v>1245</v>
      </c>
      <c r="G559" s="206" t="s">
        <v>27</v>
      </c>
      <c r="H559" s="206" t="s">
        <v>28</v>
      </c>
      <c r="I559" s="206" t="s">
        <v>29</v>
      </c>
      <c r="J559" s="206" t="s">
        <v>30</v>
      </c>
      <c r="K559" s="206" t="s">
        <v>36</v>
      </c>
      <c r="L559" s="206" t="str">
        <f>VLOOKUP(Primary_Order[[#This Row],[Product ID]],SKU[],3,0)</f>
        <v>51004T 10W40 ESTER</v>
      </c>
      <c r="M559" s="231">
        <v>240</v>
      </c>
      <c r="N559" s="231">
        <v>830</v>
      </c>
      <c r="O559" s="231">
        <v>240</v>
      </c>
      <c r="P559" s="232">
        <v>0</v>
      </c>
      <c r="Q559" s="231">
        <v>0</v>
      </c>
      <c r="R559" s="231">
        <v>830</v>
      </c>
      <c r="S559" s="231">
        <v>240</v>
      </c>
      <c r="T559" s="231">
        <v>240</v>
      </c>
      <c r="U559" s="231">
        <v>199200</v>
      </c>
      <c r="V559" s="231">
        <v>0</v>
      </c>
      <c r="W559" s="231">
        <v>199200</v>
      </c>
      <c r="X559" s="231">
        <v>25982.608695652172</v>
      </c>
      <c r="Y559" s="231">
        <v>173217.39130434784</v>
      </c>
      <c r="Z559" s="206" t="s">
        <v>882</v>
      </c>
      <c r="AA559" s="206">
        <v>708</v>
      </c>
      <c r="AB559" s="206" t="s">
        <v>641</v>
      </c>
      <c r="AC559" s="230">
        <v>45773</v>
      </c>
      <c r="AD559" s="206" t="s">
        <v>50</v>
      </c>
      <c r="AE559" s="206" t="str">
        <f>IFERROR(VLOOKUP(Primary_Order[[#This Row],[AM]],SP!$E$19:$F$23,2,0),Primary_Order[[#This Row],[AM]])</f>
        <v>Eastern</v>
      </c>
      <c r="AF559" s="206" t="str">
        <f>VLOOKUP(Primary_Order[[#This Row],[Product ID]],SKU[],10,0)</f>
        <v>Technosynthese</v>
      </c>
      <c r="AG559" s="206" t="str">
        <f>VLOOKUP(Primary_Order[[#This Row],[Product ID]],SKU[],9,0)</f>
        <v>MCO</v>
      </c>
      <c r="AH559" s="206" t="str">
        <f>VLOOKUP(Primary_Order[[#This Row],[Product ID]],SKU[],12,0)</f>
        <v>10W40</v>
      </c>
      <c r="AI559" s="206" t="str">
        <f>VLOOKUP(Primary_Order[[#This Row],[Product ID]],SKU[],13,0)</f>
        <v>5100</v>
      </c>
      <c r="AJ559" s="233">
        <f>VLOOKUP(Primary_Order[[#This Row],[Product ID]],SKU[[SKU ID]:[Bottle Size(Ltr)]],6,0)*Primary_Order[[#This Row],[Free Quantity]]</f>
        <v>0</v>
      </c>
      <c r="AK559" s="206" t="str">
        <f>VLOOKUP(Primary_Order[[#This Row],[Product ID]],SKU[[SKU ID]:[Bottle Size(Ltr)]],4,0)</f>
        <v>12x1L</v>
      </c>
      <c r="AL559" s="231">
        <f>VLOOKUP(Primary_Order[[#This Row],[Product ID]],SKU[],14,0)*Primary_Order[[#This Row],[Total Qty]]</f>
        <v>145999.20000000001</v>
      </c>
      <c r="AM559" s="231">
        <f>IF(Primary_Order[[#This Row],[Cost]]=0,0,Primary_Order[[#This Row],[Net Total(-15%)]]-Primary_Order[[#This Row],[Cost]])</f>
        <v>27218.191304347827</v>
      </c>
      <c r="AN559" s="206" t="str">
        <f>"O-"&amp;Primary_Order[[#This Row],[Date]]&amp;"-"&amp;Primary_Order[[#This Row],[MMD ID]]</f>
        <v>O-45770-D-0018</v>
      </c>
      <c r="AO559" s="206" t="str" cm="1">
        <f t="array" ref="AO55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0" spans="1:41" x14ac:dyDescent="0.5">
      <c r="A560" s="206" t="s">
        <v>1445</v>
      </c>
      <c r="B560" s="230">
        <v>45770</v>
      </c>
      <c r="C560" s="206" t="s">
        <v>26</v>
      </c>
      <c r="D560" s="206" t="s">
        <v>1243</v>
      </c>
      <c r="E560" s="206" t="s">
        <v>1449</v>
      </c>
      <c r="F560" s="206" t="s">
        <v>1245</v>
      </c>
      <c r="G560" s="206" t="s">
        <v>27</v>
      </c>
      <c r="H560" s="206" t="s">
        <v>28</v>
      </c>
      <c r="I560" s="206" t="s">
        <v>29</v>
      </c>
      <c r="J560" s="206" t="s">
        <v>30</v>
      </c>
      <c r="K560" s="206" t="s">
        <v>58</v>
      </c>
      <c r="L560" s="206" t="str">
        <f>VLOOKUP(Primary_Order[[#This Row],[Product ID]],SKU[],3,0)</f>
        <v>7100 4T 20W50 ESTER CORE®</v>
      </c>
      <c r="M560" s="231">
        <v>60</v>
      </c>
      <c r="N560" s="231">
        <v>1020</v>
      </c>
      <c r="O560" s="231">
        <v>60</v>
      </c>
      <c r="P560" s="232">
        <v>0</v>
      </c>
      <c r="Q560" s="231">
        <v>0</v>
      </c>
      <c r="R560" s="231">
        <v>1020</v>
      </c>
      <c r="S560" s="231">
        <v>60</v>
      </c>
      <c r="T560" s="231">
        <v>60</v>
      </c>
      <c r="U560" s="231">
        <v>61200</v>
      </c>
      <c r="V560" s="231">
        <v>0</v>
      </c>
      <c r="W560" s="231">
        <v>61200</v>
      </c>
      <c r="X560" s="231">
        <v>7982.608695652174</v>
      </c>
      <c r="Y560" s="231">
        <v>53217.391304347824</v>
      </c>
      <c r="Z560" s="206" t="s">
        <v>882</v>
      </c>
      <c r="AA560" s="206">
        <v>708</v>
      </c>
      <c r="AB560" s="206" t="s">
        <v>641</v>
      </c>
      <c r="AC560" s="230">
        <v>45773</v>
      </c>
      <c r="AD560" s="206" t="s">
        <v>50</v>
      </c>
      <c r="AE560" s="206" t="str">
        <f>IFERROR(VLOOKUP(Primary_Order[[#This Row],[AM]],SP!$E$19:$F$23,2,0),Primary_Order[[#This Row],[AM]])</f>
        <v>Eastern</v>
      </c>
      <c r="AF560" s="206" t="str">
        <f>VLOOKUP(Primary_Order[[#This Row],[Product ID]],SKU[],10,0)</f>
        <v>Synthetic</v>
      </c>
      <c r="AG560" s="206" t="str">
        <f>VLOOKUP(Primary_Order[[#This Row],[Product ID]],SKU[],9,0)</f>
        <v>MCO</v>
      </c>
      <c r="AH560" s="206" t="str">
        <f>VLOOKUP(Primary_Order[[#This Row],[Product ID]],SKU[],12,0)</f>
        <v>20W50</v>
      </c>
      <c r="AI560" s="206" t="str">
        <f>VLOOKUP(Primary_Order[[#This Row],[Product ID]],SKU[],13,0)</f>
        <v>7100</v>
      </c>
      <c r="AJ560" s="233">
        <f>VLOOKUP(Primary_Order[[#This Row],[Product ID]],SKU[[SKU ID]:[Bottle Size(Ltr)]],6,0)*Primary_Order[[#This Row],[Free Quantity]]</f>
        <v>0</v>
      </c>
      <c r="AK560" s="206" t="str">
        <f>VLOOKUP(Primary_Order[[#This Row],[Product ID]],SKU[[SKU ID]:[Bottle Size(Ltr)]],4,0)</f>
        <v>12x1L</v>
      </c>
      <c r="AL560" s="231">
        <f>VLOOKUP(Primary_Order[[#This Row],[Product ID]],SKU[],14,0)*Primary_Order[[#This Row],[Total Qty]]</f>
        <v>45821.904000000002</v>
      </c>
      <c r="AM560" s="231">
        <f>IF(Primary_Order[[#This Row],[Cost]]=0,0,Primary_Order[[#This Row],[Net Total(-15%)]]-Primary_Order[[#This Row],[Cost]])</f>
        <v>7395.4873043478219</v>
      </c>
      <c r="AN560" s="206" t="str">
        <f>"O-"&amp;Primary_Order[[#This Row],[Date]]&amp;"-"&amp;Primary_Order[[#This Row],[MMD ID]]</f>
        <v>O-45770-D-0018</v>
      </c>
      <c r="AO560" s="206" t="str" cm="1">
        <f t="array" ref="AO56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1" spans="1:41" x14ac:dyDescent="0.5">
      <c r="A561" s="206" t="s">
        <v>1445</v>
      </c>
      <c r="B561" s="230">
        <v>45770</v>
      </c>
      <c r="C561" s="206" t="s">
        <v>26</v>
      </c>
      <c r="D561" s="206" t="s">
        <v>1243</v>
      </c>
      <c r="E561" s="206" t="s">
        <v>1449</v>
      </c>
      <c r="F561" s="206" t="s">
        <v>1245</v>
      </c>
      <c r="G561" s="206" t="s">
        <v>27</v>
      </c>
      <c r="H561" s="206" t="s">
        <v>28</v>
      </c>
      <c r="I561" s="206" t="s">
        <v>29</v>
      </c>
      <c r="J561" s="206" t="s">
        <v>30</v>
      </c>
      <c r="K561" s="206" t="s">
        <v>152</v>
      </c>
      <c r="L561" s="206" t="str">
        <f>VLOOKUP(Primary_Order[[#This Row],[Product ID]],SKU[],3,0)</f>
        <v>Inugel Expert Coolant</v>
      </c>
      <c r="M561" s="231">
        <v>100</v>
      </c>
      <c r="N561" s="231">
        <v>400</v>
      </c>
      <c r="O561" s="231">
        <v>100</v>
      </c>
      <c r="P561" s="232">
        <v>0</v>
      </c>
      <c r="Q561" s="231">
        <v>0</v>
      </c>
      <c r="R561" s="231">
        <v>400</v>
      </c>
      <c r="S561" s="231">
        <v>100</v>
      </c>
      <c r="T561" s="231">
        <v>100</v>
      </c>
      <c r="U561" s="231">
        <v>40000</v>
      </c>
      <c r="V561" s="231">
        <v>0</v>
      </c>
      <c r="W561" s="231">
        <v>40000</v>
      </c>
      <c r="X561" s="231">
        <v>5217.391304347826</v>
      </c>
      <c r="Y561" s="231">
        <v>34782.608695652176</v>
      </c>
      <c r="Z561" s="206" t="s">
        <v>882</v>
      </c>
      <c r="AA561" s="206">
        <v>708</v>
      </c>
      <c r="AB561" s="206" t="s">
        <v>641</v>
      </c>
      <c r="AC561" s="230">
        <v>45773</v>
      </c>
      <c r="AD561" s="206" t="s">
        <v>50</v>
      </c>
      <c r="AE561" s="206" t="str">
        <f>IFERROR(VLOOKUP(Primary_Order[[#This Row],[AM]],SP!$E$19:$F$23,2,0),Primary_Order[[#This Row],[AM]])</f>
        <v>Eastern</v>
      </c>
      <c r="AF561" s="206" t="str">
        <f>VLOOKUP(Primary_Order[[#This Row],[Product ID]],SKU[],10,0)</f>
        <v>Care Products</v>
      </c>
      <c r="AG561" s="206" t="str">
        <f>VLOOKUP(Primary_Order[[#This Row],[Product ID]],SKU[],9,0)</f>
        <v>Care Products</v>
      </c>
      <c r="AH561" s="206" t="str">
        <f>VLOOKUP(Primary_Order[[#This Row],[Product ID]],SKU[],12,0)</f>
        <v>Care Products</v>
      </c>
      <c r="AI561" s="206" t="str">
        <f>VLOOKUP(Primary_Order[[#This Row],[Product ID]],SKU[],13,0)</f>
        <v>Coolant</v>
      </c>
      <c r="AJ561" s="233">
        <f>VLOOKUP(Primary_Order[[#This Row],[Product ID]],SKU[[SKU ID]:[Bottle Size(Ltr)]],6,0)*Primary_Order[[#This Row],[Free Quantity]]</f>
        <v>0</v>
      </c>
      <c r="AK561" s="206" t="str">
        <f>VLOOKUP(Primary_Order[[#This Row],[Product ID]],SKU[[SKU ID]:[Bottle Size(Ltr)]],4,0)</f>
        <v>20x1L</v>
      </c>
      <c r="AL561" s="231">
        <f>VLOOKUP(Primary_Order[[#This Row],[Product ID]],SKU[],14,0)*Primary_Order[[#This Row],[Total Qty]]</f>
        <v>23064</v>
      </c>
      <c r="AM561" s="231">
        <f>IF(Primary_Order[[#This Row],[Cost]]=0,0,Primary_Order[[#This Row],[Net Total(-15%)]]-Primary_Order[[#This Row],[Cost]])</f>
        <v>11718.608695652176</v>
      </c>
      <c r="AN561" s="206" t="str">
        <f>"O-"&amp;Primary_Order[[#This Row],[Date]]&amp;"-"&amp;Primary_Order[[#This Row],[MMD ID]]</f>
        <v>O-45770-D-0018</v>
      </c>
      <c r="AO561" s="206" t="str" cm="1">
        <f t="array" ref="AO56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2" spans="1:41" x14ac:dyDescent="0.5">
      <c r="A562" s="206" t="s">
        <v>1445</v>
      </c>
      <c r="B562" s="230">
        <v>45770</v>
      </c>
      <c r="C562" s="206" t="s">
        <v>26</v>
      </c>
      <c r="D562" s="206" t="s">
        <v>1243</v>
      </c>
      <c r="E562" s="206" t="s">
        <v>1449</v>
      </c>
      <c r="F562" s="206" t="s">
        <v>1245</v>
      </c>
      <c r="G562" s="206" t="s">
        <v>27</v>
      </c>
      <c r="H562" s="206" t="s">
        <v>28</v>
      </c>
      <c r="I562" s="206" t="s">
        <v>29</v>
      </c>
      <c r="J562" s="206" t="s">
        <v>30</v>
      </c>
      <c r="K562" s="206" t="s">
        <v>59</v>
      </c>
      <c r="L562" s="206" t="str">
        <f>VLOOKUP(Primary_Order[[#This Row],[Product ID]],SKU[],3,0)</f>
        <v>Scooter LE 4T 10W30 HC-TECH®</v>
      </c>
      <c r="M562" s="231">
        <v>300</v>
      </c>
      <c r="N562" s="231">
        <v>420</v>
      </c>
      <c r="O562" s="231">
        <v>240</v>
      </c>
      <c r="P562" s="232">
        <v>0</v>
      </c>
      <c r="Q562" s="231">
        <v>0</v>
      </c>
      <c r="R562" s="231">
        <v>420</v>
      </c>
      <c r="S562" s="231">
        <v>300</v>
      </c>
      <c r="T562" s="231">
        <v>240</v>
      </c>
      <c r="U562" s="231">
        <v>126000</v>
      </c>
      <c r="V562" s="231">
        <v>0</v>
      </c>
      <c r="W562" s="231">
        <v>126000</v>
      </c>
      <c r="X562" s="231">
        <v>16434.782608695652</v>
      </c>
      <c r="Y562" s="231">
        <v>109565.21739130435</v>
      </c>
      <c r="Z562" s="206" t="s">
        <v>882</v>
      </c>
      <c r="AA562" s="206">
        <v>708</v>
      </c>
      <c r="AB562" s="206" t="s">
        <v>641</v>
      </c>
      <c r="AC562" s="230">
        <v>45773</v>
      </c>
      <c r="AD562" s="206" t="s">
        <v>50</v>
      </c>
      <c r="AE562" s="206" t="str">
        <f>IFERROR(VLOOKUP(Primary_Order[[#This Row],[AM]],SP!$E$19:$F$23,2,0),Primary_Order[[#This Row],[AM]])</f>
        <v>Eastern</v>
      </c>
      <c r="AF562" s="206" t="str">
        <f>VLOOKUP(Primary_Order[[#This Row],[Product ID]],SKU[],10,0)</f>
        <v>Mineral</v>
      </c>
      <c r="AG562" s="206" t="str">
        <f>VLOOKUP(Primary_Order[[#This Row],[Product ID]],SKU[],9,0)</f>
        <v>MCO</v>
      </c>
      <c r="AH562" s="206" t="str">
        <f>VLOOKUP(Primary_Order[[#This Row],[Product ID]],SKU[],12,0)</f>
        <v>10W30</v>
      </c>
      <c r="AI562" s="206" t="str">
        <f>VLOOKUP(Primary_Order[[#This Row],[Product ID]],SKU[],13,0)</f>
        <v>Scooter</v>
      </c>
      <c r="AJ562" s="233">
        <f>VLOOKUP(Primary_Order[[#This Row],[Product ID]],SKU[[SKU ID]:[Bottle Size(Ltr)]],6,0)*Primary_Order[[#This Row],[Free Quantity]]</f>
        <v>0</v>
      </c>
      <c r="AK562" s="206" t="str">
        <f>VLOOKUP(Primary_Order[[#This Row],[Product ID]],SKU[[SKU ID]:[Bottle Size(Ltr)]],4,0)</f>
        <v>20x0.8L</v>
      </c>
      <c r="AL562" s="231">
        <f>VLOOKUP(Primary_Order[[#This Row],[Product ID]],SKU[],14,0)*Primary_Order[[#This Row],[Total Qty]]</f>
        <v>99999</v>
      </c>
      <c r="AM562" s="231">
        <f>IF(Primary_Order[[#This Row],[Cost]]=0,0,Primary_Order[[#This Row],[Net Total(-15%)]]-Primary_Order[[#This Row],[Cost]])</f>
        <v>9566.2173913043516</v>
      </c>
      <c r="AN562" s="206" t="str">
        <f>"O-"&amp;Primary_Order[[#This Row],[Date]]&amp;"-"&amp;Primary_Order[[#This Row],[MMD ID]]</f>
        <v>O-45770-D-0018</v>
      </c>
      <c r="AO562" s="206" t="str" cm="1">
        <f t="array" ref="AO56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3" spans="1:41" x14ac:dyDescent="0.5">
      <c r="A563" s="206" t="s">
        <v>1445</v>
      </c>
      <c r="B563" s="230">
        <v>45770</v>
      </c>
      <c r="C563" s="206" t="s">
        <v>26</v>
      </c>
      <c r="D563" s="206" t="s">
        <v>1243</v>
      </c>
      <c r="E563" s="206" t="s">
        <v>1449</v>
      </c>
      <c r="F563" s="206" t="s">
        <v>1245</v>
      </c>
      <c r="G563" s="206" t="s">
        <v>27</v>
      </c>
      <c r="H563" s="206" t="s">
        <v>28</v>
      </c>
      <c r="I563" s="206" t="s">
        <v>29</v>
      </c>
      <c r="J563" s="206" t="s">
        <v>30</v>
      </c>
      <c r="K563" s="206" t="s">
        <v>81</v>
      </c>
      <c r="L563" s="206" t="str">
        <f>VLOOKUP(Primary_Order[[#This Row],[Product ID]],SKU[],3,0)</f>
        <v>3000 4T 20W50</v>
      </c>
      <c r="M563" s="231">
        <v>300</v>
      </c>
      <c r="N563" s="231">
        <v>400</v>
      </c>
      <c r="O563" s="231">
        <v>300</v>
      </c>
      <c r="P563" s="232">
        <v>0</v>
      </c>
      <c r="Q563" s="231">
        <v>0</v>
      </c>
      <c r="R563" s="231">
        <v>400</v>
      </c>
      <c r="S563" s="231">
        <v>300</v>
      </c>
      <c r="T563" s="231">
        <v>300</v>
      </c>
      <c r="U563" s="231">
        <v>120000</v>
      </c>
      <c r="V563" s="231">
        <v>0</v>
      </c>
      <c r="W563" s="231">
        <v>120000</v>
      </c>
      <c r="X563" s="231">
        <v>15652.173913043478</v>
      </c>
      <c r="Y563" s="231">
        <v>104347.82608695653</v>
      </c>
      <c r="Z563" s="206" t="s">
        <v>882</v>
      </c>
      <c r="AA563" s="206">
        <v>708</v>
      </c>
      <c r="AB563" s="206" t="s">
        <v>641</v>
      </c>
      <c r="AC563" s="230">
        <v>45773</v>
      </c>
      <c r="AD563" s="206" t="s">
        <v>50</v>
      </c>
      <c r="AE563" s="206" t="str">
        <f>IFERROR(VLOOKUP(Primary_Order[[#This Row],[AM]],SP!$E$19:$F$23,2,0),Primary_Order[[#This Row],[AM]])</f>
        <v>Eastern</v>
      </c>
      <c r="AF563" s="206" t="str">
        <f>VLOOKUP(Primary_Order[[#This Row],[Product ID]],SKU[],10,0)</f>
        <v>Mineral</v>
      </c>
      <c r="AG563" s="206" t="str">
        <f>VLOOKUP(Primary_Order[[#This Row],[Product ID]],SKU[],9,0)</f>
        <v>MCO</v>
      </c>
      <c r="AH563" s="206" t="str">
        <f>VLOOKUP(Primary_Order[[#This Row],[Product ID]],SKU[],12,0)</f>
        <v>20W50</v>
      </c>
      <c r="AI563" s="206" t="str">
        <f>VLOOKUP(Primary_Order[[#This Row],[Product ID]],SKU[],13,0)</f>
        <v>3000</v>
      </c>
      <c r="AJ563" s="233">
        <f>VLOOKUP(Primary_Order[[#This Row],[Product ID]],SKU[[SKU ID]:[Bottle Size(Ltr)]],6,0)*Primary_Order[[#This Row],[Free Quantity]]</f>
        <v>0</v>
      </c>
      <c r="AK563" s="206" t="str">
        <f>VLOOKUP(Primary_Order[[#This Row],[Product ID]],SKU[[SKU ID]:[Bottle Size(Ltr)]],4,0)</f>
        <v>20x1L</v>
      </c>
      <c r="AL563" s="231">
        <f>VLOOKUP(Primary_Order[[#This Row],[Product ID]],SKU[],14,0)*Primary_Order[[#This Row],[Total Qty]]</f>
        <v>109476</v>
      </c>
      <c r="AM563" s="231">
        <f>IF(Primary_Order[[#This Row],[Cost]]=0,0,Primary_Order[[#This Row],[Net Total(-15%)]]-Primary_Order[[#This Row],[Cost]])</f>
        <v>-5128.1739130434726</v>
      </c>
      <c r="AN563" s="206" t="str">
        <f>"O-"&amp;Primary_Order[[#This Row],[Date]]&amp;"-"&amp;Primary_Order[[#This Row],[MMD ID]]</f>
        <v>O-45770-D-0018</v>
      </c>
      <c r="AO563" s="206" t="str" cm="1">
        <f t="array" ref="AO56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4" spans="1:41" x14ac:dyDescent="0.5">
      <c r="A564" s="206" t="s">
        <v>1484</v>
      </c>
      <c r="B564" s="230">
        <v>45775</v>
      </c>
      <c r="C564" s="206" t="s">
        <v>110</v>
      </c>
      <c r="D564" s="206" t="s">
        <v>1483</v>
      </c>
      <c r="E564" s="206" t="s">
        <v>1468</v>
      </c>
      <c r="F564" s="206" t="s">
        <v>50</v>
      </c>
      <c r="G564" s="206" t="s">
        <v>87</v>
      </c>
      <c r="H564" s="206" t="s">
        <v>87</v>
      </c>
      <c r="I564" s="206" t="s">
        <v>88</v>
      </c>
      <c r="J564" s="206" t="s">
        <v>52</v>
      </c>
      <c r="K564" s="206" t="s">
        <v>54</v>
      </c>
      <c r="L564" s="206" t="str">
        <f>VLOOKUP(Primary_Order[[#This Row],[Product ID]],SKU[],3,0)</f>
        <v>3000 4T PLUS 10W40</v>
      </c>
      <c r="M564" s="231">
        <v>30</v>
      </c>
      <c r="N564" s="231">
        <v>550</v>
      </c>
      <c r="O564" s="231">
        <v>30</v>
      </c>
      <c r="P564" s="232">
        <v>0.6</v>
      </c>
      <c r="Q564" s="231">
        <v>0</v>
      </c>
      <c r="R564" s="231">
        <v>220</v>
      </c>
      <c r="S564" s="231">
        <v>30</v>
      </c>
      <c r="T564" s="231">
        <v>30</v>
      </c>
      <c r="U564" s="231">
        <v>16500</v>
      </c>
      <c r="V564" s="231">
        <v>0</v>
      </c>
      <c r="W564" s="231">
        <v>6600</v>
      </c>
      <c r="X564" s="231">
        <v>860.86956521739125</v>
      </c>
      <c r="Y564" s="231">
        <v>5739.130434782609</v>
      </c>
      <c r="Z564" s="206" t="s">
        <v>882</v>
      </c>
      <c r="AA564" s="206" t="s">
        <v>50</v>
      </c>
      <c r="AB564" s="206" t="s">
        <v>1170</v>
      </c>
      <c r="AC564" s="230" t="s">
        <v>50</v>
      </c>
      <c r="AD564" s="206" t="s">
        <v>50</v>
      </c>
      <c r="AE564" s="206" t="str">
        <f>IFERROR(VLOOKUP(Primary_Order[[#This Row],[AM]],SP!$E$19:$F$23,2,0),Primary_Order[[#This Row],[AM]])</f>
        <v>Captive Sales</v>
      </c>
      <c r="AF564" s="206" t="str">
        <f>VLOOKUP(Primary_Order[[#This Row],[Product ID]],SKU[],10,0)</f>
        <v>Mineral</v>
      </c>
      <c r="AG564" s="206" t="str">
        <f>VLOOKUP(Primary_Order[[#This Row],[Product ID]],SKU[],9,0)</f>
        <v>MCO</v>
      </c>
      <c r="AH564" s="206" t="str">
        <f>VLOOKUP(Primary_Order[[#This Row],[Product ID]],SKU[],12,0)</f>
        <v>10W40</v>
      </c>
      <c r="AI564" s="206" t="str">
        <f>VLOOKUP(Primary_Order[[#This Row],[Product ID]],SKU[],13,0)</f>
        <v>3000</v>
      </c>
      <c r="AJ564" s="233">
        <f>VLOOKUP(Primary_Order[[#This Row],[Product ID]],SKU[[SKU ID]:[Bottle Size(Ltr)]],6,0)*Primary_Order[[#This Row],[Free Quantity]]</f>
        <v>0</v>
      </c>
      <c r="AK564" s="206" t="str">
        <f>VLOOKUP(Primary_Order[[#This Row],[Product ID]],SKU[[SKU ID]:[Bottle Size(Ltr)]],4,0)</f>
        <v>20x1L</v>
      </c>
      <c r="AL564" s="231">
        <f>VLOOKUP(Primary_Order[[#This Row],[Product ID]],SKU[],14,0)*Primary_Order[[#This Row],[Total Qty]]</f>
        <v>11545.5</v>
      </c>
      <c r="AM564" s="231">
        <f>IF(Primary_Order[[#This Row],[Cost]]=0,0,Primary_Order[[#This Row],[Net Total(-15%)]]-Primary_Order[[#This Row],[Cost]])</f>
        <v>-5806.369565217391</v>
      </c>
      <c r="AN564" s="206" t="str">
        <f>"O-"&amp;Primary_Order[[#This Row],[Date]]&amp;"-"&amp;Primary_Order[[#This Row],[MMD ID]]</f>
        <v>O-45775-D-0025</v>
      </c>
      <c r="AO564" s="206" t="str" cm="1">
        <f t="array" ref="AO56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DMG-Sold</v>
      </c>
    </row>
    <row r="565" spans="1:41" x14ac:dyDescent="0.5">
      <c r="A565" s="511" t="s">
        <v>1496</v>
      </c>
      <c r="B565" s="230">
        <v>45775</v>
      </c>
      <c r="C565" s="511" t="s">
        <v>95</v>
      </c>
      <c r="D565" s="511" t="s">
        <v>1196</v>
      </c>
      <c r="E565" s="511" t="s">
        <v>52</v>
      </c>
      <c r="F565" s="511" t="s">
        <v>50</v>
      </c>
      <c r="G565" s="511" t="s">
        <v>87</v>
      </c>
      <c r="H565" s="511" t="s">
        <v>87</v>
      </c>
      <c r="I565" s="511" t="s">
        <v>1196</v>
      </c>
      <c r="J565" s="511" t="s">
        <v>52</v>
      </c>
      <c r="K565" s="511" t="s">
        <v>96</v>
      </c>
      <c r="L565" s="206" t="str">
        <f>VLOOKUP(Primary_Order[[#This Row],[Product ID]],SKU[],3,0)</f>
        <v>8100 X.Max 0W40</v>
      </c>
      <c r="M565" s="231">
        <v>50</v>
      </c>
      <c r="N565" s="231">
        <v>5600</v>
      </c>
      <c r="O565" s="231">
        <v>200</v>
      </c>
      <c r="P565" s="232">
        <v>0.4642857142857143</v>
      </c>
      <c r="Q565" s="231">
        <v>0</v>
      </c>
      <c r="R565" s="231">
        <v>3000</v>
      </c>
      <c r="S565" s="231">
        <v>50</v>
      </c>
      <c r="T565" s="231">
        <v>200</v>
      </c>
      <c r="U565" s="231">
        <v>280000</v>
      </c>
      <c r="V565" s="231">
        <v>0</v>
      </c>
      <c r="W565" s="231">
        <v>150000</v>
      </c>
      <c r="X565" s="231">
        <v>19565.217391304348</v>
      </c>
      <c r="Y565" s="231">
        <v>130434.78260869565</v>
      </c>
      <c r="Z565" s="511" t="s">
        <v>882</v>
      </c>
      <c r="AA565" s="511">
        <v>709</v>
      </c>
      <c r="AB565" s="513" t="s">
        <v>1170</v>
      </c>
      <c r="AC565" s="512">
        <v>45775</v>
      </c>
      <c r="AD565" s="513" t="s">
        <v>50</v>
      </c>
      <c r="AE565" s="511" t="str">
        <f>IFERROR(VLOOKUP(Primary_Order[[#This Row],[AM]],SP!$E$19:$F$23,2,0),Primary_Order[[#This Row],[AM]])</f>
        <v>Captive Sales</v>
      </c>
      <c r="AF565" s="511" t="str">
        <f>VLOOKUP(Primary_Order[[#This Row],[Product ID]],SKU[],10,0)</f>
        <v>Synthetic</v>
      </c>
      <c r="AG565" s="511" t="str">
        <f>VLOOKUP(Primary_Order[[#This Row],[Product ID]],SKU[],9,0)</f>
        <v>PCMO</v>
      </c>
      <c r="AH565" s="511" t="str">
        <f>VLOOKUP(Primary_Order[[#This Row],[Product ID]],SKU[],12,0)</f>
        <v>0W40</v>
      </c>
      <c r="AI565" s="511" t="str">
        <f>VLOOKUP(Primary_Order[[#This Row],[Product ID]],SKU[],13,0)</f>
        <v>8100</v>
      </c>
      <c r="AJ565" s="233">
        <f>VLOOKUP(Primary_Order[[#This Row],[Product ID]],SKU[[SKU ID]:[Bottle Size(Ltr)]],6,0)*Primary_Order[[#This Row],[Free Quantity]]</f>
        <v>0</v>
      </c>
      <c r="AK565" s="511" t="str">
        <f>VLOOKUP(Primary_Order[[#This Row],[Product ID]],SKU[[SKU ID]:[Bottle Size(Ltr)]],4,0)</f>
        <v>4x4L</v>
      </c>
      <c r="AL565" s="231">
        <f>VLOOKUP(Primary_Order[[#This Row],[Product ID]],SKU[],14,0)*Primary_Order[[#This Row],[Total Qty]]</f>
        <v>146798.5</v>
      </c>
      <c r="AM565" s="231">
        <f>IF(Primary_Order[[#This Row],[Cost]]=0,0,Primary_Order[[#This Row],[Net Total(-15%)]]-Primary_Order[[#This Row],[Cost]])</f>
        <v>-16363.717391304352</v>
      </c>
      <c r="AN565" s="511" t="str">
        <f>"O-"&amp;Primary_Order[[#This Row],[Date]]&amp;"-"&amp;Primary_Order[[#This Row],[MMD ID]]</f>
        <v>O-45775-D-0027</v>
      </c>
      <c r="AO565" s="511" t="str" cm="1">
        <f t="array" ref="AO56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6" spans="1:41" x14ac:dyDescent="0.5">
      <c r="A566" s="511" t="s">
        <v>1497</v>
      </c>
      <c r="B566" s="230">
        <v>45775</v>
      </c>
      <c r="C566" s="511" t="s">
        <v>141</v>
      </c>
      <c r="D566" s="511" t="s">
        <v>1292</v>
      </c>
      <c r="E566" s="511" t="s">
        <v>52</v>
      </c>
      <c r="F566" s="511" t="s">
        <v>50</v>
      </c>
      <c r="G566" s="511" t="s">
        <v>87</v>
      </c>
      <c r="H566" s="511" t="s">
        <v>87</v>
      </c>
      <c r="I566" s="511" t="s">
        <v>1292</v>
      </c>
      <c r="J566" s="511" t="s">
        <v>52</v>
      </c>
      <c r="K566" s="511" t="s">
        <v>71</v>
      </c>
      <c r="L566" s="206" t="str">
        <f>VLOOKUP(Primary_Order[[#This Row],[Product ID]],SKU[],3,0)</f>
        <v>4000 Motion Plus 15W40</v>
      </c>
      <c r="M566" s="231">
        <v>95</v>
      </c>
      <c r="N566" s="231">
        <v>2700</v>
      </c>
      <c r="O566" s="231">
        <v>380</v>
      </c>
      <c r="P566" s="232">
        <v>0.437037037037037</v>
      </c>
      <c r="Q566" s="231">
        <v>0</v>
      </c>
      <c r="R566" s="231">
        <v>1520</v>
      </c>
      <c r="S566" s="231">
        <v>95</v>
      </c>
      <c r="T566" s="231">
        <v>380</v>
      </c>
      <c r="U566" s="231">
        <v>256500</v>
      </c>
      <c r="V566" s="231">
        <v>0</v>
      </c>
      <c r="W566" s="231">
        <v>144400</v>
      </c>
      <c r="X566" s="231">
        <v>18834.782608695652</v>
      </c>
      <c r="Y566" s="231">
        <v>125565.21739130435</v>
      </c>
      <c r="Z566" s="511" t="s">
        <v>882</v>
      </c>
      <c r="AA566" s="511">
        <v>710</v>
      </c>
      <c r="AB566" s="513" t="s">
        <v>1170</v>
      </c>
      <c r="AC566" s="512">
        <v>45775</v>
      </c>
      <c r="AD566" s="513" t="s">
        <v>50</v>
      </c>
      <c r="AE566" s="511" t="str">
        <f>IFERROR(VLOOKUP(Primary_Order[[#This Row],[AM]],SP!$E$19:$F$23,2,0),Primary_Order[[#This Row],[AM]])</f>
        <v>Captive Sales</v>
      </c>
      <c r="AF566" s="511" t="str">
        <f>VLOOKUP(Primary_Order[[#This Row],[Product ID]],SKU[],10,0)</f>
        <v>Mineral</v>
      </c>
      <c r="AG566" s="511" t="str">
        <f>VLOOKUP(Primary_Order[[#This Row],[Product ID]],SKU[],9,0)</f>
        <v>PCMO</v>
      </c>
      <c r="AH566" s="511" t="str">
        <f>VLOOKUP(Primary_Order[[#This Row],[Product ID]],SKU[],12,0)</f>
        <v>15W40</v>
      </c>
      <c r="AI566" s="511" t="str">
        <f>VLOOKUP(Primary_Order[[#This Row],[Product ID]],SKU[],13,0)</f>
        <v>4000</v>
      </c>
      <c r="AJ566" s="233">
        <f>VLOOKUP(Primary_Order[[#This Row],[Product ID]],SKU[[SKU ID]:[Bottle Size(Ltr)]],6,0)*Primary_Order[[#This Row],[Free Quantity]]</f>
        <v>0</v>
      </c>
      <c r="AK566" s="511" t="str">
        <f>VLOOKUP(Primary_Order[[#This Row],[Product ID]],SKU[[SKU ID]:[Bottle Size(Ltr)]],4,0)</f>
        <v>4x4L</v>
      </c>
      <c r="AL566" s="231">
        <f>VLOOKUP(Primary_Order[[#This Row],[Product ID]],SKU[],14,0)*Primary_Order[[#This Row],[Total Qty]]</f>
        <v>125663.15</v>
      </c>
      <c r="AM566" s="231">
        <f>IF(Primary_Order[[#This Row],[Cost]]=0,0,Primary_Order[[#This Row],[Net Total(-15%)]]-Primary_Order[[#This Row],[Cost]])</f>
        <v>-97.932608695642557</v>
      </c>
      <c r="AN566" s="511" t="str">
        <f>"O-"&amp;Primary_Order[[#This Row],[Date]]&amp;"-"&amp;Primary_Order[[#This Row],[MMD ID]]</f>
        <v>O-45775-D-0026</v>
      </c>
      <c r="AO566" s="511" t="str" cm="1">
        <f t="array" ref="AO56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7" spans="1:41" x14ac:dyDescent="0.5">
      <c r="A567" s="511" t="s">
        <v>1498</v>
      </c>
      <c r="B567" s="512">
        <v>45774</v>
      </c>
      <c r="C567" s="511" t="s">
        <v>100</v>
      </c>
      <c r="D567" s="511" t="s">
        <v>973</v>
      </c>
      <c r="E567" s="511" t="s">
        <v>1474</v>
      </c>
      <c r="F567" s="511" t="s">
        <v>1475</v>
      </c>
      <c r="G567" s="511" t="s">
        <v>45</v>
      </c>
      <c r="H567" s="511" t="s">
        <v>28</v>
      </c>
      <c r="I567" s="511" t="s">
        <v>101</v>
      </c>
      <c r="J567" s="511" t="s">
        <v>536</v>
      </c>
      <c r="K567" s="511" t="s">
        <v>31</v>
      </c>
      <c r="L567" s="206" t="str">
        <f>VLOOKUP(Primary_Order[[#This Row],[Product ID]],SKU[],3,0)</f>
        <v>3000 4T PLUS 10W30</v>
      </c>
      <c r="M567" s="231">
        <v>20</v>
      </c>
      <c r="N567" s="231">
        <v>540</v>
      </c>
      <c r="O567" s="231">
        <v>20</v>
      </c>
      <c r="P567" s="232">
        <v>9.2592592592593004E-3</v>
      </c>
      <c r="Q567" s="231">
        <v>0</v>
      </c>
      <c r="R567" s="231">
        <v>535</v>
      </c>
      <c r="S567" s="231">
        <v>20</v>
      </c>
      <c r="T567" s="231">
        <v>20</v>
      </c>
      <c r="U567" s="231">
        <v>10800</v>
      </c>
      <c r="V567" s="231">
        <v>0</v>
      </c>
      <c r="W567" s="231">
        <v>10700</v>
      </c>
      <c r="X567" s="231">
        <v>1395.6521739130435</v>
      </c>
      <c r="Y567" s="231">
        <v>9304.347826086956</v>
      </c>
      <c r="Z567" s="511" t="s">
        <v>882</v>
      </c>
      <c r="AA567" s="511">
        <v>711</v>
      </c>
      <c r="AB567" s="513" t="s">
        <v>1170</v>
      </c>
      <c r="AC567" s="512">
        <v>45775</v>
      </c>
      <c r="AD567" s="513" t="s">
        <v>50</v>
      </c>
      <c r="AE567" s="511" t="str">
        <f>IFERROR(VLOOKUP(Primary_Order[[#This Row],[AM]],SP!$E$19:$F$23,2,0),Primary_Order[[#This Row],[AM]])</f>
        <v>Eastern</v>
      </c>
      <c r="AF567" s="511" t="str">
        <f>VLOOKUP(Primary_Order[[#This Row],[Product ID]],SKU[],10,0)</f>
        <v>Mineral</v>
      </c>
      <c r="AG567" s="511" t="str">
        <f>VLOOKUP(Primary_Order[[#This Row],[Product ID]],SKU[],9,0)</f>
        <v>MCO</v>
      </c>
      <c r="AH567" s="511" t="str">
        <f>VLOOKUP(Primary_Order[[#This Row],[Product ID]],SKU[],12,0)</f>
        <v>10W30</v>
      </c>
      <c r="AI567" s="511" t="str">
        <f>VLOOKUP(Primary_Order[[#This Row],[Product ID]],SKU[],13,0)</f>
        <v>3000</v>
      </c>
      <c r="AJ567" s="233">
        <f>VLOOKUP(Primary_Order[[#This Row],[Product ID]],SKU[[SKU ID]:[Bottle Size(Ltr)]],6,0)*Primary_Order[[#This Row],[Free Quantity]]</f>
        <v>0</v>
      </c>
      <c r="AK567" s="511" t="str">
        <f>VLOOKUP(Primary_Order[[#This Row],[Product ID]],SKU[[SKU ID]:[Bottle Size(Ltr)]],4,0)</f>
        <v>20x1L</v>
      </c>
      <c r="AL567" s="231">
        <f>VLOOKUP(Primary_Order[[#This Row],[Product ID]],SKU[],14,0)*Primary_Order[[#This Row],[Total Qty]]</f>
        <v>7586.5999999999995</v>
      </c>
      <c r="AM567" s="231">
        <f>IF(Primary_Order[[#This Row],[Cost]]=0,0,Primary_Order[[#This Row],[Net Total(-15%)]]-Primary_Order[[#This Row],[Cost]])</f>
        <v>1717.7478260869566</v>
      </c>
      <c r="AN567" s="511" t="str">
        <f>"O-"&amp;Primary_Order[[#This Row],[Date]]&amp;"-"&amp;Primary_Order[[#This Row],[MMD ID]]</f>
        <v>O-45774-D-0014</v>
      </c>
      <c r="AO567" s="511" t="str" cm="1">
        <f t="array" ref="AO56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8" spans="1:41" x14ac:dyDescent="0.5">
      <c r="A568" s="511" t="s">
        <v>1498</v>
      </c>
      <c r="B568" s="512">
        <v>45774</v>
      </c>
      <c r="C568" s="511" t="s">
        <v>100</v>
      </c>
      <c r="D568" s="511" t="s">
        <v>973</v>
      </c>
      <c r="E568" s="511" t="s">
        <v>1474</v>
      </c>
      <c r="F568" s="511" t="s">
        <v>1475</v>
      </c>
      <c r="G568" s="511" t="s">
        <v>45</v>
      </c>
      <c r="H568" s="511" t="s">
        <v>28</v>
      </c>
      <c r="I568" s="511" t="s">
        <v>101</v>
      </c>
      <c r="J568" s="511" t="s">
        <v>536</v>
      </c>
      <c r="K568" s="511" t="s">
        <v>81</v>
      </c>
      <c r="L568" s="206" t="str">
        <f>VLOOKUP(Primary_Order[[#This Row],[Product ID]],SKU[],3,0)</f>
        <v>3000 4T 20W50</v>
      </c>
      <c r="M568" s="231">
        <v>20</v>
      </c>
      <c r="N568" s="231">
        <v>495</v>
      </c>
      <c r="O568" s="231">
        <v>20</v>
      </c>
      <c r="P568" s="232">
        <v>3.0303030303030276E-2</v>
      </c>
      <c r="Q568" s="231">
        <v>0</v>
      </c>
      <c r="R568" s="231">
        <v>480</v>
      </c>
      <c r="S568" s="231">
        <v>20</v>
      </c>
      <c r="T568" s="231">
        <v>20</v>
      </c>
      <c r="U568" s="231">
        <v>9900</v>
      </c>
      <c r="V568" s="231">
        <v>0</v>
      </c>
      <c r="W568" s="231">
        <v>9600</v>
      </c>
      <c r="X568" s="231">
        <v>1252.1739130434783</v>
      </c>
      <c r="Y568" s="231">
        <v>8347.826086956522</v>
      </c>
      <c r="Z568" s="511" t="s">
        <v>882</v>
      </c>
      <c r="AA568" s="511">
        <v>711</v>
      </c>
      <c r="AB568" s="513" t="s">
        <v>1170</v>
      </c>
      <c r="AC568" s="512">
        <v>45775</v>
      </c>
      <c r="AD568" s="513" t="s">
        <v>50</v>
      </c>
      <c r="AE568" s="511" t="str">
        <f>IFERROR(VLOOKUP(Primary_Order[[#This Row],[AM]],SP!$E$19:$F$23,2,0),Primary_Order[[#This Row],[AM]])</f>
        <v>Eastern</v>
      </c>
      <c r="AF568" s="511" t="str">
        <f>VLOOKUP(Primary_Order[[#This Row],[Product ID]],SKU[],10,0)</f>
        <v>Mineral</v>
      </c>
      <c r="AG568" s="511" t="str">
        <f>VLOOKUP(Primary_Order[[#This Row],[Product ID]],SKU[],9,0)</f>
        <v>MCO</v>
      </c>
      <c r="AH568" s="511" t="str">
        <f>VLOOKUP(Primary_Order[[#This Row],[Product ID]],SKU[],12,0)</f>
        <v>20W50</v>
      </c>
      <c r="AI568" s="511" t="str">
        <f>VLOOKUP(Primary_Order[[#This Row],[Product ID]],SKU[],13,0)</f>
        <v>3000</v>
      </c>
      <c r="AJ568" s="233">
        <f>VLOOKUP(Primary_Order[[#This Row],[Product ID]],SKU[[SKU ID]:[Bottle Size(Ltr)]],6,0)*Primary_Order[[#This Row],[Free Quantity]]</f>
        <v>0</v>
      </c>
      <c r="AK568" s="511" t="str">
        <f>VLOOKUP(Primary_Order[[#This Row],[Product ID]],SKU[[SKU ID]:[Bottle Size(Ltr)]],4,0)</f>
        <v>20x1L</v>
      </c>
      <c r="AL568" s="231">
        <f>VLOOKUP(Primary_Order[[#This Row],[Product ID]],SKU[],14,0)*Primary_Order[[#This Row],[Total Qty]]</f>
        <v>7298.4000000000005</v>
      </c>
      <c r="AM568" s="231">
        <f>IF(Primary_Order[[#This Row],[Cost]]=0,0,Primary_Order[[#This Row],[Net Total(-15%)]]-Primary_Order[[#This Row],[Cost]])</f>
        <v>1049.4260869565214</v>
      </c>
      <c r="AN568" s="511" t="str">
        <f>"O-"&amp;Primary_Order[[#This Row],[Date]]&amp;"-"&amp;Primary_Order[[#This Row],[MMD ID]]</f>
        <v>O-45774-D-0014</v>
      </c>
      <c r="AO568" s="511" t="str" cm="1">
        <f t="array" ref="AO56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69" spans="1:41" x14ac:dyDescent="0.5">
      <c r="A569" s="511" t="s">
        <v>1499</v>
      </c>
      <c r="B569" s="512">
        <v>45774</v>
      </c>
      <c r="C569" s="511" t="s">
        <v>100</v>
      </c>
      <c r="D569" s="511" t="s">
        <v>905</v>
      </c>
      <c r="E569" s="511" t="s">
        <v>508</v>
      </c>
      <c r="F569" s="511" t="s">
        <v>1473</v>
      </c>
      <c r="G569" s="511" t="s">
        <v>45</v>
      </c>
      <c r="H569" s="511" t="s">
        <v>28</v>
      </c>
      <c r="I569" s="511" t="s">
        <v>101</v>
      </c>
      <c r="J569" s="511" t="s">
        <v>536</v>
      </c>
      <c r="K569" s="511" t="s">
        <v>54</v>
      </c>
      <c r="L569" s="206" t="str">
        <f>VLOOKUP(Primary_Order[[#This Row],[Product ID]],SKU[],3,0)</f>
        <v>3000 4T PLUS 10W40</v>
      </c>
      <c r="M569" s="231">
        <v>40</v>
      </c>
      <c r="N569" s="231">
        <v>550</v>
      </c>
      <c r="O569" s="231">
        <v>40</v>
      </c>
      <c r="P569" s="232">
        <v>3.6363636363636376E-2</v>
      </c>
      <c r="Q569" s="231">
        <v>0</v>
      </c>
      <c r="R569" s="231">
        <v>530</v>
      </c>
      <c r="S569" s="231">
        <v>40</v>
      </c>
      <c r="T569" s="231">
        <v>40</v>
      </c>
      <c r="U569" s="231">
        <v>22000</v>
      </c>
      <c r="V569" s="231">
        <v>0</v>
      </c>
      <c r="W569" s="231">
        <v>21200</v>
      </c>
      <c r="X569" s="231">
        <v>2765.217391304348</v>
      </c>
      <c r="Y569" s="231">
        <v>18434.782608695652</v>
      </c>
      <c r="Z569" s="511" t="s">
        <v>882</v>
      </c>
      <c r="AA569" s="511">
        <v>712</v>
      </c>
      <c r="AB569" s="513" t="s">
        <v>1170</v>
      </c>
      <c r="AC569" s="512">
        <v>45775</v>
      </c>
      <c r="AD569" s="513" t="s">
        <v>50</v>
      </c>
      <c r="AE569" s="511" t="str">
        <f>IFERROR(VLOOKUP(Primary_Order[[#This Row],[AM]],SP!$E$19:$F$23,2,0),Primary_Order[[#This Row],[AM]])</f>
        <v>Eastern</v>
      </c>
      <c r="AF569" s="511" t="str">
        <f>VLOOKUP(Primary_Order[[#This Row],[Product ID]],SKU[],10,0)</f>
        <v>Mineral</v>
      </c>
      <c r="AG569" s="511" t="str">
        <f>VLOOKUP(Primary_Order[[#This Row],[Product ID]],SKU[],9,0)</f>
        <v>MCO</v>
      </c>
      <c r="AH569" s="511" t="str">
        <f>VLOOKUP(Primary_Order[[#This Row],[Product ID]],SKU[],12,0)</f>
        <v>10W40</v>
      </c>
      <c r="AI569" s="511" t="str">
        <f>VLOOKUP(Primary_Order[[#This Row],[Product ID]],SKU[],13,0)</f>
        <v>3000</v>
      </c>
      <c r="AJ569" s="233">
        <f>VLOOKUP(Primary_Order[[#This Row],[Product ID]],SKU[[SKU ID]:[Bottle Size(Ltr)]],6,0)*Primary_Order[[#This Row],[Free Quantity]]</f>
        <v>0</v>
      </c>
      <c r="AK569" s="511" t="str">
        <f>VLOOKUP(Primary_Order[[#This Row],[Product ID]],SKU[[SKU ID]:[Bottle Size(Ltr)]],4,0)</f>
        <v>20x1L</v>
      </c>
      <c r="AL569" s="231">
        <f>VLOOKUP(Primary_Order[[#This Row],[Product ID]],SKU[],14,0)*Primary_Order[[#This Row],[Total Qty]]</f>
        <v>15394</v>
      </c>
      <c r="AM569" s="231">
        <f>IF(Primary_Order[[#This Row],[Cost]]=0,0,Primary_Order[[#This Row],[Net Total(-15%)]]-Primary_Order[[#This Row],[Cost]])</f>
        <v>3040.782608695652</v>
      </c>
      <c r="AN569" s="511" t="str">
        <f>"O-"&amp;Primary_Order[[#This Row],[Date]]&amp;"-"&amp;Primary_Order[[#This Row],[MMD ID]]</f>
        <v>O-45774-D-0014</v>
      </c>
      <c r="AO569" s="511" t="str" cm="1">
        <f t="array" ref="AO56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0" spans="1:41" x14ac:dyDescent="0.5">
      <c r="A570" s="511" t="s">
        <v>1499</v>
      </c>
      <c r="B570" s="512">
        <v>45774</v>
      </c>
      <c r="C570" s="511" t="s">
        <v>100</v>
      </c>
      <c r="D570" s="511" t="s">
        <v>905</v>
      </c>
      <c r="E570" s="511" t="s">
        <v>508</v>
      </c>
      <c r="F570" s="511" t="s">
        <v>1473</v>
      </c>
      <c r="G570" s="511" t="s">
        <v>45</v>
      </c>
      <c r="H570" s="511" t="s">
        <v>28</v>
      </c>
      <c r="I570" s="511" t="s">
        <v>101</v>
      </c>
      <c r="J570" s="511" t="s">
        <v>536</v>
      </c>
      <c r="K570" s="511" t="s">
        <v>48</v>
      </c>
      <c r="L570" s="206" t="str">
        <f>VLOOKUP(Primary_Order[[#This Row],[Product ID]],SKU[],3,0)</f>
        <v>RUN 4T 20W40</v>
      </c>
      <c r="M570" s="231">
        <v>220</v>
      </c>
      <c r="N570" s="231">
        <v>565</v>
      </c>
      <c r="O570" s="231">
        <v>220</v>
      </c>
      <c r="P570" s="232">
        <v>0.29203539823008851</v>
      </c>
      <c r="Q570" s="231">
        <v>0</v>
      </c>
      <c r="R570" s="231">
        <v>400</v>
      </c>
      <c r="S570" s="231">
        <v>220</v>
      </c>
      <c r="T570" s="231">
        <v>220</v>
      </c>
      <c r="U570" s="231">
        <v>124300</v>
      </c>
      <c r="V570" s="231">
        <v>0</v>
      </c>
      <c r="W570" s="231">
        <v>88000</v>
      </c>
      <c r="X570" s="231">
        <v>11478.260869565218</v>
      </c>
      <c r="Y570" s="231">
        <v>76521.739130434784</v>
      </c>
      <c r="Z570" s="511" t="s">
        <v>882</v>
      </c>
      <c r="AA570" s="511">
        <v>712</v>
      </c>
      <c r="AB570" s="513" t="s">
        <v>1170</v>
      </c>
      <c r="AC570" s="512">
        <v>45775</v>
      </c>
      <c r="AD570" s="513" t="s">
        <v>50</v>
      </c>
      <c r="AE570" s="511" t="str">
        <f>IFERROR(VLOOKUP(Primary_Order[[#This Row],[AM]],SP!$E$19:$F$23,2,0),Primary_Order[[#This Row],[AM]])</f>
        <v>Eastern</v>
      </c>
      <c r="AF570" s="511" t="str">
        <f>VLOOKUP(Primary_Order[[#This Row],[Product ID]],SKU[],10,0)</f>
        <v>Mineral</v>
      </c>
      <c r="AG570" s="511" t="str">
        <f>VLOOKUP(Primary_Order[[#This Row],[Product ID]],SKU[],9,0)</f>
        <v>MCO</v>
      </c>
      <c r="AH570" s="511" t="str">
        <f>VLOOKUP(Primary_Order[[#This Row],[Product ID]],SKU[],12,0)</f>
        <v>20W40</v>
      </c>
      <c r="AI570" s="511" t="str">
        <f>VLOOKUP(Primary_Order[[#This Row],[Product ID]],SKU[],13,0)</f>
        <v xml:space="preserve">RUN </v>
      </c>
      <c r="AJ570" s="233">
        <f>VLOOKUP(Primary_Order[[#This Row],[Product ID]],SKU[[SKU ID]:[Bottle Size(Ltr)]],6,0)*Primary_Order[[#This Row],[Free Quantity]]</f>
        <v>0</v>
      </c>
      <c r="AK570" s="511" t="str">
        <f>VLOOKUP(Primary_Order[[#This Row],[Product ID]],SKU[[SKU ID]:[Bottle Size(Ltr)]],4,0)</f>
        <v>20x1L</v>
      </c>
      <c r="AL570" s="231">
        <f>VLOOKUP(Primary_Order[[#This Row],[Product ID]],SKU[],14,0)*Primary_Order[[#This Row],[Total Qty]]</f>
        <v>79105.399999999994</v>
      </c>
      <c r="AM570" s="231">
        <f>IF(Primary_Order[[#This Row],[Cost]]=0,0,Primary_Order[[#This Row],[Net Total(-15%)]]-Primary_Order[[#This Row],[Cost]])</f>
        <v>-2583.6608695652103</v>
      </c>
      <c r="AN570" s="511" t="str">
        <f>"O-"&amp;Primary_Order[[#This Row],[Date]]&amp;"-"&amp;Primary_Order[[#This Row],[MMD ID]]</f>
        <v>O-45774-D-0014</v>
      </c>
      <c r="AO570" s="511" t="str" cm="1">
        <f t="array" ref="AO57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1" spans="1:41" x14ac:dyDescent="0.5">
      <c r="A571" s="511" t="s">
        <v>1500</v>
      </c>
      <c r="B571" s="512">
        <v>45775</v>
      </c>
      <c r="C571" s="511" t="s">
        <v>273</v>
      </c>
      <c r="D571" s="511" t="s">
        <v>1482</v>
      </c>
      <c r="E571" s="511" t="s">
        <v>275</v>
      </c>
      <c r="F571" s="511" t="s">
        <v>50</v>
      </c>
      <c r="G571" s="511" t="s">
        <v>39</v>
      </c>
      <c r="H571" s="511" t="s">
        <v>40</v>
      </c>
      <c r="I571" s="511" t="s">
        <v>274</v>
      </c>
      <c r="J571" s="511" t="s">
        <v>275</v>
      </c>
      <c r="K571" s="511" t="s">
        <v>156</v>
      </c>
      <c r="L571" s="206" t="str">
        <f>VLOOKUP(Primary_Order[[#This Row],[Product ID]],SKU[],3,0)</f>
        <v>2000 Multi Power 20W50</v>
      </c>
      <c r="M571" s="231">
        <v>44</v>
      </c>
      <c r="N571" s="231">
        <v>2350</v>
      </c>
      <c r="O571" s="231">
        <v>176</v>
      </c>
      <c r="P571" s="232">
        <v>0.57446808510638303</v>
      </c>
      <c r="Q571" s="231">
        <v>0</v>
      </c>
      <c r="R571" s="231">
        <v>1000</v>
      </c>
      <c r="S571" s="231">
        <v>44</v>
      </c>
      <c r="T571" s="231">
        <v>176</v>
      </c>
      <c r="U571" s="231">
        <v>103400</v>
      </c>
      <c r="V571" s="231">
        <v>0</v>
      </c>
      <c r="W571" s="231">
        <v>44000</v>
      </c>
      <c r="X571" s="231">
        <v>5739.130434782609</v>
      </c>
      <c r="Y571" s="231">
        <v>38260.869565217392</v>
      </c>
      <c r="Z571" s="511" t="s">
        <v>882</v>
      </c>
      <c r="AA571" s="511">
        <v>713</v>
      </c>
      <c r="AB571" s="513" t="s">
        <v>1170</v>
      </c>
      <c r="AC571" s="512">
        <v>45775</v>
      </c>
      <c r="AD571" s="513" t="s">
        <v>50</v>
      </c>
      <c r="AE571" s="511" t="str">
        <f>IFERROR(VLOOKUP(Primary_Order[[#This Row],[AM]],SP!$E$19:$F$23,2,0),Primary_Order[[#This Row],[AM]])</f>
        <v>Central</v>
      </c>
      <c r="AF571" s="511" t="str">
        <f>VLOOKUP(Primary_Order[[#This Row],[Product ID]],SKU[],10,0)</f>
        <v>Mineral</v>
      </c>
      <c r="AG571" s="511" t="str">
        <f>VLOOKUP(Primary_Order[[#This Row],[Product ID]],SKU[],9,0)</f>
        <v>PCMO</v>
      </c>
      <c r="AH571" s="511" t="str">
        <f>VLOOKUP(Primary_Order[[#This Row],[Product ID]],SKU[],12,0)</f>
        <v>20W50</v>
      </c>
      <c r="AI571" s="511" t="str">
        <f>VLOOKUP(Primary_Order[[#This Row],[Product ID]],SKU[],13,0)</f>
        <v>2000</v>
      </c>
      <c r="AJ571" s="233">
        <f>VLOOKUP(Primary_Order[[#This Row],[Product ID]],SKU[[SKU ID]:[Bottle Size(Ltr)]],6,0)*Primary_Order[[#This Row],[Free Quantity]]</f>
        <v>0</v>
      </c>
      <c r="AK571" s="511" t="str">
        <f>VLOOKUP(Primary_Order[[#This Row],[Product ID]],SKU[[SKU ID]:[Bottle Size(Ltr)]],4,0)</f>
        <v>4X4L</v>
      </c>
      <c r="AL571" s="231">
        <f>VLOOKUP(Primary_Order[[#This Row],[Product ID]],SKU[],14,0)*Primary_Order[[#This Row],[Total Qty]]</f>
        <v>48199.8</v>
      </c>
      <c r="AM571" s="231">
        <f>IF(Primary_Order[[#This Row],[Cost]]=0,0,Primary_Order[[#This Row],[Net Total(-15%)]]-Primary_Order[[#This Row],[Cost]])</f>
        <v>-9938.930434782611</v>
      </c>
      <c r="AN571" s="511" t="str">
        <f>"O-"&amp;Primary_Order[[#This Row],[Date]]&amp;"-"&amp;Primary_Order[[#This Row],[MMD ID]]</f>
        <v>O-45775-D-0030</v>
      </c>
      <c r="AO571" s="511" t="str" cm="1">
        <f t="array" ref="AO57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2" spans="1:41" x14ac:dyDescent="0.5">
      <c r="A572" s="511" t="s">
        <v>1501</v>
      </c>
      <c r="B572" s="512">
        <v>45776</v>
      </c>
      <c r="C572" s="511" t="s">
        <v>26</v>
      </c>
      <c r="D572" s="511" t="s">
        <v>1486</v>
      </c>
      <c r="E572" s="511" t="s">
        <v>1487</v>
      </c>
      <c r="F572" s="511" t="s">
        <v>1488</v>
      </c>
      <c r="G572" s="511" t="s">
        <v>27</v>
      </c>
      <c r="H572" s="511" t="s">
        <v>28</v>
      </c>
      <c r="I572" s="511" t="s">
        <v>29</v>
      </c>
      <c r="J572" s="511" t="s">
        <v>30</v>
      </c>
      <c r="K572" s="511" t="s">
        <v>81</v>
      </c>
      <c r="L572" s="206" t="str">
        <f>VLOOKUP(Primary_Order[[#This Row],[Product ID]],SKU[],3,0)</f>
        <v>3000 4T 20W50</v>
      </c>
      <c r="M572" s="231">
        <v>40</v>
      </c>
      <c r="N572" s="231">
        <v>420</v>
      </c>
      <c r="O572" s="231">
        <v>40</v>
      </c>
      <c r="P572" s="232">
        <v>0</v>
      </c>
      <c r="Q572" s="231">
        <v>0</v>
      </c>
      <c r="R572" s="231">
        <v>420</v>
      </c>
      <c r="S572" s="231">
        <v>40</v>
      </c>
      <c r="T572" s="231">
        <v>40</v>
      </c>
      <c r="U572" s="231">
        <v>16800</v>
      </c>
      <c r="V572" s="231">
        <v>0</v>
      </c>
      <c r="W572" s="231">
        <v>16800</v>
      </c>
      <c r="X572" s="231">
        <v>2191.304347826087</v>
      </c>
      <c r="Y572" s="231">
        <v>14608.695652173914</v>
      </c>
      <c r="Z572" s="511" t="s">
        <v>882</v>
      </c>
      <c r="AA572" s="511">
        <v>714</v>
      </c>
      <c r="AB572" s="513" t="s">
        <v>641</v>
      </c>
      <c r="AC572" s="512">
        <v>45776</v>
      </c>
      <c r="AD572" s="513" t="s">
        <v>50</v>
      </c>
      <c r="AE572" s="511" t="str">
        <f>IFERROR(VLOOKUP(Primary_Order[[#This Row],[AM]],SP!$E$19:$F$23,2,0),Primary_Order[[#This Row],[AM]])</f>
        <v>Eastern</v>
      </c>
      <c r="AF572" s="511" t="str">
        <f>VLOOKUP(Primary_Order[[#This Row],[Product ID]],SKU[],10,0)</f>
        <v>Mineral</v>
      </c>
      <c r="AG572" s="511" t="str">
        <f>VLOOKUP(Primary_Order[[#This Row],[Product ID]],SKU[],9,0)</f>
        <v>MCO</v>
      </c>
      <c r="AH572" s="511" t="str">
        <f>VLOOKUP(Primary_Order[[#This Row],[Product ID]],SKU[],12,0)</f>
        <v>20W50</v>
      </c>
      <c r="AI572" s="511" t="str">
        <f>VLOOKUP(Primary_Order[[#This Row],[Product ID]],SKU[],13,0)</f>
        <v>3000</v>
      </c>
      <c r="AJ572" s="233">
        <f>VLOOKUP(Primary_Order[[#This Row],[Product ID]],SKU[[SKU ID]:[Bottle Size(Ltr)]],6,0)*Primary_Order[[#This Row],[Free Quantity]]</f>
        <v>0</v>
      </c>
      <c r="AK572" s="511" t="str">
        <f>VLOOKUP(Primary_Order[[#This Row],[Product ID]],SKU[[SKU ID]:[Bottle Size(Ltr)]],4,0)</f>
        <v>20x1L</v>
      </c>
      <c r="AL572" s="231">
        <f>VLOOKUP(Primary_Order[[#This Row],[Product ID]],SKU[],14,0)*Primary_Order[[#This Row],[Total Qty]]</f>
        <v>14596.800000000001</v>
      </c>
      <c r="AM572" s="231">
        <f>IF(Primary_Order[[#This Row],[Cost]]=0,0,Primary_Order[[#This Row],[Net Total(-15%)]]-Primary_Order[[#This Row],[Cost]])</f>
        <v>11.895652173912822</v>
      </c>
      <c r="AN572" s="511" t="str">
        <f>"O-"&amp;Primary_Order[[#This Row],[Date]]&amp;"-"&amp;Primary_Order[[#This Row],[MMD ID]]</f>
        <v>O-45776-D-0018</v>
      </c>
      <c r="AO572" s="511" t="str" cm="1">
        <f t="array" ref="AO57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3" spans="1:41" x14ac:dyDescent="0.5">
      <c r="A573" s="511" t="s">
        <v>1504</v>
      </c>
      <c r="B573" s="512">
        <v>45777</v>
      </c>
      <c r="C573" s="511" t="s">
        <v>123</v>
      </c>
      <c r="D573" s="511" t="s">
        <v>124</v>
      </c>
      <c r="E573" s="511" t="s">
        <v>80</v>
      </c>
      <c r="F573" s="511" t="s">
        <v>50</v>
      </c>
      <c r="G573" s="511" t="s">
        <v>79</v>
      </c>
      <c r="H573" s="511" t="s">
        <v>40</v>
      </c>
      <c r="I573" s="511" t="s">
        <v>124</v>
      </c>
      <c r="J573" s="511" t="s">
        <v>80</v>
      </c>
      <c r="K573" s="511" t="s">
        <v>75</v>
      </c>
      <c r="L573" s="206" t="str">
        <f>VLOOKUP(Primary_Order[[#This Row],[Product ID]],SKU[],3,0)</f>
        <v>31004T GOLD 20W50</v>
      </c>
      <c r="M573" s="231">
        <v>240</v>
      </c>
      <c r="N573" s="231">
        <v>600</v>
      </c>
      <c r="O573" s="231">
        <v>240</v>
      </c>
      <c r="P573" s="232">
        <v>8.333333333333337E-2</v>
      </c>
      <c r="Q573" s="231">
        <v>0</v>
      </c>
      <c r="R573" s="231">
        <v>550</v>
      </c>
      <c r="S573" s="231">
        <v>240</v>
      </c>
      <c r="T573" s="231">
        <v>240</v>
      </c>
      <c r="U573" s="231">
        <v>144000</v>
      </c>
      <c r="V573" s="231">
        <v>0</v>
      </c>
      <c r="W573" s="231">
        <v>132000</v>
      </c>
      <c r="X573" s="231">
        <v>17217.391304347828</v>
      </c>
      <c r="Y573" s="231">
        <v>114782.60869565218</v>
      </c>
      <c r="Z573" s="511" t="s">
        <v>882</v>
      </c>
      <c r="AA573" s="511" t="s">
        <v>50</v>
      </c>
      <c r="AB573" s="513" t="s">
        <v>1170</v>
      </c>
      <c r="AC573" s="512" t="s">
        <v>50</v>
      </c>
      <c r="AD573" s="513" t="s">
        <v>50</v>
      </c>
      <c r="AE573" s="511" t="str">
        <f>IFERROR(VLOOKUP(Primary_Order[[#This Row],[AM]],SP!$E$19:$F$23,2,0),Primary_Order[[#This Row],[AM]])</f>
        <v>Central</v>
      </c>
      <c r="AF573" s="511" t="str">
        <f>VLOOKUP(Primary_Order[[#This Row],[Product ID]],SKU[],10,0)</f>
        <v>Technosynthese</v>
      </c>
      <c r="AG573" s="511" t="str">
        <f>VLOOKUP(Primary_Order[[#This Row],[Product ID]],SKU[],9,0)</f>
        <v>MCO</v>
      </c>
      <c r="AH573" s="511" t="str">
        <f>VLOOKUP(Primary_Order[[#This Row],[Product ID]],SKU[],12,0)</f>
        <v>20W50</v>
      </c>
      <c r="AI573" s="511" t="str">
        <f>VLOOKUP(Primary_Order[[#This Row],[Product ID]],SKU[],13,0)</f>
        <v>3100</v>
      </c>
      <c r="AJ573" s="233">
        <f>VLOOKUP(Primary_Order[[#This Row],[Product ID]],SKU[[SKU ID]:[Bottle Size(Ltr)]],6,0)*Primary_Order[[#This Row],[Free Quantity]]</f>
        <v>0</v>
      </c>
      <c r="AK573" s="511" t="str">
        <f>VLOOKUP(Primary_Order[[#This Row],[Product ID]],SKU[[SKU ID]:[Bottle Size(Ltr)]],4,0)</f>
        <v>20x1L</v>
      </c>
      <c r="AL573" s="231">
        <f>VLOOKUP(Primary_Order[[#This Row],[Product ID]],SKU[],14,0)*Primary_Order[[#This Row],[Total Qty]]</f>
        <v>112653.59999999999</v>
      </c>
      <c r="AM573" s="231">
        <f>IF(Primary_Order[[#This Row],[Cost]]=0,0,Primary_Order[[#This Row],[Net Total(-15%)]]-Primary_Order[[#This Row],[Cost]])</f>
        <v>2129.0086956521845</v>
      </c>
      <c r="AN573" s="511" t="str">
        <f>"O-"&amp;Primary_Order[[#This Row],[Date]]&amp;"-"&amp;Primary_Order[[#This Row],[MMD ID]]</f>
        <v>O-45777-D-0015</v>
      </c>
      <c r="AO573" s="511" t="str" cm="1">
        <f t="array" ref="AO57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74" spans="1:41" x14ac:dyDescent="0.5">
      <c r="A574" s="511" t="s">
        <v>1505</v>
      </c>
      <c r="B574" s="512">
        <v>45777</v>
      </c>
      <c r="C574" s="511" t="s">
        <v>110</v>
      </c>
      <c r="D574" s="511" t="s">
        <v>1502</v>
      </c>
      <c r="E574" s="511" t="s">
        <v>52</v>
      </c>
      <c r="F574" s="511" t="s">
        <v>50</v>
      </c>
      <c r="G574" s="511" t="s">
        <v>87</v>
      </c>
      <c r="H574" s="511" t="s">
        <v>87</v>
      </c>
      <c r="I574" s="511" t="s">
        <v>88</v>
      </c>
      <c r="J574" s="511" t="s">
        <v>52</v>
      </c>
      <c r="K574" s="511" t="s">
        <v>96</v>
      </c>
      <c r="L574" s="206" t="str">
        <f>VLOOKUP(Primary_Order[[#This Row],[Product ID]],SKU[],3,0)</f>
        <v>8100 X.Max 0W40</v>
      </c>
      <c r="M574" s="231">
        <v>100</v>
      </c>
      <c r="N574" s="231">
        <v>5600</v>
      </c>
      <c r="O574" s="231">
        <v>400</v>
      </c>
      <c r="P574" s="232">
        <v>0.4642857142857143</v>
      </c>
      <c r="Q574" s="231">
        <v>0</v>
      </c>
      <c r="R574" s="231">
        <v>3000</v>
      </c>
      <c r="S574" s="231">
        <v>100</v>
      </c>
      <c r="T574" s="231">
        <v>400</v>
      </c>
      <c r="U574" s="231">
        <v>560000</v>
      </c>
      <c r="V574" s="231">
        <v>0</v>
      </c>
      <c r="W574" s="231">
        <v>300000</v>
      </c>
      <c r="X574" s="231">
        <v>39130.434782608696</v>
      </c>
      <c r="Y574" s="231">
        <v>260869.5652173913</v>
      </c>
      <c r="Z574" s="511" t="s">
        <v>882</v>
      </c>
      <c r="AA574" s="511">
        <v>716</v>
      </c>
      <c r="AB574" s="513" t="s">
        <v>1170</v>
      </c>
      <c r="AC574" s="512" t="s">
        <v>50</v>
      </c>
      <c r="AD574" s="513" t="s">
        <v>50</v>
      </c>
      <c r="AE574" s="511" t="str">
        <f>IFERROR(VLOOKUP(Primary_Order[[#This Row],[AM]],SP!$E$19:$F$23,2,0),Primary_Order[[#This Row],[AM]])</f>
        <v>Captive Sales</v>
      </c>
      <c r="AF574" s="511" t="str">
        <f>VLOOKUP(Primary_Order[[#This Row],[Product ID]],SKU[],10,0)</f>
        <v>Synthetic</v>
      </c>
      <c r="AG574" s="511" t="str">
        <f>VLOOKUP(Primary_Order[[#This Row],[Product ID]],SKU[],9,0)</f>
        <v>PCMO</v>
      </c>
      <c r="AH574" s="511" t="str">
        <f>VLOOKUP(Primary_Order[[#This Row],[Product ID]],SKU[],12,0)</f>
        <v>0W40</v>
      </c>
      <c r="AI574" s="511" t="str">
        <f>VLOOKUP(Primary_Order[[#This Row],[Product ID]],SKU[],13,0)</f>
        <v>8100</v>
      </c>
      <c r="AJ574" s="233">
        <f>VLOOKUP(Primary_Order[[#This Row],[Product ID]],SKU[[SKU ID]:[Bottle Size(Ltr)]],6,0)*Primary_Order[[#This Row],[Free Quantity]]</f>
        <v>0</v>
      </c>
      <c r="AK574" s="511" t="str">
        <f>VLOOKUP(Primary_Order[[#This Row],[Product ID]],SKU[[SKU ID]:[Bottle Size(Ltr)]],4,0)</f>
        <v>4x4L</v>
      </c>
      <c r="AL574" s="231">
        <f>VLOOKUP(Primary_Order[[#This Row],[Product ID]],SKU[],14,0)*Primary_Order[[#This Row],[Total Qty]]</f>
        <v>293597</v>
      </c>
      <c r="AM574" s="231">
        <f>IF(Primary_Order[[#This Row],[Cost]]=0,0,Primary_Order[[#This Row],[Net Total(-15%)]]-Primary_Order[[#This Row],[Cost]])</f>
        <v>-32727.434782608703</v>
      </c>
      <c r="AN574" s="511" t="str">
        <f>"O-"&amp;Primary_Order[[#This Row],[Date]]&amp;"-"&amp;Primary_Order[[#This Row],[MMD ID]]</f>
        <v>O-45777-D-0025</v>
      </c>
      <c r="AO574" s="511" t="str" cm="1">
        <f t="array" ref="AO57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5" spans="1:41" x14ac:dyDescent="0.5">
      <c r="A575" s="511" t="s">
        <v>1506</v>
      </c>
      <c r="B575" s="512">
        <v>45774</v>
      </c>
      <c r="C575" s="511" t="s">
        <v>123</v>
      </c>
      <c r="D575" s="511" t="s">
        <v>124</v>
      </c>
      <c r="E575" s="511" t="s">
        <v>1247</v>
      </c>
      <c r="F575" s="511" t="s">
        <v>50</v>
      </c>
      <c r="G575" s="511" t="s">
        <v>79</v>
      </c>
      <c r="H575" s="511" t="s">
        <v>40</v>
      </c>
      <c r="I575" s="511" t="s">
        <v>124</v>
      </c>
      <c r="J575" s="511" t="s">
        <v>80</v>
      </c>
      <c r="K575" s="511" t="s">
        <v>31</v>
      </c>
      <c r="L575" s="206" t="str">
        <f>VLOOKUP(Primary_Order[[#This Row],[Product ID]],SKU[],3,0)</f>
        <v>3000 4T PLUS 10W30</v>
      </c>
      <c r="M575" s="231">
        <v>600</v>
      </c>
      <c r="N575" s="231">
        <v>540</v>
      </c>
      <c r="O575" s="231">
        <v>600</v>
      </c>
      <c r="P575" s="232">
        <v>4.629629629629628E-2</v>
      </c>
      <c r="Q575" s="231">
        <v>0</v>
      </c>
      <c r="R575" s="231">
        <v>515</v>
      </c>
      <c r="S575" s="231">
        <v>600</v>
      </c>
      <c r="T575" s="231">
        <v>600</v>
      </c>
      <c r="U575" s="231">
        <v>324000</v>
      </c>
      <c r="V575" s="231">
        <v>0</v>
      </c>
      <c r="W575" s="231">
        <v>309000</v>
      </c>
      <c r="X575" s="231">
        <v>40304.34782608696</v>
      </c>
      <c r="Y575" s="231">
        <v>268695.65217391303</v>
      </c>
      <c r="Z575" s="511" t="s">
        <v>882</v>
      </c>
      <c r="AA575" s="511">
        <v>717</v>
      </c>
      <c r="AB575" s="513" t="s">
        <v>1170</v>
      </c>
      <c r="AC575" s="512" t="s">
        <v>50</v>
      </c>
      <c r="AD575" s="513" t="s">
        <v>1466</v>
      </c>
      <c r="AE575" s="511" t="str">
        <f>IFERROR(VLOOKUP(Primary_Order[[#This Row],[AM]],SP!$E$19:$F$23,2,0),Primary_Order[[#This Row],[AM]])</f>
        <v>Central</v>
      </c>
      <c r="AF575" s="511" t="str">
        <f>VLOOKUP(Primary_Order[[#This Row],[Product ID]],SKU[],10,0)</f>
        <v>Mineral</v>
      </c>
      <c r="AG575" s="511" t="str">
        <f>VLOOKUP(Primary_Order[[#This Row],[Product ID]],SKU[],9,0)</f>
        <v>MCO</v>
      </c>
      <c r="AH575" s="511" t="str">
        <f>VLOOKUP(Primary_Order[[#This Row],[Product ID]],SKU[],12,0)</f>
        <v>10W30</v>
      </c>
      <c r="AI575" s="511" t="str">
        <f>VLOOKUP(Primary_Order[[#This Row],[Product ID]],SKU[],13,0)</f>
        <v>3000</v>
      </c>
      <c r="AJ575" s="233">
        <f>VLOOKUP(Primary_Order[[#This Row],[Product ID]],SKU[[SKU ID]:[Bottle Size(Ltr)]],6,0)*Primary_Order[[#This Row],[Free Quantity]]</f>
        <v>0</v>
      </c>
      <c r="AK575" s="511" t="str">
        <f>VLOOKUP(Primary_Order[[#This Row],[Product ID]],SKU[[SKU ID]:[Bottle Size(Ltr)]],4,0)</f>
        <v>20x1L</v>
      </c>
      <c r="AL575" s="231">
        <f>VLOOKUP(Primary_Order[[#This Row],[Product ID]],SKU[],14,0)*Primary_Order[[#This Row],[Total Qty]]</f>
        <v>227598</v>
      </c>
      <c r="AM575" s="231">
        <f>IF(Primary_Order[[#This Row],[Cost]]=0,0,Primary_Order[[#This Row],[Net Total(-15%)]]-Primary_Order[[#This Row],[Cost]])</f>
        <v>41097.652173913026</v>
      </c>
      <c r="AN575" s="511" t="str">
        <f>"O-"&amp;Primary_Order[[#This Row],[Date]]&amp;"-"&amp;Primary_Order[[#This Row],[MMD ID]]</f>
        <v>O-45774-D-0015</v>
      </c>
      <c r="AO575" s="511" t="str" cm="1">
        <f t="array" ref="AO57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6" spans="1:41" x14ac:dyDescent="0.5">
      <c r="A576" s="511" t="s">
        <v>1506</v>
      </c>
      <c r="B576" s="512">
        <v>45774</v>
      </c>
      <c r="C576" s="511" t="s">
        <v>123</v>
      </c>
      <c r="D576" s="511" t="s">
        <v>124</v>
      </c>
      <c r="E576" s="511" t="s">
        <v>1247</v>
      </c>
      <c r="F576" s="511" t="s">
        <v>50</v>
      </c>
      <c r="G576" s="511" t="s">
        <v>79</v>
      </c>
      <c r="H576" s="511" t="s">
        <v>40</v>
      </c>
      <c r="I576" s="511" t="s">
        <v>124</v>
      </c>
      <c r="J576" s="511" t="s">
        <v>80</v>
      </c>
      <c r="K576" s="511" t="s">
        <v>53</v>
      </c>
      <c r="L576" s="206" t="str">
        <f>VLOOKUP(Primary_Order[[#This Row],[Product ID]],SKU[],3,0)</f>
        <v>3000 4T PLUS 20W40</v>
      </c>
      <c r="M576" s="231">
        <v>1600</v>
      </c>
      <c r="N576" s="231">
        <v>535</v>
      </c>
      <c r="O576" s="231">
        <v>1600</v>
      </c>
      <c r="P576" s="232">
        <v>3.7383177570093462E-2</v>
      </c>
      <c r="Q576" s="231">
        <v>0</v>
      </c>
      <c r="R576" s="231">
        <v>515</v>
      </c>
      <c r="S576" s="231">
        <v>1600</v>
      </c>
      <c r="T576" s="231">
        <v>1600</v>
      </c>
      <c r="U576" s="231">
        <v>856000</v>
      </c>
      <c r="V576" s="231">
        <v>0</v>
      </c>
      <c r="W576" s="231">
        <v>824000</v>
      </c>
      <c r="X576" s="231">
        <v>107478.26086956522</v>
      </c>
      <c r="Y576" s="231">
        <v>716521.73913043481</v>
      </c>
      <c r="Z576" s="511" t="s">
        <v>882</v>
      </c>
      <c r="AA576" s="511">
        <v>717</v>
      </c>
      <c r="AB576" s="513" t="s">
        <v>1170</v>
      </c>
      <c r="AC576" s="512" t="s">
        <v>50</v>
      </c>
      <c r="AD576" s="513" t="s">
        <v>1466</v>
      </c>
      <c r="AE576" s="511" t="str">
        <f>IFERROR(VLOOKUP(Primary_Order[[#This Row],[AM]],SP!$E$19:$F$23,2,0),Primary_Order[[#This Row],[AM]])</f>
        <v>Central</v>
      </c>
      <c r="AF576" s="511" t="str">
        <f>VLOOKUP(Primary_Order[[#This Row],[Product ID]],SKU[],10,0)</f>
        <v>Mineral</v>
      </c>
      <c r="AG576" s="511" t="str">
        <f>VLOOKUP(Primary_Order[[#This Row],[Product ID]],SKU[],9,0)</f>
        <v>MCO</v>
      </c>
      <c r="AH576" s="511" t="str">
        <f>VLOOKUP(Primary_Order[[#This Row],[Product ID]],SKU[],12,0)</f>
        <v>20W40</v>
      </c>
      <c r="AI576" s="511" t="str">
        <f>VLOOKUP(Primary_Order[[#This Row],[Product ID]],SKU[],13,0)</f>
        <v>3000</v>
      </c>
      <c r="AJ576" s="233">
        <f>VLOOKUP(Primary_Order[[#This Row],[Product ID]],SKU[[SKU ID]:[Bottle Size(Ltr)]],6,0)*Primary_Order[[#This Row],[Free Quantity]]</f>
        <v>0</v>
      </c>
      <c r="AK576" s="511" t="str">
        <f>VLOOKUP(Primary_Order[[#This Row],[Product ID]],SKU[[SKU ID]:[Bottle Size(Ltr)]],4,0)</f>
        <v>20x1L</v>
      </c>
      <c r="AL576" s="231">
        <f>VLOOKUP(Primary_Order[[#This Row],[Product ID]],SKU[],14,0)*Primary_Order[[#This Row],[Total Qty]]</f>
        <v>660416</v>
      </c>
      <c r="AM576" s="231">
        <f>IF(Primary_Order[[#This Row],[Cost]]=0,0,Primary_Order[[#This Row],[Net Total(-15%)]]-Primary_Order[[#This Row],[Cost]])</f>
        <v>56105.739130434813</v>
      </c>
      <c r="AN576" s="511" t="str">
        <f>"O-"&amp;Primary_Order[[#This Row],[Date]]&amp;"-"&amp;Primary_Order[[#This Row],[MMD ID]]</f>
        <v>O-45774-D-0015</v>
      </c>
      <c r="AO576" s="511" t="str" cm="1">
        <f t="array" ref="AO57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7" spans="1:41" x14ac:dyDescent="0.5">
      <c r="A577" s="511" t="s">
        <v>1506</v>
      </c>
      <c r="B577" s="512">
        <v>45774</v>
      </c>
      <c r="C577" s="511" t="s">
        <v>123</v>
      </c>
      <c r="D577" s="511" t="s">
        <v>124</v>
      </c>
      <c r="E577" s="511" t="s">
        <v>1247</v>
      </c>
      <c r="F577" s="511" t="s">
        <v>50</v>
      </c>
      <c r="G577" s="511" t="s">
        <v>79</v>
      </c>
      <c r="H577" s="511" t="s">
        <v>40</v>
      </c>
      <c r="I577" s="511" t="s">
        <v>124</v>
      </c>
      <c r="J577" s="511" t="s">
        <v>80</v>
      </c>
      <c r="K577" s="511" t="s">
        <v>54</v>
      </c>
      <c r="L577" s="206" t="str">
        <f>VLOOKUP(Primary_Order[[#This Row],[Product ID]],SKU[],3,0)</f>
        <v>3000 4T PLUS 10W40</v>
      </c>
      <c r="M577" s="231">
        <v>900</v>
      </c>
      <c r="N577" s="231">
        <v>550</v>
      </c>
      <c r="O577" s="231">
        <v>900</v>
      </c>
      <c r="P577" s="232">
        <v>6.3636363636363602E-2</v>
      </c>
      <c r="Q577" s="231">
        <v>0</v>
      </c>
      <c r="R577" s="231">
        <v>515</v>
      </c>
      <c r="S577" s="231">
        <v>900</v>
      </c>
      <c r="T577" s="231">
        <v>900</v>
      </c>
      <c r="U577" s="231">
        <v>495000</v>
      </c>
      <c r="V577" s="231">
        <v>0</v>
      </c>
      <c r="W577" s="231">
        <v>463500</v>
      </c>
      <c r="X577" s="231">
        <v>60456.521739130432</v>
      </c>
      <c r="Y577" s="231">
        <v>403043.47826086957</v>
      </c>
      <c r="Z577" s="511" t="s">
        <v>882</v>
      </c>
      <c r="AA577" s="511">
        <v>717</v>
      </c>
      <c r="AB577" s="513" t="s">
        <v>1170</v>
      </c>
      <c r="AC577" s="512" t="s">
        <v>50</v>
      </c>
      <c r="AD577" s="513" t="s">
        <v>1466</v>
      </c>
      <c r="AE577" s="511" t="str">
        <f>IFERROR(VLOOKUP(Primary_Order[[#This Row],[AM]],SP!$E$19:$F$23,2,0),Primary_Order[[#This Row],[AM]])</f>
        <v>Central</v>
      </c>
      <c r="AF577" s="511" t="str">
        <f>VLOOKUP(Primary_Order[[#This Row],[Product ID]],SKU[],10,0)</f>
        <v>Mineral</v>
      </c>
      <c r="AG577" s="511" t="str">
        <f>VLOOKUP(Primary_Order[[#This Row],[Product ID]],SKU[],9,0)</f>
        <v>MCO</v>
      </c>
      <c r="AH577" s="511" t="str">
        <f>VLOOKUP(Primary_Order[[#This Row],[Product ID]],SKU[],12,0)</f>
        <v>10W40</v>
      </c>
      <c r="AI577" s="511" t="str">
        <f>VLOOKUP(Primary_Order[[#This Row],[Product ID]],SKU[],13,0)</f>
        <v>3000</v>
      </c>
      <c r="AJ577" s="233">
        <f>VLOOKUP(Primary_Order[[#This Row],[Product ID]],SKU[[SKU ID]:[Bottle Size(Ltr)]],6,0)*Primary_Order[[#This Row],[Free Quantity]]</f>
        <v>0</v>
      </c>
      <c r="AK577" s="511" t="str">
        <f>VLOOKUP(Primary_Order[[#This Row],[Product ID]],SKU[[SKU ID]:[Bottle Size(Ltr)]],4,0)</f>
        <v>20x1L</v>
      </c>
      <c r="AL577" s="231">
        <f>VLOOKUP(Primary_Order[[#This Row],[Product ID]],SKU[],14,0)*Primary_Order[[#This Row],[Total Qty]]</f>
        <v>346365</v>
      </c>
      <c r="AM577" s="231">
        <f>IF(Primary_Order[[#This Row],[Cost]]=0,0,Primary_Order[[#This Row],[Net Total(-15%)]]-Primary_Order[[#This Row],[Cost]])</f>
        <v>56678.478260869568</v>
      </c>
      <c r="AN577" s="511" t="str">
        <f>"O-"&amp;Primary_Order[[#This Row],[Date]]&amp;"-"&amp;Primary_Order[[#This Row],[MMD ID]]</f>
        <v>O-45774-D-0015</v>
      </c>
      <c r="AO577" s="511" t="str" cm="1">
        <f t="array" ref="AO57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8" spans="1:41" x14ac:dyDescent="0.5">
      <c r="A578" s="511" t="s">
        <v>1507</v>
      </c>
      <c r="B578" s="512">
        <v>45775</v>
      </c>
      <c r="C578" s="511" t="s">
        <v>97</v>
      </c>
      <c r="D578" s="511" t="s">
        <v>98</v>
      </c>
      <c r="E578" s="511" t="s">
        <v>453</v>
      </c>
      <c r="F578" s="511" t="s">
        <v>50</v>
      </c>
      <c r="G578" s="511" t="s">
        <v>709</v>
      </c>
      <c r="H578" s="511" t="s">
        <v>40</v>
      </c>
      <c r="I578" s="511" t="s">
        <v>98</v>
      </c>
      <c r="J578" s="511" t="s">
        <v>452</v>
      </c>
      <c r="K578" s="511" t="s">
        <v>54</v>
      </c>
      <c r="L578" s="206" t="str">
        <f>VLOOKUP(Primary_Order[[#This Row],[Product ID]],SKU[],3,0)</f>
        <v>3000 4T PLUS 10W40</v>
      </c>
      <c r="M578" s="231">
        <v>1280</v>
      </c>
      <c r="N578" s="231">
        <v>515</v>
      </c>
      <c r="O578" s="231">
        <v>1280</v>
      </c>
      <c r="P578" s="232">
        <v>0</v>
      </c>
      <c r="Q578" s="231">
        <v>0</v>
      </c>
      <c r="R578" s="231">
        <v>515</v>
      </c>
      <c r="S578" s="231">
        <v>1280</v>
      </c>
      <c r="T578" s="231">
        <v>1280</v>
      </c>
      <c r="U578" s="231">
        <v>659200</v>
      </c>
      <c r="V578" s="231">
        <v>0</v>
      </c>
      <c r="W578" s="231">
        <v>659200</v>
      </c>
      <c r="X578" s="231">
        <v>85982.608695652176</v>
      </c>
      <c r="Y578" s="231">
        <v>573217.39130434778</v>
      </c>
      <c r="Z578" s="511" t="s">
        <v>882</v>
      </c>
      <c r="AA578" s="511">
        <v>715</v>
      </c>
      <c r="AB578" s="513" t="s">
        <v>641</v>
      </c>
      <c r="AC578" s="512" t="s">
        <v>50</v>
      </c>
      <c r="AD578" s="513" t="s">
        <v>50</v>
      </c>
      <c r="AE578" s="511" t="str">
        <f>IFERROR(VLOOKUP(Primary_Order[[#This Row],[AM]],SP!$E$19:$F$23,2,0),Primary_Order[[#This Row],[AM]])</f>
        <v>Central</v>
      </c>
      <c r="AF578" s="511" t="str">
        <f>VLOOKUP(Primary_Order[[#This Row],[Product ID]],SKU[],10,0)</f>
        <v>Mineral</v>
      </c>
      <c r="AG578" s="511" t="str">
        <f>VLOOKUP(Primary_Order[[#This Row],[Product ID]],SKU[],9,0)</f>
        <v>MCO</v>
      </c>
      <c r="AH578" s="511" t="str">
        <f>VLOOKUP(Primary_Order[[#This Row],[Product ID]],SKU[],12,0)</f>
        <v>10W40</v>
      </c>
      <c r="AI578" s="511" t="str">
        <f>VLOOKUP(Primary_Order[[#This Row],[Product ID]],SKU[],13,0)</f>
        <v>3000</v>
      </c>
      <c r="AJ578" s="233">
        <f>VLOOKUP(Primary_Order[[#This Row],[Product ID]],SKU[[SKU ID]:[Bottle Size(Ltr)]],6,0)*Primary_Order[[#This Row],[Free Quantity]]</f>
        <v>0</v>
      </c>
      <c r="AK578" s="511" t="str">
        <f>VLOOKUP(Primary_Order[[#This Row],[Product ID]],SKU[[SKU ID]:[Bottle Size(Ltr)]],4,0)</f>
        <v>20x1L</v>
      </c>
      <c r="AL578" s="231">
        <f>VLOOKUP(Primary_Order[[#This Row],[Product ID]],SKU[],14,0)*Primary_Order[[#This Row],[Total Qty]]</f>
        <v>492608</v>
      </c>
      <c r="AM578" s="231">
        <f>IF(Primary_Order[[#This Row],[Cost]]=0,0,Primary_Order[[#This Row],[Net Total(-15%)]]-Primary_Order[[#This Row],[Cost]])</f>
        <v>80609.391304347781</v>
      </c>
      <c r="AN578" s="511" t="str">
        <f>"O-"&amp;Primary_Order[[#This Row],[Date]]&amp;"-"&amp;Primary_Order[[#This Row],[MMD ID]]</f>
        <v>O-45775-D-0001</v>
      </c>
      <c r="AO578" s="511" t="str" cm="1">
        <f t="array" ref="AO57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79" spans="1:41" x14ac:dyDescent="0.5">
      <c r="A579" s="511" t="s">
        <v>1507</v>
      </c>
      <c r="B579" s="512">
        <v>45775</v>
      </c>
      <c r="C579" s="511" t="s">
        <v>97</v>
      </c>
      <c r="D579" s="511" t="s">
        <v>98</v>
      </c>
      <c r="E579" s="511" t="s">
        <v>453</v>
      </c>
      <c r="F579" s="511" t="s">
        <v>50</v>
      </c>
      <c r="G579" s="511" t="s">
        <v>709</v>
      </c>
      <c r="H579" s="511" t="s">
        <v>40</v>
      </c>
      <c r="I579" s="511" t="s">
        <v>98</v>
      </c>
      <c r="J579" s="511" t="s">
        <v>452</v>
      </c>
      <c r="K579" s="511" t="s">
        <v>36</v>
      </c>
      <c r="L579" s="206" t="str">
        <f>VLOOKUP(Primary_Order[[#This Row],[Product ID]],SKU[],3,0)</f>
        <v>51004T 10W40 ESTER</v>
      </c>
      <c r="M579" s="231">
        <v>240</v>
      </c>
      <c r="N579" s="231">
        <v>820</v>
      </c>
      <c r="O579" s="231">
        <v>240</v>
      </c>
      <c r="P579" s="232">
        <v>0</v>
      </c>
      <c r="Q579" s="231">
        <v>0</v>
      </c>
      <c r="R579" s="231">
        <v>820</v>
      </c>
      <c r="S579" s="231">
        <v>240</v>
      </c>
      <c r="T579" s="231">
        <v>240</v>
      </c>
      <c r="U579" s="231">
        <v>196800</v>
      </c>
      <c r="V579" s="231">
        <v>0</v>
      </c>
      <c r="W579" s="231">
        <v>196800</v>
      </c>
      <c r="X579" s="231">
        <v>25669.565217391304</v>
      </c>
      <c r="Y579" s="231">
        <v>171130.4347826087</v>
      </c>
      <c r="Z579" s="511" t="s">
        <v>882</v>
      </c>
      <c r="AA579" s="511">
        <v>715</v>
      </c>
      <c r="AB579" s="513" t="s">
        <v>641</v>
      </c>
      <c r="AC579" s="512" t="s">
        <v>50</v>
      </c>
      <c r="AD579" s="513" t="s">
        <v>50</v>
      </c>
      <c r="AE579" s="511" t="str">
        <f>IFERROR(VLOOKUP(Primary_Order[[#This Row],[AM]],SP!$E$19:$F$23,2,0),Primary_Order[[#This Row],[AM]])</f>
        <v>Central</v>
      </c>
      <c r="AF579" s="511" t="str">
        <f>VLOOKUP(Primary_Order[[#This Row],[Product ID]],SKU[],10,0)</f>
        <v>Technosynthese</v>
      </c>
      <c r="AG579" s="511" t="str">
        <f>VLOOKUP(Primary_Order[[#This Row],[Product ID]],SKU[],9,0)</f>
        <v>MCO</v>
      </c>
      <c r="AH579" s="511" t="str">
        <f>VLOOKUP(Primary_Order[[#This Row],[Product ID]],SKU[],12,0)</f>
        <v>10W40</v>
      </c>
      <c r="AI579" s="511" t="str">
        <f>VLOOKUP(Primary_Order[[#This Row],[Product ID]],SKU[],13,0)</f>
        <v>5100</v>
      </c>
      <c r="AJ579" s="233">
        <f>VLOOKUP(Primary_Order[[#This Row],[Product ID]],SKU[[SKU ID]:[Bottle Size(Ltr)]],6,0)*Primary_Order[[#This Row],[Free Quantity]]</f>
        <v>0</v>
      </c>
      <c r="AK579" s="511" t="str">
        <f>VLOOKUP(Primary_Order[[#This Row],[Product ID]],SKU[[SKU ID]:[Bottle Size(Ltr)]],4,0)</f>
        <v>12x1L</v>
      </c>
      <c r="AL579" s="231">
        <f>VLOOKUP(Primary_Order[[#This Row],[Product ID]],SKU[],14,0)*Primary_Order[[#This Row],[Total Qty]]</f>
        <v>145999.20000000001</v>
      </c>
      <c r="AM579" s="231">
        <f>IF(Primary_Order[[#This Row],[Cost]]=0,0,Primary_Order[[#This Row],[Net Total(-15%)]]-Primary_Order[[#This Row],[Cost]])</f>
        <v>25131.234782608692</v>
      </c>
      <c r="AN579" s="511" t="str">
        <f>"O-"&amp;Primary_Order[[#This Row],[Date]]&amp;"-"&amp;Primary_Order[[#This Row],[MMD ID]]</f>
        <v>O-45775-D-0001</v>
      </c>
      <c r="AO579" s="511" t="str" cm="1">
        <f t="array" ref="AO57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80" spans="1:41" x14ac:dyDescent="0.5">
      <c r="A580" s="511" t="s">
        <v>1507</v>
      </c>
      <c r="B580" s="512">
        <v>45775</v>
      </c>
      <c r="C580" s="511" t="s">
        <v>97</v>
      </c>
      <c r="D580" s="511" t="s">
        <v>98</v>
      </c>
      <c r="E580" s="511" t="s">
        <v>453</v>
      </c>
      <c r="F580" s="511" t="s">
        <v>50</v>
      </c>
      <c r="G580" s="511" t="s">
        <v>709</v>
      </c>
      <c r="H580" s="511" t="s">
        <v>40</v>
      </c>
      <c r="I580" s="511" t="s">
        <v>98</v>
      </c>
      <c r="J580" s="511" t="s">
        <v>452</v>
      </c>
      <c r="K580" s="511" t="s">
        <v>81</v>
      </c>
      <c r="L580" s="206" t="str">
        <f>VLOOKUP(Primary_Order[[#This Row],[Product ID]],SKU[],3,0)</f>
        <v>3000 4T 20W50</v>
      </c>
      <c r="M580" s="231">
        <v>400</v>
      </c>
      <c r="N580" s="231">
        <v>400</v>
      </c>
      <c r="O580" s="231">
        <v>400</v>
      </c>
      <c r="P580" s="232">
        <v>0</v>
      </c>
      <c r="Q580" s="231">
        <v>0</v>
      </c>
      <c r="R580" s="231">
        <v>400</v>
      </c>
      <c r="S580" s="231">
        <v>400</v>
      </c>
      <c r="T580" s="231">
        <v>400</v>
      </c>
      <c r="U580" s="231">
        <v>160000</v>
      </c>
      <c r="V580" s="231">
        <v>0</v>
      </c>
      <c r="W580" s="231">
        <v>160000</v>
      </c>
      <c r="X580" s="231">
        <v>20869.565217391304</v>
      </c>
      <c r="Y580" s="231">
        <v>139130.4347826087</v>
      </c>
      <c r="Z580" s="511" t="s">
        <v>882</v>
      </c>
      <c r="AA580" s="511">
        <v>715</v>
      </c>
      <c r="AB580" s="513" t="s">
        <v>641</v>
      </c>
      <c r="AC580" s="512" t="s">
        <v>50</v>
      </c>
      <c r="AD580" s="513" t="s">
        <v>50</v>
      </c>
      <c r="AE580" s="511" t="str">
        <f>IFERROR(VLOOKUP(Primary_Order[[#This Row],[AM]],SP!$E$19:$F$23,2,0),Primary_Order[[#This Row],[AM]])</f>
        <v>Central</v>
      </c>
      <c r="AF580" s="511" t="str">
        <f>VLOOKUP(Primary_Order[[#This Row],[Product ID]],SKU[],10,0)</f>
        <v>Mineral</v>
      </c>
      <c r="AG580" s="511" t="str">
        <f>VLOOKUP(Primary_Order[[#This Row],[Product ID]],SKU[],9,0)</f>
        <v>MCO</v>
      </c>
      <c r="AH580" s="511" t="str">
        <f>VLOOKUP(Primary_Order[[#This Row],[Product ID]],SKU[],12,0)</f>
        <v>20W50</v>
      </c>
      <c r="AI580" s="511" t="str">
        <f>VLOOKUP(Primary_Order[[#This Row],[Product ID]],SKU[],13,0)</f>
        <v>3000</v>
      </c>
      <c r="AJ580" s="233">
        <f>VLOOKUP(Primary_Order[[#This Row],[Product ID]],SKU[[SKU ID]:[Bottle Size(Ltr)]],6,0)*Primary_Order[[#This Row],[Free Quantity]]</f>
        <v>0</v>
      </c>
      <c r="AK580" s="511" t="str">
        <f>VLOOKUP(Primary_Order[[#This Row],[Product ID]],SKU[[SKU ID]:[Bottle Size(Ltr)]],4,0)</f>
        <v>20x1L</v>
      </c>
      <c r="AL580" s="231">
        <f>VLOOKUP(Primary_Order[[#This Row],[Product ID]],SKU[],14,0)*Primary_Order[[#This Row],[Total Qty]]</f>
        <v>145968</v>
      </c>
      <c r="AM580" s="231">
        <f>IF(Primary_Order[[#This Row],[Cost]]=0,0,Primary_Order[[#This Row],[Net Total(-15%)]]-Primary_Order[[#This Row],[Cost]])</f>
        <v>-6837.5652173912968</v>
      </c>
      <c r="AN580" s="511" t="str">
        <f>"O-"&amp;Primary_Order[[#This Row],[Date]]&amp;"-"&amp;Primary_Order[[#This Row],[MMD ID]]</f>
        <v>O-45775-D-0001</v>
      </c>
      <c r="AO580" s="511" t="str" cm="1">
        <f t="array" ref="AO580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Delivered</v>
      </c>
    </row>
    <row r="581" spans="1:41" x14ac:dyDescent="0.5">
      <c r="A581" s="511" t="s">
        <v>1508</v>
      </c>
      <c r="B581" s="512">
        <v>45774</v>
      </c>
      <c r="C581" s="511" t="s">
        <v>123</v>
      </c>
      <c r="D581" s="511" t="s">
        <v>124</v>
      </c>
      <c r="E581" s="511" t="s">
        <v>1247</v>
      </c>
      <c r="F581" s="511" t="s">
        <v>50</v>
      </c>
      <c r="G581" s="511" t="s">
        <v>79</v>
      </c>
      <c r="H581" s="511" t="s">
        <v>40</v>
      </c>
      <c r="I581" s="511" t="s">
        <v>124</v>
      </c>
      <c r="J581" s="511" t="s">
        <v>80</v>
      </c>
      <c r="K581" s="511" t="s">
        <v>31</v>
      </c>
      <c r="L581" s="206" t="str">
        <f>VLOOKUP(Primary_Order[[#This Row],[Product ID]],SKU[],3,0)</f>
        <v>3000 4T PLUS 10W30</v>
      </c>
      <c r="M581" s="231">
        <v>400</v>
      </c>
      <c r="N581" s="231">
        <v>540</v>
      </c>
      <c r="O581" s="231">
        <v>400</v>
      </c>
      <c r="P581" s="232">
        <v>4.629629629629628E-2</v>
      </c>
      <c r="Q581" s="231">
        <v>0</v>
      </c>
      <c r="R581" s="231">
        <v>515</v>
      </c>
      <c r="S581" s="231">
        <v>400</v>
      </c>
      <c r="T581" s="231">
        <v>400</v>
      </c>
      <c r="U581" s="231">
        <v>216000</v>
      </c>
      <c r="V581" s="231">
        <v>0</v>
      </c>
      <c r="W581" s="231">
        <v>206000</v>
      </c>
      <c r="X581" s="231">
        <v>26869.565217391304</v>
      </c>
      <c r="Y581" s="231">
        <v>179130.4347826087</v>
      </c>
      <c r="Z581" s="511" t="s">
        <v>882</v>
      </c>
      <c r="AA581" s="511" t="s">
        <v>50</v>
      </c>
      <c r="AB581" s="513" t="s">
        <v>1170</v>
      </c>
      <c r="AC581" s="512" t="s">
        <v>50</v>
      </c>
      <c r="AD581" s="513" t="s">
        <v>1466</v>
      </c>
      <c r="AE581" s="511" t="str">
        <f>IFERROR(VLOOKUP(Primary_Order[[#This Row],[AM]],SP!$E$19:$F$23,2,0),Primary_Order[[#This Row],[AM]])</f>
        <v>Central</v>
      </c>
      <c r="AF581" s="511" t="str">
        <f>VLOOKUP(Primary_Order[[#This Row],[Product ID]],SKU[],10,0)</f>
        <v>Mineral</v>
      </c>
      <c r="AG581" s="511" t="str">
        <f>VLOOKUP(Primary_Order[[#This Row],[Product ID]],SKU[],9,0)</f>
        <v>MCO</v>
      </c>
      <c r="AH581" s="511" t="str">
        <f>VLOOKUP(Primary_Order[[#This Row],[Product ID]],SKU[],12,0)</f>
        <v>10W30</v>
      </c>
      <c r="AI581" s="511" t="str">
        <f>VLOOKUP(Primary_Order[[#This Row],[Product ID]],SKU[],13,0)</f>
        <v>3000</v>
      </c>
      <c r="AJ581" s="233">
        <f>VLOOKUP(Primary_Order[[#This Row],[Product ID]],SKU[[SKU ID]:[Bottle Size(Ltr)]],6,0)*Primary_Order[[#This Row],[Free Quantity]]</f>
        <v>0</v>
      </c>
      <c r="AK581" s="511" t="str">
        <f>VLOOKUP(Primary_Order[[#This Row],[Product ID]],SKU[[SKU ID]:[Bottle Size(Ltr)]],4,0)</f>
        <v>20x1L</v>
      </c>
      <c r="AL581" s="231">
        <f>VLOOKUP(Primary_Order[[#This Row],[Product ID]],SKU[],14,0)*Primary_Order[[#This Row],[Total Qty]]</f>
        <v>151732</v>
      </c>
      <c r="AM581" s="231">
        <f>IF(Primary_Order[[#This Row],[Cost]]=0,0,Primary_Order[[#This Row],[Net Total(-15%)]]-Primary_Order[[#This Row],[Cost]])</f>
        <v>27398.434782608703</v>
      </c>
      <c r="AN581" s="511" t="str">
        <f>"O-"&amp;Primary_Order[[#This Row],[Date]]&amp;"-"&amp;Primary_Order[[#This Row],[MMD ID]]</f>
        <v>O-45774-D-0015</v>
      </c>
      <c r="AO581" s="511" t="str" cm="1">
        <f t="array" ref="AO581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2" spans="1:41" x14ac:dyDescent="0.5">
      <c r="A582" s="511" t="s">
        <v>1508</v>
      </c>
      <c r="B582" s="512">
        <v>45774</v>
      </c>
      <c r="C582" s="511" t="s">
        <v>123</v>
      </c>
      <c r="D582" s="511" t="s">
        <v>124</v>
      </c>
      <c r="E582" s="511" t="s">
        <v>1247</v>
      </c>
      <c r="F582" s="511" t="s">
        <v>50</v>
      </c>
      <c r="G582" s="511" t="s">
        <v>79</v>
      </c>
      <c r="H582" s="511" t="s">
        <v>40</v>
      </c>
      <c r="I582" s="511" t="s">
        <v>124</v>
      </c>
      <c r="J582" s="511" t="s">
        <v>80</v>
      </c>
      <c r="K582" s="511" t="s">
        <v>53</v>
      </c>
      <c r="L582" s="206" t="str">
        <f>VLOOKUP(Primary_Order[[#This Row],[Product ID]],SKU[],3,0)</f>
        <v>3000 4T PLUS 20W40</v>
      </c>
      <c r="M582" s="231">
        <v>1400</v>
      </c>
      <c r="N582" s="231">
        <v>535</v>
      </c>
      <c r="O582" s="231">
        <v>1400</v>
      </c>
      <c r="P582" s="232">
        <v>3.7383177570093462E-2</v>
      </c>
      <c r="Q582" s="231">
        <v>0</v>
      </c>
      <c r="R582" s="231">
        <v>515</v>
      </c>
      <c r="S582" s="231">
        <v>1400</v>
      </c>
      <c r="T582" s="231">
        <v>1400</v>
      </c>
      <c r="U582" s="231">
        <v>749000</v>
      </c>
      <c r="V582" s="231">
        <v>0</v>
      </c>
      <c r="W582" s="231">
        <v>721000</v>
      </c>
      <c r="X582" s="231">
        <v>94043.478260869568</v>
      </c>
      <c r="Y582" s="231">
        <v>626956.52173913049</v>
      </c>
      <c r="Z582" s="511" t="s">
        <v>882</v>
      </c>
      <c r="AA582" s="511" t="s">
        <v>50</v>
      </c>
      <c r="AB582" s="513" t="s">
        <v>1170</v>
      </c>
      <c r="AC582" s="512" t="s">
        <v>50</v>
      </c>
      <c r="AD582" s="513" t="s">
        <v>1466</v>
      </c>
      <c r="AE582" s="511" t="str">
        <f>IFERROR(VLOOKUP(Primary_Order[[#This Row],[AM]],SP!$E$19:$F$23,2,0),Primary_Order[[#This Row],[AM]])</f>
        <v>Central</v>
      </c>
      <c r="AF582" s="511" t="str">
        <f>VLOOKUP(Primary_Order[[#This Row],[Product ID]],SKU[],10,0)</f>
        <v>Mineral</v>
      </c>
      <c r="AG582" s="511" t="str">
        <f>VLOOKUP(Primary_Order[[#This Row],[Product ID]],SKU[],9,0)</f>
        <v>MCO</v>
      </c>
      <c r="AH582" s="511" t="str">
        <f>VLOOKUP(Primary_Order[[#This Row],[Product ID]],SKU[],12,0)</f>
        <v>20W40</v>
      </c>
      <c r="AI582" s="511" t="str">
        <f>VLOOKUP(Primary_Order[[#This Row],[Product ID]],SKU[],13,0)</f>
        <v>3000</v>
      </c>
      <c r="AJ582" s="233">
        <f>VLOOKUP(Primary_Order[[#This Row],[Product ID]],SKU[[SKU ID]:[Bottle Size(Ltr)]],6,0)*Primary_Order[[#This Row],[Free Quantity]]</f>
        <v>0</v>
      </c>
      <c r="AK582" s="511" t="str">
        <f>VLOOKUP(Primary_Order[[#This Row],[Product ID]],SKU[[SKU ID]:[Bottle Size(Ltr)]],4,0)</f>
        <v>20x1L</v>
      </c>
      <c r="AL582" s="231">
        <f>VLOOKUP(Primary_Order[[#This Row],[Product ID]],SKU[],14,0)*Primary_Order[[#This Row],[Total Qty]]</f>
        <v>577864</v>
      </c>
      <c r="AM582" s="231">
        <f>IF(Primary_Order[[#This Row],[Cost]]=0,0,Primary_Order[[#This Row],[Net Total(-15%)]]-Primary_Order[[#This Row],[Cost]])</f>
        <v>49092.52173913049</v>
      </c>
      <c r="AN582" s="511" t="str">
        <f>"O-"&amp;Primary_Order[[#This Row],[Date]]&amp;"-"&amp;Primary_Order[[#This Row],[MMD ID]]</f>
        <v>O-45774-D-0015</v>
      </c>
      <c r="AO582" s="511" t="str" cm="1">
        <f t="array" ref="AO582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3" spans="1:41" x14ac:dyDescent="0.5">
      <c r="A583" s="511" t="s">
        <v>1508</v>
      </c>
      <c r="B583" s="512">
        <v>45774</v>
      </c>
      <c r="C583" s="511" t="s">
        <v>123</v>
      </c>
      <c r="D583" s="511" t="s">
        <v>124</v>
      </c>
      <c r="E583" s="511" t="s">
        <v>1247</v>
      </c>
      <c r="F583" s="511" t="s">
        <v>50</v>
      </c>
      <c r="G583" s="511" t="s">
        <v>79</v>
      </c>
      <c r="H583" s="511" t="s">
        <v>40</v>
      </c>
      <c r="I583" s="511" t="s">
        <v>124</v>
      </c>
      <c r="J583" s="511" t="s">
        <v>80</v>
      </c>
      <c r="K583" s="511" t="s">
        <v>54</v>
      </c>
      <c r="L583" s="206" t="str">
        <f>VLOOKUP(Primary_Order[[#This Row],[Product ID]],SKU[],3,0)</f>
        <v>3000 4T PLUS 10W40</v>
      </c>
      <c r="M583" s="231">
        <v>2100</v>
      </c>
      <c r="N583" s="231">
        <v>550</v>
      </c>
      <c r="O583" s="231">
        <v>2100</v>
      </c>
      <c r="P583" s="232">
        <v>6.3636363636363602E-2</v>
      </c>
      <c r="Q583" s="231">
        <v>0</v>
      </c>
      <c r="R583" s="231">
        <v>515</v>
      </c>
      <c r="S583" s="231">
        <v>2100</v>
      </c>
      <c r="T583" s="231">
        <v>2100</v>
      </c>
      <c r="U583" s="231">
        <v>1155000</v>
      </c>
      <c r="V583" s="231">
        <v>0</v>
      </c>
      <c r="W583" s="231">
        <v>1081500</v>
      </c>
      <c r="X583" s="231">
        <v>141065.21739130435</v>
      </c>
      <c r="Y583" s="231">
        <v>940434.78260869568</v>
      </c>
      <c r="Z583" s="511" t="s">
        <v>882</v>
      </c>
      <c r="AA583" s="511" t="s">
        <v>50</v>
      </c>
      <c r="AB583" s="513" t="s">
        <v>1170</v>
      </c>
      <c r="AC583" s="512" t="s">
        <v>50</v>
      </c>
      <c r="AD583" s="513" t="s">
        <v>1466</v>
      </c>
      <c r="AE583" s="511" t="str">
        <f>IFERROR(VLOOKUP(Primary_Order[[#This Row],[AM]],SP!$E$19:$F$23,2,0),Primary_Order[[#This Row],[AM]])</f>
        <v>Central</v>
      </c>
      <c r="AF583" s="511" t="str">
        <f>VLOOKUP(Primary_Order[[#This Row],[Product ID]],SKU[],10,0)</f>
        <v>Mineral</v>
      </c>
      <c r="AG583" s="511" t="str">
        <f>VLOOKUP(Primary_Order[[#This Row],[Product ID]],SKU[],9,0)</f>
        <v>MCO</v>
      </c>
      <c r="AH583" s="511" t="str">
        <f>VLOOKUP(Primary_Order[[#This Row],[Product ID]],SKU[],12,0)</f>
        <v>10W40</v>
      </c>
      <c r="AI583" s="511" t="str">
        <f>VLOOKUP(Primary_Order[[#This Row],[Product ID]],SKU[],13,0)</f>
        <v>3000</v>
      </c>
      <c r="AJ583" s="233">
        <f>VLOOKUP(Primary_Order[[#This Row],[Product ID]],SKU[[SKU ID]:[Bottle Size(Ltr)]],6,0)*Primary_Order[[#This Row],[Free Quantity]]</f>
        <v>0</v>
      </c>
      <c r="AK583" s="511" t="str">
        <f>VLOOKUP(Primary_Order[[#This Row],[Product ID]],SKU[[SKU ID]:[Bottle Size(Ltr)]],4,0)</f>
        <v>20x1L</v>
      </c>
      <c r="AL583" s="231">
        <f>VLOOKUP(Primary_Order[[#This Row],[Product ID]],SKU[],14,0)*Primary_Order[[#This Row],[Total Qty]]</f>
        <v>808185</v>
      </c>
      <c r="AM583" s="231">
        <f>IF(Primary_Order[[#This Row],[Cost]]=0,0,Primary_Order[[#This Row],[Net Total(-15%)]]-Primary_Order[[#This Row],[Cost]])</f>
        <v>132249.78260869568</v>
      </c>
      <c r="AN583" s="511" t="str">
        <f>"O-"&amp;Primary_Order[[#This Row],[Date]]&amp;"-"&amp;Primary_Order[[#This Row],[MMD ID]]</f>
        <v>O-45774-D-0015</v>
      </c>
      <c r="AO583" s="511" t="str" cm="1">
        <f t="array" ref="AO583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4" spans="1:41" x14ac:dyDescent="0.5">
      <c r="A584" s="511" t="s">
        <v>1509</v>
      </c>
      <c r="B584" s="512">
        <v>45775</v>
      </c>
      <c r="C584" s="511" t="s">
        <v>97</v>
      </c>
      <c r="D584" s="511" t="s">
        <v>1298</v>
      </c>
      <c r="E584" s="511" t="s">
        <v>1299</v>
      </c>
      <c r="F584" s="511">
        <v>1711154387</v>
      </c>
      <c r="G584" s="511" t="s">
        <v>709</v>
      </c>
      <c r="H584" s="511" t="s">
        <v>40</v>
      </c>
      <c r="I584" s="511" t="s">
        <v>98</v>
      </c>
      <c r="J584" s="511" t="s">
        <v>452</v>
      </c>
      <c r="K584" s="511" t="s">
        <v>31</v>
      </c>
      <c r="L584" s="206" t="str">
        <f>VLOOKUP(Primary_Order[[#This Row],[Product ID]],SKU[],3,0)</f>
        <v>3000 4T PLUS 10W30</v>
      </c>
      <c r="M584" s="231">
        <v>2000</v>
      </c>
      <c r="N584" s="231">
        <v>515</v>
      </c>
      <c r="O584" s="231">
        <v>2000</v>
      </c>
      <c r="P584" s="232">
        <v>0</v>
      </c>
      <c r="Q584" s="231">
        <v>0</v>
      </c>
      <c r="R584" s="231">
        <v>515</v>
      </c>
      <c r="S584" s="231">
        <v>2000</v>
      </c>
      <c r="T584" s="231">
        <v>2000</v>
      </c>
      <c r="U584" s="231">
        <v>1030000</v>
      </c>
      <c r="V584" s="231">
        <v>0</v>
      </c>
      <c r="W584" s="231">
        <v>1030000</v>
      </c>
      <c r="X584" s="231">
        <v>134347.82608695651</v>
      </c>
      <c r="Y584" s="231">
        <v>895652.17391304346</v>
      </c>
      <c r="Z584" s="511" t="s">
        <v>882</v>
      </c>
      <c r="AA584" s="511" t="s">
        <v>50</v>
      </c>
      <c r="AB584" s="513" t="s">
        <v>641</v>
      </c>
      <c r="AC584" s="512" t="s">
        <v>50</v>
      </c>
      <c r="AD584" s="513" t="s">
        <v>50</v>
      </c>
      <c r="AE584" s="511" t="str">
        <f>IFERROR(VLOOKUP(Primary_Order[[#This Row],[AM]],SP!$E$19:$F$23,2,0),Primary_Order[[#This Row],[AM]])</f>
        <v>Central</v>
      </c>
      <c r="AF584" s="511" t="str">
        <f>VLOOKUP(Primary_Order[[#This Row],[Product ID]],SKU[],10,0)</f>
        <v>Mineral</v>
      </c>
      <c r="AG584" s="511" t="str">
        <f>VLOOKUP(Primary_Order[[#This Row],[Product ID]],SKU[],9,0)</f>
        <v>MCO</v>
      </c>
      <c r="AH584" s="511" t="str">
        <f>VLOOKUP(Primary_Order[[#This Row],[Product ID]],SKU[],12,0)</f>
        <v>10W30</v>
      </c>
      <c r="AI584" s="511" t="str">
        <f>VLOOKUP(Primary_Order[[#This Row],[Product ID]],SKU[],13,0)</f>
        <v>3000</v>
      </c>
      <c r="AJ584" s="233">
        <f>VLOOKUP(Primary_Order[[#This Row],[Product ID]],SKU[[SKU ID]:[Bottle Size(Ltr)]],6,0)*Primary_Order[[#This Row],[Free Quantity]]</f>
        <v>0</v>
      </c>
      <c r="AK584" s="511" t="str">
        <f>VLOOKUP(Primary_Order[[#This Row],[Product ID]],SKU[[SKU ID]:[Bottle Size(Ltr)]],4,0)</f>
        <v>20x1L</v>
      </c>
      <c r="AL584" s="231">
        <f>VLOOKUP(Primary_Order[[#This Row],[Product ID]],SKU[],14,0)*Primary_Order[[#This Row],[Total Qty]]</f>
        <v>758660</v>
      </c>
      <c r="AM584" s="231">
        <f>IF(Primary_Order[[#This Row],[Cost]]=0,0,Primary_Order[[#This Row],[Net Total(-15%)]]-Primary_Order[[#This Row],[Cost]])</f>
        <v>136992.17391304346</v>
      </c>
      <c r="AN584" s="511" t="str">
        <f>"O-"&amp;Primary_Order[[#This Row],[Date]]&amp;"-"&amp;Primary_Order[[#This Row],[MMD ID]]</f>
        <v>O-45775-D-0001</v>
      </c>
      <c r="AO584" s="511" t="str" cm="1">
        <f t="array" ref="AO584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5" spans="1:41" x14ac:dyDescent="0.5">
      <c r="A585" s="511" t="s">
        <v>1509</v>
      </c>
      <c r="B585" s="512">
        <v>45775</v>
      </c>
      <c r="C585" s="511" t="s">
        <v>97</v>
      </c>
      <c r="D585" s="511" t="s">
        <v>1298</v>
      </c>
      <c r="E585" s="511" t="s">
        <v>1299</v>
      </c>
      <c r="F585" s="511">
        <v>1711154387</v>
      </c>
      <c r="G585" s="511" t="s">
        <v>709</v>
      </c>
      <c r="H585" s="511" t="s">
        <v>40</v>
      </c>
      <c r="I585" s="511" t="s">
        <v>98</v>
      </c>
      <c r="J585" s="511" t="s">
        <v>452</v>
      </c>
      <c r="K585" s="511" t="s">
        <v>53</v>
      </c>
      <c r="L585" s="206" t="str">
        <f>VLOOKUP(Primary_Order[[#This Row],[Product ID]],SKU[],3,0)</f>
        <v>3000 4T PLUS 20W40</v>
      </c>
      <c r="M585" s="231">
        <v>1500</v>
      </c>
      <c r="N585" s="231">
        <v>515</v>
      </c>
      <c r="O585" s="231">
        <v>1500</v>
      </c>
      <c r="P585" s="232">
        <v>0</v>
      </c>
      <c r="Q585" s="231">
        <v>0</v>
      </c>
      <c r="R585" s="231">
        <v>515</v>
      </c>
      <c r="S585" s="231">
        <v>1500</v>
      </c>
      <c r="T585" s="231">
        <v>1500</v>
      </c>
      <c r="U585" s="231">
        <v>772500</v>
      </c>
      <c r="V585" s="231">
        <v>0</v>
      </c>
      <c r="W585" s="231">
        <v>772500</v>
      </c>
      <c r="X585" s="231">
        <v>100760.86956521739</v>
      </c>
      <c r="Y585" s="231">
        <v>671739.13043478259</v>
      </c>
      <c r="Z585" s="511" t="s">
        <v>882</v>
      </c>
      <c r="AA585" s="511" t="s">
        <v>50</v>
      </c>
      <c r="AB585" s="513" t="s">
        <v>641</v>
      </c>
      <c r="AC585" s="512" t="s">
        <v>50</v>
      </c>
      <c r="AD585" s="513" t="s">
        <v>50</v>
      </c>
      <c r="AE585" s="511" t="str">
        <f>IFERROR(VLOOKUP(Primary_Order[[#This Row],[AM]],SP!$E$19:$F$23,2,0),Primary_Order[[#This Row],[AM]])</f>
        <v>Central</v>
      </c>
      <c r="AF585" s="511" t="str">
        <f>VLOOKUP(Primary_Order[[#This Row],[Product ID]],SKU[],10,0)</f>
        <v>Mineral</v>
      </c>
      <c r="AG585" s="511" t="str">
        <f>VLOOKUP(Primary_Order[[#This Row],[Product ID]],SKU[],9,0)</f>
        <v>MCO</v>
      </c>
      <c r="AH585" s="511" t="str">
        <f>VLOOKUP(Primary_Order[[#This Row],[Product ID]],SKU[],12,0)</f>
        <v>20W40</v>
      </c>
      <c r="AI585" s="511" t="str">
        <f>VLOOKUP(Primary_Order[[#This Row],[Product ID]],SKU[],13,0)</f>
        <v>3000</v>
      </c>
      <c r="AJ585" s="233">
        <f>VLOOKUP(Primary_Order[[#This Row],[Product ID]],SKU[[SKU ID]:[Bottle Size(Ltr)]],6,0)*Primary_Order[[#This Row],[Free Quantity]]</f>
        <v>0</v>
      </c>
      <c r="AK585" s="511" t="str">
        <f>VLOOKUP(Primary_Order[[#This Row],[Product ID]],SKU[[SKU ID]:[Bottle Size(Ltr)]],4,0)</f>
        <v>20x1L</v>
      </c>
      <c r="AL585" s="231">
        <f>VLOOKUP(Primary_Order[[#This Row],[Product ID]],SKU[],14,0)*Primary_Order[[#This Row],[Total Qty]]</f>
        <v>619140</v>
      </c>
      <c r="AM585" s="231">
        <f>IF(Primary_Order[[#This Row],[Cost]]=0,0,Primary_Order[[#This Row],[Net Total(-15%)]]-Primary_Order[[#This Row],[Cost]])</f>
        <v>52599.130434782594</v>
      </c>
      <c r="AN585" s="511" t="str">
        <f>"O-"&amp;Primary_Order[[#This Row],[Date]]&amp;"-"&amp;Primary_Order[[#This Row],[MMD ID]]</f>
        <v>O-45775-D-0001</v>
      </c>
      <c r="AO585" s="511" t="str" cm="1">
        <f t="array" ref="AO585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6" spans="1:41" x14ac:dyDescent="0.5">
      <c r="A586" s="511" t="s">
        <v>1509</v>
      </c>
      <c r="B586" s="512">
        <v>45775</v>
      </c>
      <c r="C586" s="511" t="s">
        <v>97</v>
      </c>
      <c r="D586" s="511" t="s">
        <v>1298</v>
      </c>
      <c r="E586" s="511" t="s">
        <v>1299</v>
      </c>
      <c r="F586" s="511">
        <v>1711154387</v>
      </c>
      <c r="G586" s="511" t="s">
        <v>709</v>
      </c>
      <c r="H586" s="511" t="s">
        <v>40</v>
      </c>
      <c r="I586" s="511" t="s">
        <v>98</v>
      </c>
      <c r="J586" s="511" t="s">
        <v>452</v>
      </c>
      <c r="K586" s="511" t="s">
        <v>54</v>
      </c>
      <c r="L586" s="206" t="str">
        <f>VLOOKUP(Primary_Order[[#This Row],[Product ID]],SKU[],3,0)</f>
        <v>3000 4T PLUS 10W40</v>
      </c>
      <c r="M586" s="231">
        <v>1720</v>
      </c>
      <c r="N586" s="231">
        <v>515</v>
      </c>
      <c r="O586" s="231">
        <v>1720</v>
      </c>
      <c r="P586" s="232">
        <v>0</v>
      </c>
      <c r="Q586" s="231">
        <v>0</v>
      </c>
      <c r="R586" s="231">
        <v>515</v>
      </c>
      <c r="S586" s="231">
        <v>1720</v>
      </c>
      <c r="T586" s="231">
        <v>1720</v>
      </c>
      <c r="U586" s="231">
        <v>885800</v>
      </c>
      <c r="V586" s="231">
        <v>0</v>
      </c>
      <c r="W586" s="231">
        <v>885800</v>
      </c>
      <c r="X586" s="231">
        <v>115539.13043478261</v>
      </c>
      <c r="Y586" s="231">
        <v>770260.86956521741</v>
      </c>
      <c r="Z586" s="511" t="s">
        <v>882</v>
      </c>
      <c r="AA586" s="511" t="s">
        <v>50</v>
      </c>
      <c r="AB586" s="513" t="s">
        <v>641</v>
      </c>
      <c r="AC586" s="512" t="s">
        <v>50</v>
      </c>
      <c r="AD586" s="513" t="s">
        <v>50</v>
      </c>
      <c r="AE586" s="511" t="str">
        <f>IFERROR(VLOOKUP(Primary_Order[[#This Row],[AM]],SP!$E$19:$F$23,2,0),Primary_Order[[#This Row],[AM]])</f>
        <v>Central</v>
      </c>
      <c r="AF586" s="511" t="str">
        <f>VLOOKUP(Primary_Order[[#This Row],[Product ID]],SKU[],10,0)</f>
        <v>Mineral</v>
      </c>
      <c r="AG586" s="511" t="str">
        <f>VLOOKUP(Primary_Order[[#This Row],[Product ID]],SKU[],9,0)</f>
        <v>MCO</v>
      </c>
      <c r="AH586" s="511" t="str">
        <f>VLOOKUP(Primary_Order[[#This Row],[Product ID]],SKU[],12,0)</f>
        <v>10W40</v>
      </c>
      <c r="AI586" s="511" t="str">
        <f>VLOOKUP(Primary_Order[[#This Row],[Product ID]],SKU[],13,0)</f>
        <v>3000</v>
      </c>
      <c r="AJ586" s="233">
        <f>VLOOKUP(Primary_Order[[#This Row],[Product ID]],SKU[[SKU ID]:[Bottle Size(Ltr)]],6,0)*Primary_Order[[#This Row],[Free Quantity]]</f>
        <v>0</v>
      </c>
      <c r="AK586" s="511" t="str">
        <f>VLOOKUP(Primary_Order[[#This Row],[Product ID]],SKU[[SKU ID]:[Bottle Size(Ltr)]],4,0)</f>
        <v>20x1L</v>
      </c>
      <c r="AL586" s="231">
        <f>VLOOKUP(Primary_Order[[#This Row],[Product ID]],SKU[],14,0)*Primary_Order[[#This Row],[Total Qty]]</f>
        <v>661942</v>
      </c>
      <c r="AM586" s="231">
        <f>IF(Primary_Order[[#This Row],[Cost]]=0,0,Primary_Order[[#This Row],[Net Total(-15%)]]-Primary_Order[[#This Row],[Cost]])</f>
        <v>108318.86956521741</v>
      </c>
      <c r="AN586" s="511" t="str">
        <f>"O-"&amp;Primary_Order[[#This Row],[Date]]&amp;"-"&amp;Primary_Order[[#This Row],[MMD ID]]</f>
        <v>O-45775-D-0001</v>
      </c>
      <c r="AO586" s="511" t="str" cm="1">
        <f t="array" ref="AO586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7" spans="1:41" x14ac:dyDescent="0.5">
      <c r="A587" s="511" t="s">
        <v>1509</v>
      </c>
      <c r="B587" s="512">
        <v>45775</v>
      </c>
      <c r="C587" s="511" t="s">
        <v>97</v>
      </c>
      <c r="D587" s="511" t="s">
        <v>1298</v>
      </c>
      <c r="E587" s="511" t="s">
        <v>1299</v>
      </c>
      <c r="F587" s="511">
        <v>1711154387</v>
      </c>
      <c r="G587" s="511" t="s">
        <v>709</v>
      </c>
      <c r="H587" s="511" t="s">
        <v>40</v>
      </c>
      <c r="I587" s="511" t="s">
        <v>98</v>
      </c>
      <c r="J587" s="511" t="s">
        <v>452</v>
      </c>
      <c r="K587" s="511" t="s">
        <v>152</v>
      </c>
      <c r="L587" s="206" t="str">
        <f>VLOOKUP(Primary_Order[[#This Row],[Product ID]],SKU[],3,0)</f>
        <v>Inugel Expert Coolant</v>
      </c>
      <c r="M587" s="231">
        <v>200</v>
      </c>
      <c r="N587" s="231">
        <v>400</v>
      </c>
      <c r="O587" s="231">
        <v>200</v>
      </c>
      <c r="P587" s="232">
        <v>0</v>
      </c>
      <c r="Q587" s="231">
        <v>0</v>
      </c>
      <c r="R587" s="231">
        <v>400</v>
      </c>
      <c r="S587" s="231">
        <v>200</v>
      </c>
      <c r="T587" s="231">
        <v>200</v>
      </c>
      <c r="U587" s="231">
        <v>80000</v>
      </c>
      <c r="V587" s="231">
        <v>0</v>
      </c>
      <c r="W587" s="231">
        <v>80000</v>
      </c>
      <c r="X587" s="231">
        <v>10434.782608695652</v>
      </c>
      <c r="Y587" s="231">
        <v>69565.217391304352</v>
      </c>
      <c r="Z587" s="511" t="s">
        <v>882</v>
      </c>
      <c r="AA587" s="511" t="s">
        <v>50</v>
      </c>
      <c r="AB587" s="513" t="s">
        <v>641</v>
      </c>
      <c r="AC587" s="512" t="s">
        <v>50</v>
      </c>
      <c r="AD587" s="513" t="s">
        <v>50</v>
      </c>
      <c r="AE587" s="511" t="str">
        <f>IFERROR(VLOOKUP(Primary_Order[[#This Row],[AM]],SP!$E$19:$F$23,2,0),Primary_Order[[#This Row],[AM]])</f>
        <v>Central</v>
      </c>
      <c r="AF587" s="511" t="str">
        <f>VLOOKUP(Primary_Order[[#This Row],[Product ID]],SKU[],10,0)</f>
        <v>Care Products</v>
      </c>
      <c r="AG587" s="511" t="str">
        <f>VLOOKUP(Primary_Order[[#This Row],[Product ID]],SKU[],9,0)</f>
        <v>Care Products</v>
      </c>
      <c r="AH587" s="511" t="str">
        <f>VLOOKUP(Primary_Order[[#This Row],[Product ID]],SKU[],12,0)</f>
        <v>Care Products</v>
      </c>
      <c r="AI587" s="511" t="str">
        <f>VLOOKUP(Primary_Order[[#This Row],[Product ID]],SKU[],13,0)</f>
        <v>Coolant</v>
      </c>
      <c r="AJ587" s="233">
        <f>VLOOKUP(Primary_Order[[#This Row],[Product ID]],SKU[[SKU ID]:[Bottle Size(Ltr)]],6,0)*Primary_Order[[#This Row],[Free Quantity]]</f>
        <v>0</v>
      </c>
      <c r="AK587" s="511" t="str">
        <f>VLOOKUP(Primary_Order[[#This Row],[Product ID]],SKU[[SKU ID]:[Bottle Size(Ltr)]],4,0)</f>
        <v>20x1L</v>
      </c>
      <c r="AL587" s="231">
        <f>VLOOKUP(Primary_Order[[#This Row],[Product ID]],SKU[],14,0)*Primary_Order[[#This Row],[Total Qty]]</f>
        <v>46128</v>
      </c>
      <c r="AM587" s="231">
        <f>IF(Primary_Order[[#This Row],[Cost]]=0,0,Primary_Order[[#This Row],[Net Total(-15%)]]-Primary_Order[[#This Row],[Cost]])</f>
        <v>23437.217391304352</v>
      </c>
      <c r="AN587" s="511" t="str">
        <f>"O-"&amp;Primary_Order[[#This Row],[Date]]&amp;"-"&amp;Primary_Order[[#This Row],[MMD ID]]</f>
        <v>O-45775-D-0001</v>
      </c>
      <c r="AO587" s="511" t="str" cm="1">
        <f t="array" ref="AO587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8" spans="1:41" x14ac:dyDescent="0.5">
      <c r="A588" s="511" t="s">
        <v>1509</v>
      </c>
      <c r="B588" s="512">
        <v>45775</v>
      </c>
      <c r="C588" s="511" t="s">
        <v>97</v>
      </c>
      <c r="D588" s="511" t="s">
        <v>1298</v>
      </c>
      <c r="E588" s="511" t="s">
        <v>1299</v>
      </c>
      <c r="F588" s="511">
        <v>1711154387</v>
      </c>
      <c r="G588" s="511" t="s">
        <v>709</v>
      </c>
      <c r="H588" s="511" t="s">
        <v>40</v>
      </c>
      <c r="I588" s="511" t="s">
        <v>98</v>
      </c>
      <c r="J588" s="511" t="s">
        <v>452</v>
      </c>
      <c r="K588" s="511" t="s">
        <v>81</v>
      </c>
      <c r="L588" s="206" t="str">
        <f>VLOOKUP(Primary_Order[[#This Row],[Product ID]],SKU[],3,0)</f>
        <v>3000 4T 20W50</v>
      </c>
      <c r="M588" s="231">
        <v>2100</v>
      </c>
      <c r="N588" s="231">
        <v>400</v>
      </c>
      <c r="O588" s="231">
        <v>2100</v>
      </c>
      <c r="P588" s="232">
        <v>0</v>
      </c>
      <c r="Q588" s="231">
        <v>0</v>
      </c>
      <c r="R588" s="231">
        <v>400</v>
      </c>
      <c r="S588" s="231">
        <v>2100</v>
      </c>
      <c r="T588" s="231">
        <v>2100</v>
      </c>
      <c r="U588" s="231">
        <v>840000</v>
      </c>
      <c r="V588" s="231">
        <v>0</v>
      </c>
      <c r="W588" s="231">
        <v>840000</v>
      </c>
      <c r="X588" s="231">
        <v>109565.21739130435</v>
      </c>
      <c r="Y588" s="231">
        <v>730434.78260869568</v>
      </c>
      <c r="Z588" s="511" t="s">
        <v>882</v>
      </c>
      <c r="AA588" s="511" t="s">
        <v>50</v>
      </c>
      <c r="AB588" s="513" t="s">
        <v>641</v>
      </c>
      <c r="AC588" s="512" t="s">
        <v>50</v>
      </c>
      <c r="AD588" s="513" t="s">
        <v>50</v>
      </c>
      <c r="AE588" s="511" t="str">
        <f>IFERROR(VLOOKUP(Primary_Order[[#This Row],[AM]],SP!$E$19:$F$23,2,0),Primary_Order[[#This Row],[AM]])</f>
        <v>Central</v>
      </c>
      <c r="AF588" s="511" t="str">
        <f>VLOOKUP(Primary_Order[[#This Row],[Product ID]],SKU[],10,0)</f>
        <v>Mineral</v>
      </c>
      <c r="AG588" s="511" t="str">
        <f>VLOOKUP(Primary_Order[[#This Row],[Product ID]],SKU[],9,0)</f>
        <v>MCO</v>
      </c>
      <c r="AH588" s="511" t="str">
        <f>VLOOKUP(Primary_Order[[#This Row],[Product ID]],SKU[],12,0)</f>
        <v>20W50</v>
      </c>
      <c r="AI588" s="511" t="str">
        <f>VLOOKUP(Primary_Order[[#This Row],[Product ID]],SKU[],13,0)</f>
        <v>3000</v>
      </c>
      <c r="AJ588" s="233">
        <f>VLOOKUP(Primary_Order[[#This Row],[Product ID]],SKU[[SKU ID]:[Bottle Size(Ltr)]],6,0)*Primary_Order[[#This Row],[Free Quantity]]</f>
        <v>0</v>
      </c>
      <c r="AK588" s="511" t="str">
        <f>VLOOKUP(Primary_Order[[#This Row],[Product ID]],SKU[[SKU ID]:[Bottle Size(Ltr)]],4,0)</f>
        <v>20x1L</v>
      </c>
      <c r="AL588" s="231">
        <f>VLOOKUP(Primary_Order[[#This Row],[Product ID]],SKU[],14,0)*Primary_Order[[#This Row],[Total Qty]]</f>
        <v>766332</v>
      </c>
      <c r="AM588" s="231">
        <f>IF(Primary_Order[[#This Row],[Cost]]=0,0,Primary_Order[[#This Row],[Net Total(-15%)]]-Primary_Order[[#This Row],[Cost]])</f>
        <v>-35897.217391304323</v>
      </c>
      <c r="AN588" s="511" t="str">
        <f>"O-"&amp;Primary_Order[[#This Row],[Date]]&amp;"-"&amp;Primary_Order[[#This Row],[MMD ID]]</f>
        <v>O-45775-D-0001</v>
      </c>
      <c r="AO588" s="511" t="str" cm="1">
        <f t="array" ref="AO588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Pending</v>
      </c>
    </row>
    <row r="589" spans="1:41" x14ac:dyDescent="0.5">
      <c r="A589" s="511" t="s">
        <v>1511</v>
      </c>
      <c r="B589" s="512">
        <v>45777</v>
      </c>
      <c r="C589" s="511" t="s">
        <v>123</v>
      </c>
      <c r="D589" s="511" t="s">
        <v>124</v>
      </c>
      <c r="E589" s="511" t="s">
        <v>80</v>
      </c>
      <c r="F589" s="511" t="s">
        <v>50</v>
      </c>
      <c r="G589" s="511" t="s">
        <v>79</v>
      </c>
      <c r="H589" s="511" t="s">
        <v>40</v>
      </c>
      <c r="I589" s="511" t="s">
        <v>124</v>
      </c>
      <c r="J589" s="511" t="s">
        <v>80</v>
      </c>
      <c r="K589" s="511" t="s">
        <v>54</v>
      </c>
      <c r="L589" s="206" t="str">
        <f>VLOOKUP(Primary_Order[[#This Row],[Product ID]],SKU[],3,0)</f>
        <v>3000 4T PLUS 10W40</v>
      </c>
      <c r="M589" s="231">
        <v>8055</v>
      </c>
      <c r="N589" s="231">
        <v>550</v>
      </c>
      <c r="O589" s="231">
        <v>8055</v>
      </c>
      <c r="P589" s="232">
        <v>0.63636363636363635</v>
      </c>
      <c r="Q589" s="231">
        <v>0</v>
      </c>
      <c r="R589" s="231">
        <v>200</v>
      </c>
      <c r="S589" s="231">
        <v>8055</v>
      </c>
      <c r="T589" s="231">
        <v>8055</v>
      </c>
      <c r="U589" s="231">
        <v>4430250</v>
      </c>
      <c r="V589" s="231">
        <v>0</v>
      </c>
      <c r="W589" s="231">
        <v>1611000</v>
      </c>
      <c r="X589" s="231">
        <v>210130.4347826087</v>
      </c>
      <c r="Y589" s="231">
        <v>1400869.5652173914</v>
      </c>
      <c r="Z589" s="511" t="s">
        <v>882</v>
      </c>
      <c r="AA589" s="511" t="s">
        <v>50</v>
      </c>
      <c r="AB589" s="513" t="s">
        <v>1170</v>
      </c>
      <c r="AC589" s="512" t="s">
        <v>50</v>
      </c>
      <c r="AD589" s="513" t="s">
        <v>50</v>
      </c>
      <c r="AE589" s="511" t="str">
        <f>IFERROR(VLOOKUP(Primary_Order[[#This Row],[AM]],SP!$E$19:$F$23,2,0),Primary_Order[[#This Row],[AM]])</f>
        <v>Central</v>
      </c>
      <c r="AF589" s="511" t="str">
        <f>VLOOKUP(Primary_Order[[#This Row],[Product ID]],SKU[],10,0)</f>
        <v>Mineral</v>
      </c>
      <c r="AG589" s="511" t="str">
        <f>VLOOKUP(Primary_Order[[#This Row],[Product ID]],SKU[],9,0)</f>
        <v>MCO</v>
      </c>
      <c r="AH589" s="511" t="str">
        <f>VLOOKUP(Primary_Order[[#This Row],[Product ID]],SKU[],12,0)</f>
        <v>10W40</v>
      </c>
      <c r="AI589" s="511" t="str">
        <f>VLOOKUP(Primary_Order[[#This Row],[Product ID]],SKU[],13,0)</f>
        <v>3000</v>
      </c>
      <c r="AJ589" s="233">
        <f>VLOOKUP(Primary_Order[[#This Row],[Product ID]],SKU[[SKU ID]:[Bottle Size(Ltr)]],6,0)*Primary_Order[[#This Row],[Free Quantity]]</f>
        <v>0</v>
      </c>
      <c r="AK589" s="511" t="str">
        <f>VLOOKUP(Primary_Order[[#This Row],[Product ID]],SKU[[SKU ID]:[Bottle Size(Ltr)]],4,0)</f>
        <v>20x1L</v>
      </c>
      <c r="AL589" s="231">
        <f>VLOOKUP(Primary_Order[[#This Row],[Product ID]],SKU[],14,0)*Primary_Order[[#This Row],[Total Qty]]</f>
        <v>3099966.75</v>
      </c>
      <c r="AM589" s="231">
        <f>IF(Primary_Order[[#This Row],[Cost]]=0,0,Primary_Order[[#This Row],[Net Total(-15%)]]-Primary_Order[[#This Row],[Cost]])</f>
        <v>-1699097.1847826086</v>
      </c>
      <c r="AN589" s="511" t="str">
        <f>"O-"&amp;Primary_Order[[#This Row],[Date]]&amp;"-"&amp;Primary_Order[[#This Row],[MMD ID]]</f>
        <v>O-45777-D-0015</v>
      </c>
      <c r="AO589" s="511" t="str" cm="1">
        <f t="array" ref="AO589">_xlfn.IFS(ISNUMBER(SEARCH("Fs",Primary_Order[[#This Row],[Sales Reciept]],1)),"Pending",ISNUMBER(SEARCH("Fd",Primary_Order[[#This Row],[Sales Reciept]],1)),"DMG-Sold",ISNUMBER(SEARCH("FM",Primary_Order[[#This Row],[Sales Reciept]],1)),"Delivered",ISNUMBER(SEARCH("F-",Primary_Order[[#This Row],[Sales Reciept]],1)),"Delivered",ISNUMBER(SEARCH("Fr-",Primary_Order[[#This Row],[Sales Reciept]],1)),"Replaced")</f>
        <v>DMG-Sold</v>
      </c>
    </row>
  </sheetData>
  <phoneticPr fontId="3" type="noConversion"/>
  <conditionalFormatting sqref="A2:A589">
    <cfRule type="containsText" dxfId="204" priority="1" operator="containsText" text="Fr">
      <formula>NOT(ISERROR(SEARCH("Fr",A2)))</formula>
    </cfRule>
    <cfRule type="containsText" dxfId="203" priority="3" operator="containsText" text="Fd">
      <formula>NOT(ISERROR(SEARCH("Fd",A2)))</formula>
    </cfRule>
    <cfRule type="containsText" dxfId="202" priority="5" operator="containsText" text="m">
      <formula>NOT(ISERROR(SEARCH("m",A2)))</formula>
    </cfRule>
    <cfRule type="containsText" dxfId="201" priority="7" operator="containsText" text="Fs">
      <formula>NOT(ISERROR(SEARCH("Fs",A2)))</formula>
    </cfRule>
  </conditionalFormatting>
  <conditionalFormatting sqref="B2:B589">
    <cfRule type="cellIs" dxfId="200" priority="4" operator="greaterThan">
      <formula>46752</formula>
    </cfRule>
  </conditionalFormatting>
  <conditionalFormatting sqref="AC488">
    <cfRule type="cellIs" dxfId="199" priority="2" operator="greaterThan">
      <formula>46752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31718-A8FB-4E17-B1F9-CAFBEA90CF5B}">
  <sheetPr codeName="Sheet15"/>
  <dimension ref="A1:AO592"/>
  <sheetViews>
    <sheetView workbookViewId="0">
      <selection activeCell="E2" sqref="E2"/>
    </sheetView>
  </sheetViews>
  <sheetFormatPr defaultRowHeight="16.5" x14ac:dyDescent="0.5"/>
  <cols>
    <col min="1" max="1" width="11.6328125" customWidth="1"/>
    <col min="2" max="2" width="11.54296875" style="1" customWidth="1"/>
    <col min="3" max="3" width="7.81640625" customWidth="1"/>
    <col min="4" max="4" width="27.90625" customWidth="1"/>
    <col min="5" max="5" width="55.81640625" customWidth="1"/>
    <col min="6" max="6" width="19.453125" customWidth="1"/>
    <col min="7" max="7" width="23.54296875" customWidth="1"/>
    <col min="8" max="8" width="19" customWidth="1"/>
    <col min="9" max="9" width="27.08984375" customWidth="1"/>
    <col min="10" max="10" width="23.81640625" customWidth="1"/>
    <col min="11" max="11" width="9.7265625" customWidth="1"/>
    <col min="12" max="12" width="27.26953125" customWidth="1"/>
    <col min="13" max="13" width="14.90625" customWidth="1"/>
    <col min="14" max="14" width="10.08984375" customWidth="1"/>
    <col min="15" max="15" width="15.90625" customWidth="1"/>
    <col min="16" max="16" width="18.1796875" customWidth="1"/>
    <col min="17" max="17" width="12.26953125" customWidth="1"/>
    <col min="18" max="18" width="22.90625" customWidth="1"/>
    <col min="19" max="19" width="8.54296875" customWidth="1"/>
    <col min="20" max="20" width="12" customWidth="1"/>
    <col min="21" max="21" width="10.08984375" customWidth="1"/>
    <col min="22" max="22" width="17.08984375" customWidth="1"/>
    <col min="23" max="23" width="9.26953125" customWidth="1"/>
    <col min="24" max="24" width="11.81640625" customWidth="1"/>
    <col min="25" max="25" width="14" customWidth="1"/>
    <col min="26" max="26" width="12.7265625" customWidth="1"/>
    <col min="27" max="27" width="7.6328125" customWidth="1"/>
    <col min="28" max="28" width="11.54296875" customWidth="1"/>
    <col min="29" max="29" width="12" customWidth="1"/>
    <col min="30" max="30" width="149.81640625" customWidth="1"/>
    <col min="31" max="31" width="11.6328125" customWidth="1"/>
    <col min="32" max="32" width="14.36328125" customWidth="1"/>
    <col min="33" max="33" width="12.36328125" customWidth="1"/>
    <col min="34" max="34" width="16.81640625" customWidth="1"/>
    <col min="35" max="35" width="9.90625" customWidth="1"/>
    <col min="36" max="36" width="7.1796875" customWidth="1"/>
    <col min="37" max="37" width="9.1796875" customWidth="1"/>
    <col min="38" max="38" width="11.81640625" customWidth="1"/>
    <col min="39" max="39" width="12.453125" customWidth="1"/>
    <col min="40" max="40" width="14.453125" customWidth="1"/>
    <col min="41" max="41" width="8.7265625" customWidth="1"/>
  </cols>
  <sheetData>
    <row r="1" spans="1:41" ht="15" customHeight="1" thickBot="1" x14ac:dyDescent="0.55000000000000004">
      <c r="A1" s="386" t="str">
        <f>"Search by "&amp;F1</f>
        <v>Search by Sales Reciept</v>
      </c>
      <c r="B1"/>
      <c r="E1" s="158" t="s">
        <v>1362</v>
      </c>
      <c r="F1" t="s">
        <v>6</v>
      </c>
    </row>
    <row r="2" spans="1:41" ht="17" thickBot="1" x14ac:dyDescent="0.55000000000000004">
      <c r="A2" s="386"/>
      <c r="B2" s="140"/>
      <c r="C2" s="141" t="s">
        <v>50</v>
      </c>
      <c r="E2" s="157" t="str">
        <f>"Primary_Order["&amp;F1&amp;"]"</f>
        <v>Primary_Order[Sales Reciept]</v>
      </c>
    </row>
    <row r="3" spans="1:41" x14ac:dyDescent="0.5">
      <c r="A3" s="386"/>
      <c r="B3"/>
      <c r="E3" t="s">
        <v>1107</v>
      </c>
    </row>
    <row r="4" spans="1:41" ht="17" thickBot="1" x14ac:dyDescent="0.55000000000000004">
      <c r="A4" s="142" t="s">
        <v>6</v>
      </c>
      <c r="B4" s="143" t="s">
        <v>0</v>
      </c>
      <c r="C4" s="142" t="s">
        <v>5</v>
      </c>
      <c r="D4" s="142" t="s">
        <v>17</v>
      </c>
      <c r="E4" s="142" t="s">
        <v>9</v>
      </c>
      <c r="F4" s="142" t="s">
        <v>10</v>
      </c>
      <c r="G4" s="142" t="s">
        <v>7</v>
      </c>
      <c r="H4" s="142" t="s">
        <v>2</v>
      </c>
      <c r="I4" s="142" t="s">
        <v>1</v>
      </c>
      <c r="J4" s="142" t="s">
        <v>8</v>
      </c>
      <c r="K4" s="142" t="s">
        <v>18</v>
      </c>
      <c r="L4" s="142" t="s">
        <v>4</v>
      </c>
      <c r="M4" s="142" t="s">
        <v>12</v>
      </c>
      <c r="N4" s="142" t="s">
        <v>19</v>
      </c>
      <c r="O4" s="142" t="s">
        <v>94</v>
      </c>
      <c r="P4" s="142" t="s">
        <v>20</v>
      </c>
      <c r="Q4" s="142" t="s">
        <v>21</v>
      </c>
      <c r="R4" s="142" t="s">
        <v>13</v>
      </c>
      <c r="S4" s="142" t="s">
        <v>11</v>
      </c>
      <c r="T4" s="142" t="s">
        <v>22</v>
      </c>
      <c r="U4" s="142" t="s">
        <v>23</v>
      </c>
      <c r="V4" s="142" t="s">
        <v>61</v>
      </c>
      <c r="W4" s="142" t="s">
        <v>62</v>
      </c>
      <c r="X4" s="142" t="s">
        <v>24</v>
      </c>
      <c r="Y4" s="142" t="s">
        <v>25</v>
      </c>
      <c r="Z4" s="142" t="s">
        <v>3</v>
      </c>
      <c r="AA4" s="142" t="s">
        <v>746</v>
      </c>
      <c r="AB4" s="142" t="s">
        <v>747</v>
      </c>
      <c r="AC4" s="142" t="s">
        <v>748</v>
      </c>
      <c r="AD4" s="142" t="s">
        <v>63</v>
      </c>
      <c r="AE4" s="142" t="s">
        <v>374</v>
      </c>
      <c r="AF4" s="142" t="s">
        <v>382</v>
      </c>
      <c r="AG4" s="142" t="s">
        <v>375</v>
      </c>
      <c r="AH4" s="142" t="s">
        <v>383</v>
      </c>
      <c r="AI4" s="142" t="s">
        <v>862</v>
      </c>
      <c r="AJ4" s="142" t="s">
        <v>714</v>
      </c>
      <c r="AK4" s="142" t="s">
        <v>717</v>
      </c>
      <c r="AL4" s="142" t="s">
        <v>750</v>
      </c>
      <c r="AM4" s="142" t="s">
        <v>751</v>
      </c>
      <c r="AN4" s="142" t="s">
        <v>744</v>
      </c>
      <c r="AO4" s="142" t="s">
        <v>745</v>
      </c>
    </row>
    <row r="5" spans="1:41" x14ac:dyDescent="0.5">
      <c r="A5" t="str" cm="1">
        <f t="array" aca="1" ref="A5:AO592" ca="1">_xlfn._xlws.FILTER(Primary_Order[],ISNUMBER(SEARCH($C$2,INDIRECT(E2))),"not found")</f>
        <v>F-103</v>
      </c>
      <c r="B5" s="1">
        <f ca="1"/>
        <v>45662</v>
      </c>
      <c r="C5" t="str">
        <f ca="1"/>
        <v>D-0004</v>
      </c>
      <c r="D5" t="str">
        <f ca="1"/>
        <v>Lube &amp; Gear</v>
      </c>
      <c r="E5" t="str">
        <f ca="1"/>
        <v xml:space="preserve">Konabari Gazipur </v>
      </c>
      <c r="F5" t="str">
        <f ca="1"/>
        <v>01711784707</v>
      </c>
      <c r="G5" t="str">
        <f ca="1"/>
        <v>Sayed Al Amin Apu</v>
      </c>
      <c r="H5" t="str">
        <f ca="1"/>
        <v>Abdul Matin</v>
      </c>
      <c r="I5" t="str">
        <f ca="1"/>
        <v>Lube &amp; Gear</v>
      </c>
      <c r="J5" t="str">
        <f ca="1"/>
        <v>Konabari</v>
      </c>
      <c r="K5" t="str">
        <f ca="1"/>
        <v>LO00041</v>
      </c>
      <c r="L5" t="str">
        <f ca="1"/>
        <v>3000 4T PLUS 10W30</v>
      </c>
      <c r="M5">
        <f ca="1"/>
        <v>400</v>
      </c>
      <c r="N5">
        <f ca="1"/>
        <v>525</v>
      </c>
      <c r="O5">
        <f ca="1"/>
        <v>400</v>
      </c>
      <c r="P5">
        <f ca="1"/>
        <v>0</v>
      </c>
      <c r="Q5">
        <f ca="1"/>
        <v>0</v>
      </c>
      <c r="R5">
        <f ca="1"/>
        <v>525</v>
      </c>
      <c r="S5">
        <f ca="1"/>
        <v>400</v>
      </c>
      <c r="T5">
        <f ca="1"/>
        <v>400</v>
      </c>
      <c r="U5">
        <f ca="1"/>
        <v>210000</v>
      </c>
      <c r="V5">
        <f ca="1"/>
        <v>0</v>
      </c>
      <c r="W5">
        <f ca="1"/>
        <v>210000</v>
      </c>
      <c r="X5">
        <f ca="1"/>
        <v>27391.304347826088</v>
      </c>
      <c r="Y5">
        <f ca="1"/>
        <v>182608.69565217392</v>
      </c>
      <c r="Z5" t="str">
        <f ca="1"/>
        <v>Cash</v>
      </c>
      <c r="AA5">
        <f ca="1"/>
        <v>572</v>
      </c>
      <c r="AB5" t="str">
        <f ca="1"/>
        <v>Flat Discount</v>
      </c>
      <c r="AC5">
        <f ca="1"/>
        <v>45662</v>
      </c>
      <c r="AD5" t="str">
        <f ca="1"/>
        <v/>
      </c>
      <c r="AE5" t="str">
        <f ca="1"/>
        <v>Central</v>
      </c>
      <c r="AF5" t="str">
        <f ca="1"/>
        <v>Mineral</v>
      </c>
      <c r="AG5" t="str">
        <f ca="1"/>
        <v>MCO</v>
      </c>
      <c r="AH5" t="str">
        <f ca="1"/>
        <v>10W30</v>
      </c>
      <c r="AI5" t="str">
        <f ca="1"/>
        <v>3000</v>
      </c>
      <c r="AJ5">
        <f ca="1"/>
        <v>0</v>
      </c>
      <c r="AK5" t="str">
        <f ca="1"/>
        <v>20x1L</v>
      </c>
      <c r="AL5">
        <f ca="1"/>
        <v>151732</v>
      </c>
      <c r="AM5">
        <f ca="1"/>
        <v>30876.695652173919</v>
      </c>
      <c r="AN5" t="str">
        <f ca="1"/>
        <v>O-45662-D-0004</v>
      </c>
      <c r="AO5" t="str">
        <f ca="1"/>
        <v>Delivered</v>
      </c>
    </row>
    <row r="6" spans="1:41" x14ac:dyDescent="0.5">
      <c r="A6" t="str">
        <f ca="1"/>
        <v>F-103</v>
      </c>
      <c r="B6" s="1">
        <f ca="1"/>
        <v>45662</v>
      </c>
      <c r="C6" t="str">
        <f ca="1"/>
        <v>D-0004</v>
      </c>
      <c r="D6" t="str">
        <f ca="1"/>
        <v>Lube &amp; Gear</v>
      </c>
      <c r="E6" t="str">
        <f ca="1"/>
        <v xml:space="preserve">Konabari Gazipur </v>
      </c>
      <c r="F6" t="str">
        <f ca="1"/>
        <v>01711784707</v>
      </c>
      <c r="G6" t="str">
        <f ca="1"/>
        <v>Sayed Al Amin Apu</v>
      </c>
      <c r="H6" t="str">
        <f ca="1"/>
        <v>Abdul Matin</v>
      </c>
      <c r="I6" t="str">
        <f ca="1"/>
        <v>Lube &amp; Gear</v>
      </c>
      <c r="J6" t="str">
        <f ca="1"/>
        <v>Konabari</v>
      </c>
      <c r="K6" t="str">
        <f ca="1"/>
        <v>LO00042</v>
      </c>
      <c r="L6" t="str">
        <f ca="1"/>
        <v>3000 4T PLUS 20W40</v>
      </c>
      <c r="M6">
        <f ca="1"/>
        <v>300</v>
      </c>
      <c r="N6">
        <f ca="1"/>
        <v>525</v>
      </c>
      <c r="O6">
        <f ca="1"/>
        <v>300</v>
      </c>
      <c r="P6">
        <f ca="1"/>
        <v>0</v>
      </c>
      <c r="Q6">
        <f ca="1"/>
        <v>0</v>
      </c>
      <c r="R6">
        <f ca="1"/>
        <v>525</v>
      </c>
      <c r="S6">
        <f ca="1"/>
        <v>300</v>
      </c>
      <c r="T6">
        <f ca="1"/>
        <v>300</v>
      </c>
      <c r="U6">
        <f ca="1"/>
        <v>157500</v>
      </c>
      <c r="V6">
        <f ca="1"/>
        <v>0</v>
      </c>
      <c r="W6">
        <f ca="1"/>
        <v>157500</v>
      </c>
      <c r="X6">
        <f ca="1"/>
        <v>20543.478260869564</v>
      </c>
      <c r="Y6">
        <f ca="1"/>
        <v>136956.52173913043</v>
      </c>
      <c r="Z6" t="str">
        <f ca="1"/>
        <v>Cash</v>
      </c>
      <c r="AA6">
        <f ca="1"/>
        <v>572</v>
      </c>
      <c r="AB6" t="str">
        <f ca="1"/>
        <v>Flat Discount</v>
      </c>
      <c r="AC6">
        <f ca="1"/>
        <v>45662</v>
      </c>
      <c r="AD6" t="str">
        <f ca="1"/>
        <v/>
      </c>
      <c r="AE6" t="str">
        <f ca="1"/>
        <v>Central</v>
      </c>
      <c r="AF6" t="str">
        <f ca="1"/>
        <v>Mineral</v>
      </c>
      <c r="AG6" t="str">
        <f ca="1"/>
        <v>MCO</v>
      </c>
      <c r="AH6" t="str">
        <f ca="1"/>
        <v>20W40</v>
      </c>
      <c r="AI6" t="str">
        <f ca="1"/>
        <v>3000</v>
      </c>
      <c r="AJ6">
        <f ca="1"/>
        <v>0</v>
      </c>
      <c r="AK6" t="str">
        <f ca="1"/>
        <v>20x1L</v>
      </c>
      <c r="AL6">
        <f ca="1"/>
        <v>123828</v>
      </c>
      <c r="AM6">
        <f ca="1"/>
        <v>13128.521739130432</v>
      </c>
      <c r="AN6" t="str">
        <f ca="1"/>
        <v>O-45662-D-0004</v>
      </c>
      <c r="AO6" t="str">
        <f ca="1"/>
        <v>Delivered</v>
      </c>
    </row>
    <row r="7" spans="1:41" x14ac:dyDescent="0.5">
      <c r="A7" t="str">
        <f ca="1"/>
        <v>F-103</v>
      </c>
      <c r="B7" s="1">
        <f ca="1"/>
        <v>45662</v>
      </c>
      <c r="C7" t="str">
        <f ca="1"/>
        <v>D-0004</v>
      </c>
      <c r="D7" t="str">
        <f ca="1"/>
        <v>Lube &amp; Gear</v>
      </c>
      <c r="E7" t="str">
        <f ca="1"/>
        <v xml:space="preserve">Konabari Gazipur </v>
      </c>
      <c r="F7" t="str">
        <f ca="1"/>
        <v>01711784707</v>
      </c>
      <c r="G7" t="str">
        <f ca="1"/>
        <v>Sayed Al Amin Apu</v>
      </c>
      <c r="H7" t="str">
        <f ca="1"/>
        <v>Abdul Matin</v>
      </c>
      <c r="I7" t="str">
        <f ca="1"/>
        <v>Lube &amp; Gear</v>
      </c>
      <c r="J7" t="str">
        <f ca="1"/>
        <v>Konabari</v>
      </c>
      <c r="K7" t="str">
        <f ca="1"/>
        <v>LO00043</v>
      </c>
      <c r="L7" t="str">
        <f ca="1"/>
        <v>3000 4T PLUS 10W40</v>
      </c>
      <c r="M7">
        <f ca="1"/>
        <v>1600</v>
      </c>
      <c r="N7">
        <f ca="1"/>
        <v>525</v>
      </c>
      <c r="O7">
        <f ca="1"/>
        <v>1600</v>
      </c>
      <c r="P7">
        <f ca="1"/>
        <v>0</v>
      </c>
      <c r="Q7">
        <f ca="1"/>
        <v>0</v>
      </c>
      <c r="R7">
        <f ca="1"/>
        <v>525</v>
      </c>
      <c r="S7">
        <f ca="1"/>
        <v>1600</v>
      </c>
      <c r="T7">
        <f ca="1"/>
        <v>1600</v>
      </c>
      <c r="U7">
        <f ca="1"/>
        <v>840000</v>
      </c>
      <c r="V7">
        <f ca="1"/>
        <v>0</v>
      </c>
      <c r="W7">
        <f ca="1"/>
        <v>840000</v>
      </c>
      <c r="X7">
        <f ca="1"/>
        <v>109565.21739130435</v>
      </c>
      <c r="Y7">
        <f ca="1"/>
        <v>730434.78260869568</v>
      </c>
      <c r="Z7" t="str">
        <f ca="1"/>
        <v>Cash</v>
      </c>
      <c r="AA7">
        <f ca="1"/>
        <v>572</v>
      </c>
      <c r="AB7" t="str">
        <f ca="1"/>
        <v>Flat Discount</v>
      </c>
      <c r="AC7">
        <f ca="1"/>
        <v>45662</v>
      </c>
      <c r="AD7" t="str">
        <f ca="1"/>
        <v/>
      </c>
      <c r="AE7" t="str">
        <f ca="1"/>
        <v>Central</v>
      </c>
      <c r="AF7" t="str">
        <f ca="1"/>
        <v>Mineral</v>
      </c>
      <c r="AG7" t="str">
        <f ca="1"/>
        <v>MCO</v>
      </c>
      <c r="AH7" t="str">
        <f ca="1"/>
        <v>10W40</v>
      </c>
      <c r="AI7" t="str">
        <f ca="1"/>
        <v>3000</v>
      </c>
      <c r="AJ7">
        <f ca="1"/>
        <v>0</v>
      </c>
      <c r="AK7" t="str">
        <f ca="1"/>
        <v>20x1L</v>
      </c>
      <c r="AL7">
        <f ca="1"/>
        <v>615760</v>
      </c>
      <c r="AM7">
        <f ca="1"/>
        <v>114674.78260869568</v>
      </c>
      <c r="AN7" t="str">
        <f ca="1"/>
        <v>O-45662-D-0004</v>
      </c>
      <c r="AO7" t="str">
        <f ca="1"/>
        <v>Delivered</v>
      </c>
    </row>
    <row r="8" spans="1:41" x14ac:dyDescent="0.5">
      <c r="A8" t="str">
        <f ca="1"/>
        <v>F-103</v>
      </c>
      <c r="B8" s="1">
        <f ca="1"/>
        <v>45662</v>
      </c>
      <c r="C8" t="str">
        <f ca="1"/>
        <v>D-0004</v>
      </c>
      <c r="D8" t="str">
        <f ca="1"/>
        <v>Lube &amp; Gear</v>
      </c>
      <c r="E8" t="str">
        <f ca="1"/>
        <v xml:space="preserve">Konabari Gazipur </v>
      </c>
      <c r="F8" t="str">
        <f ca="1"/>
        <v>01711784707</v>
      </c>
      <c r="G8" t="str">
        <f ca="1"/>
        <v>Sayed Al Amin Apu</v>
      </c>
      <c r="H8" t="str">
        <f ca="1"/>
        <v>Abdul Matin</v>
      </c>
      <c r="I8" t="str">
        <f ca="1"/>
        <v>Lube &amp; Gear</v>
      </c>
      <c r="J8" t="str">
        <f ca="1"/>
        <v>Konabari</v>
      </c>
      <c r="K8" t="str">
        <f ca="1"/>
        <v>LO00073</v>
      </c>
      <c r="L8" t="str">
        <f ca="1"/>
        <v>3000 4T PLUS 10W30</v>
      </c>
      <c r="M8">
        <f ca="1"/>
        <v>300</v>
      </c>
      <c r="N8">
        <f ca="1"/>
        <v>640</v>
      </c>
      <c r="O8">
        <f ca="1"/>
        <v>360</v>
      </c>
      <c r="P8">
        <f ca="1"/>
        <v>0</v>
      </c>
      <c r="Q8">
        <f ca="1"/>
        <v>0</v>
      </c>
      <c r="R8">
        <f ca="1"/>
        <v>640</v>
      </c>
      <c r="S8">
        <f ca="1"/>
        <v>300</v>
      </c>
      <c r="T8">
        <f ca="1"/>
        <v>360</v>
      </c>
      <c r="U8">
        <f ca="1"/>
        <v>192000</v>
      </c>
      <c r="V8">
        <f ca="1"/>
        <v>0</v>
      </c>
      <c r="W8">
        <f ca="1"/>
        <v>192000</v>
      </c>
      <c r="X8">
        <f ca="1"/>
        <v>25043.478260869564</v>
      </c>
      <c r="Y8">
        <f ca="1"/>
        <v>166956.52173913043</v>
      </c>
      <c r="Z8" t="str">
        <f ca="1"/>
        <v>Cash</v>
      </c>
      <c r="AA8">
        <f ca="1"/>
        <v>572</v>
      </c>
      <c r="AB8" t="str">
        <f ca="1"/>
        <v>Flat Discount</v>
      </c>
      <c r="AC8">
        <f ca="1"/>
        <v>45662</v>
      </c>
      <c r="AD8" t="str">
        <f ca="1"/>
        <v/>
      </c>
      <c r="AE8" t="str">
        <f ca="1"/>
        <v>Central</v>
      </c>
      <c r="AF8" t="str">
        <f ca="1"/>
        <v>Mineral</v>
      </c>
      <c r="AG8" t="str">
        <f ca="1"/>
        <v>MCO</v>
      </c>
      <c r="AH8" t="str">
        <f ca="1"/>
        <v>10W30</v>
      </c>
      <c r="AI8" t="str">
        <f ca="1"/>
        <v>3000</v>
      </c>
      <c r="AJ8">
        <f ca="1"/>
        <v>0</v>
      </c>
      <c r="AK8" t="str">
        <f ca="1"/>
        <v>20x1.2L</v>
      </c>
      <c r="AL8">
        <f ca="1"/>
        <v>131670</v>
      </c>
      <c r="AM8">
        <f ca="1"/>
        <v>35286.521739130432</v>
      </c>
      <c r="AN8" t="str">
        <f ca="1"/>
        <v>O-45662-D-0004</v>
      </c>
      <c r="AO8" t="str">
        <f ca="1"/>
        <v>Delivered</v>
      </c>
    </row>
    <row r="9" spans="1:41" x14ac:dyDescent="0.5">
      <c r="A9" t="str">
        <f ca="1"/>
        <v>F-103</v>
      </c>
      <c r="B9" s="1">
        <f ca="1"/>
        <v>45662</v>
      </c>
      <c r="C9" t="str">
        <f ca="1"/>
        <v>D-0004</v>
      </c>
      <c r="D9" t="str">
        <f ca="1"/>
        <v>Lube &amp; Gear</v>
      </c>
      <c r="E9" t="str">
        <f ca="1"/>
        <v xml:space="preserve">Konabari Gazipur </v>
      </c>
      <c r="F9" t="str">
        <f ca="1"/>
        <v>01711784707</v>
      </c>
      <c r="G9" t="str">
        <f ca="1"/>
        <v>Sayed Al Amin Apu</v>
      </c>
      <c r="H9" t="str">
        <f ca="1"/>
        <v>Abdul Matin</v>
      </c>
      <c r="I9" t="str">
        <f ca="1"/>
        <v>Lube &amp; Gear</v>
      </c>
      <c r="J9" t="str">
        <f ca="1"/>
        <v>Konabari</v>
      </c>
      <c r="K9" t="str">
        <f ca="1"/>
        <v>LO00096</v>
      </c>
      <c r="L9" t="str">
        <f ca="1"/>
        <v>3000 4T PLUS 20W40</v>
      </c>
      <c r="M9">
        <f ca="1"/>
        <v>240</v>
      </c>
      <c r="N9">
        <f ca="1"/>
        <v>640</v>
      </c>
      <c r="O9">
        <f ca="1"/>
        <v>288</v>
      </c>
      <c r="P9">
        <f ca="1"/>
        <v>0</v>
      </c>
      <c r="Q9">
        <f ca="1"/>
        <v>0</v>
      </c>
      <c r="R9">
        <f ca="1"/>
        <v>640</v>
      </c>
      <c r="S9">
        <f ca="1"/>
        <v>240</v>
      </c>
      <c r="T9">
        <f ca="1"/>
        <v>288</v>
      </c>
      <c r="U9">
        <f ca="1"/>
        <v>153600</v>
      </c>
      <c r="V9">
        <f ca="1"/>
        <v>0</v>
      </c>
      <c r="W9">
        <f ca="1"/>
        <v>153600</v>
      </c>
      <c r="X9">
        <f ca="1"/>
        <v>20034.782608695652</v>
      </c>
      <c r="Y9">
        <f ca="1"/>
        <v>133565.21739130435</v>
      </c>
      <c r="Z9" t="str">
        <f ca="1"/>
        <v>Cash</v>
      </c>
      <c r="AA9">
        <f ca="1"/>
        <v>572</v>
      </c>
      <c r="AB9" t="str">
        <f ca="1"/>
        <v>Flat Discount</v>
      </c>
      <c r="AC9">
        <f ca="1"/>
        <v>45662</v>
      </c>
      <c r="AD9" t="str">
        <f ca="1"/>
        <v/>
      </c>
      <c r="AE9" t="str">
        <f ca="1"/>
        <v>Central</v>
      </c>
      <c r="AF9" t="str">
        <f ca="1"/>
        <v>Mineral</v>
      </c>
      <c r="AG9" t="str">
        <f ca="1"/>
        <v>MCO</v>
      </c>
      <c r="AH9" t="str">
        <f ca="1"/>
        <v>20W40</v>
      </c>
      <c r="AI9" t="str">
        <f ca="1"/>
        <v>3000</v>
      </c>
      <c r="AJ9">
        <f ca="1"/>
        <v>0</v>
      </c>
      <c r="AK9" t="str">
        <f ca="1"/>
        <v>20x1.2L</v>
      </c>
      <c r="AL9">
        <f ca="1"/>
        <v>112775.47088414633</v>
      </c>
      <c r="AM9">
        <f ca="1"/>
        <v>20789.746507158023</v>
      </c>
      <c r="AN9" t="str">
        <f ca="1"/>
        <v>O-45662-D-0004</v>
      </c>
      <c r="AO9" t="str">
        <f ca="1"/>
        <v>Delivered</v>
      </c>
    </row>
    <row r="10" spans="1:41" x14ac:dyDescent="0.5">
      <c r="A10" t="str">
        <f ca="1"/>
        <v>F-103</v>
      </c>
      <c r="B10" s="1">
        <f ca="1"/>
        <v>45662</v>
      </c>
      <c r="C10" t="str">
        <f ca="1"/>
        <v>D-0004</v>
      </c>
      <c r="D10" t="str">
        <f ca="1"/>
        <v>Lube &amp; Gear</v>
      </c>
      <c r="E10" t="str">
        <f ca="1"/>
        <v xml:space="preserve">Konabari Gazipur </v>
      </c>
      <c r="F10" t="str">
        <f ca="1"/>
        <v>01711784707</v>
      </c>
      <c r="G10" t="str">
        <f ca="1"/>
        <v>Sayed Al Amin Apu</v>
      </c>
      <c r="H10" t="str">
        <f ca="1"/>
        <v>Abdul Matin</v>
      </c>
      <c r="I10" t="str">
        <f ca="1"/>
        <v>Lube &amp; Gear</v>
      </c>
      <c r="J10" t="str">
        <f ca="1"/>
        <v>Konabari</v>
      </c>
      <c r="K10" t="str">
        <f ca="1"/>
        <v>LO00044</v>
      </c>
      <c r="L10" t="str">
        <f ca="1"/>
        <v>31004T GOLD 20W50</v>
      </c>
      <c r="M10">
        <f ca="1"/>
        <v>80</v>
      </c>
      <c r="N10">
        <f ca="1"/>
        <v>595</v>
      </c>
      <c r="O10">
        <f ca="1"/>
        <v>80</v>
      </c>
      <c r="P10">
        <f ca="1"/>
        <v>0</v>
      </c>
      <c r="Q10">
        <f ca="1"/>
        <v>0</v>
      </c>
      <c r="R10">
        <f ca="1"/>
        <v>595</v>
      </c>
      <c r="S10">
        <f ca="1"/>
        <v>80</v>
      </c>
      <c r="T10">
        <f ca="1"/>
        <v>80</v>
      </c>
      <c r="U10">
        <f ca="1"/>
        <v>47600</v>
      </c>
      <c r="V10">
        <f ca="1"/>
        <v>0</v>
      </c>
      <c r="W10">
        <f ca="1"/>
        <v>47600</v>
      </c>
      <c r="X10">
        <f ca="1"/>
        <v>6208.695652173913</v>
      </c>
      <c r="Y10">
        <f ca="1"/>
        <v>41391.304347826088</v>
      </c>
      <c r="Z10" t="str">
        <f ca="1"/>
        <v>Cash</v>
      </c>
      <c r="AA10">
        <f ca="1"/>
        <v>572</v>
      </c>
      <c r="AB10" t="str">
        <f ca="1"/>
        <v>Flat Discount</v>
      </c>
      <c r="AC10">
        <f ca="1"/>
        <v>45662</v>
      </c>
      <c r="AD10" t="str">
        <f ca="1"/>
        <v/>
      </c>
      <c r="AE10" t="str">
        <f ca="1"/>
        <v>Central</v>
      </c>
      <c r="AF10" t="str">
        <f ca="1"/>
        <v>Technosynthese</v>
      </c>
      <c r="AG10" t="str">
        <f ca="1"/>
        <v>MCO</v>
      </c>
      <c r="AH10" t="str">
        <f ca="1"/>
        <v>20W50</v>
      </c>
      <c r="AI10" t="str">
        <f ca="1"/>
        <v>3100</v>
      </c>
      <c r="AJ10">
        <f ca="1"/>
        <v>0</v>
      </c>
      <c r="AK10" t="str">
        <f ca="1"/>
        <v>20x1L</v>
      </c>
      <c r="AL10">
        <f ca="1"/>
        <v>37551.199999999997</v>
      </c>
      <c r="AM10">
        <f ca="1"/>
        <v>3840.1043478260908</v>
      </c>
      <c r="AN10" t="str">
        <f ca="1"/>
        <v>O-45662-D-0004</v>
      </c>
      <c r="AO10" t="str">
        <f ca="1"/>
        <v>Delivered</v>
      </c>
    </row>
    <row r="11" spans="1:41" x14ac:dyDescent="0.5">
      <c r="A11" t="str">
        <f ca="1"/>
        <v>F-103</v>
      </c>
      <c r="B11" s="1">
        <f ca="1"/>
        <v>45662</v>
      </c>
      <c r="C11" t="str">
        <f ca="1"/>
        <v>D-0004</v>
      </c>
      <c r="D11" t="str">
        <f ca="1"/>
        <v>Lube &amp; Gear</v>
      </c>
      <c r="E11" t="str">
        <f ca="1"/>
        <v xml:space="preserve">Konabari Gazipur </v>
      </c>
      <c r="F11" t="str">
        <f ca="1"/>
        <v>01711784707</v>
      </c>
      <c r="G11" t="str">
        <f ca="1"/>
        <v>Sayed Al Amin Apu</v>
      </c>
      <c r="H11" t="str">
        <f ca="1"/>
        <v>Abdul Matin</v>
      </c>
      <c r="I11" t="str">
        <f ca="1"/>
        <v>Lube &amp; Gear</v>
      </c>
      <c r="J11" t="str">
        <f ca="1"/>
        <v>Konabari</v>
      </c>
      <c r="K11" t="str">
        <f ca="1"/>
        <v>LO00046</v>
      </c>
      <c r="L11" t="str">
        <f ca="1"/>
        <v>51004T 10W40 ESTER</v>
      </c>
      <c r="M11">
        <f ca="1"/>
        <v>84</v>
      </c>
      <c r="N11">
        <f ca="1"/>
        <v>850</v>
      </c>
      <c r="O11">
        <f ca="1"/>
        <v>84</v>
      </c>
      <c r="P11">
        <f ca="1"/>
        <v>0</v>
      </c>
      <c r="Q11">
        <f ca="1"/>
        <v>0</v>
      </c>
      <c r="R11">
        <f ca="1"/>
        <v>850</v>
      </c>
      <c r="S11">
        <f ca="1"/>
        <v>84</v>
      </c>
      <c r="T11">
        <f ca="1"/>
        <v>84</v>
      </c>
      <c r="U11">
        <f ca="1"/>
        <v>71400</v>
      </c>
      <c r="V11">
        <f ca="1"/>
        <v>0</v>
      </c>
      <c r="W11">
        <f ca="1"/>
        <v>71400</v>
      </c>
      <c r="X11">
        <f ca="1"/>
        <v>9313.04347826087</v>
      </c>
      <c r="Y11">
        <f ca="1"/>
        <v>62086.956521739128</v>
      </c>
      <c r="Z11" t="str">
        <f ca="1"/>
        <v>Cash</v>
      </c>
      <c r="AA11">
        <f ca="1"/>
        <v>572</v>
      </c>
      <c r="AB11" t="str">
        <f ca="1"/>
        <v>Flat Discount</v>
      </c>
      <c r="AC11">
        <f ca="1"/>
        <v>45662</v>
      </c>
      <c r="AD11" t="str">
        <f ca="1"/>
        <v/>
      </c>
      <c r="AE11" t="str">
        <f ca="1"/>
        <v>Central</v>
      </c>
      <c r="AF11" t="str">
        <f ca="1"/>
        <v>Technosynthese</v>
      </c>
      <c r="AG11" t="str">
        <f ca="1"/>
        <v>MCO</v>
      </c>
      <c r="AH11" t="str">
        <f ca="1"/>
        <v>10W40</v>
      </c>
      <c r="AI11" t="str">
        <f ca="1"/>
        <v>5100</v>
      </c>
      <c r="AJ11">
        <f ca="1"/>
        <v>0</v>
      </c>
      <c r="AK11" t="str">
        <f ca="1"/>
        <v>12x1L</v>
      </c>
      <c r="AL11">
        <f ca="1"/>
        <v>51099.72</v>
      </c>
      <c r="AM11">
        <f ca="1"/>
        <v>10987.236521739127</v>
      </c>
      <c r="AN11" t="str">
        <f ca="1"/>
        <v>O-45662-D-0004</v>
      </c>
      <c r="AO11" t="str">
        <f ca="1"/>
        <v>Delivered</v>
      </c>
    </row>
    <row r="12" spans="1:41" x14ac:dyDescent="0.5">
      <c r="A12" t="str">
        <f ca="1"/>
        <v>F-103</v>
      </c>
      <c r="B12" s="1">
        <f ca="1"/>
        <v>45662</v>
      </c>
      <c r="C12" t="str">
        <f ca="1"/>
        <v>D-0004</v>
      </c>
      <c r="D12" t="str">
        <f ca="1"/>
        <v>Lube &amp; Gear</v>
      </c>
      <c r="E12" t="str">
        <f ca="1"/>
        <v xml:space="preserve">Konabari Gazipur </v>
      </c>
      <c r="F12" t="str">
        <f ca="1"/>
        <v>01711784707</v>
      </c>
      <c r="G12" t="str">
        <f ca="1"/>
        <v>Sayed Al Amin Apu</v>
      </c>
      <c r="H12" t="str">
        <f ca="1"/>
        <v>Abdul Matin</v>
      </c>
      <c r="I12" t="str">
        <f ca="1"/>
        <v>Lube &amp; Gear</v>
      </c>
      <c r="J12" t="str">
        <f ca="1"/>
        <v>Konabari</v>
      </c>
      <c r="K12" t="str">
        <f ca="1"/>
        <v>LO00074</v>
      </c>
      <c r="L12" t="str">
        <f ca="1"/>
        <v>7100 4T 10W30 ESTER CORE®</v>
      </c>
      <c r="M12">
        <f ca="1"/>
        <v>120</v>
      </c>
      <c r="N12">
        <f ca="1"/>
        <v>1050</v>
      </c>
      <c r="O12">
        <f ca="1"/>
        <v>120</v>
      </c>
      <c r="P12">
        <f ca="1"/>
        <v>0</v>
      </c>
      <c r="Q12">
        <f ca="1"/>
        <v>0</v>
      </c>
      <c r="R12">
        <f ca="1"/>
        <v>1050</v>
      </c>
      <c r="S12">
        <f ca="1"/>
        <v>120</v>
      </c>
      <c r="T12">
        <f ca="1"/>
        <v>120</v>
      </c>
      <c r="U12">
        <f ca="1"/>
        <v>126000</v>
      </c>
      <c r="V12">
        <f ca="1"/>
        <v>0</v>
      </c>
      <c r="W12">
        <f ca="1"/>
        <v>126000</v>
      </c>
      <c r="X12">
        <f ca="1"/>
        <v>16434.782608695652</v>
      </c>
      <c r="Y12">
        <f ca="1"/>
        <v>109565.21739130435</v>
      </c>
      <c r="Z12" t="str">
        <f ca="1"/>
        <v>Cash</v>
      </c>
      <c r="AA12">
        <f ca="1"/>
        <v>572</v>
      </c>
      <c r="AB12" t="str">
        <f ca="1"/>
        <v>Flat Discount</v>
      </c>
      <c r="AC12">
        <f ca="1"/>
        <v>45662</v>
      </c>
      <c r="AD12" t="str">
        <f ca="1"/>
        <v/>
      </c>
      <c r="AE12" t="str">
        <f ca="1"/>
        <v>Central</v>
      </c>
      <c r="AF12" t="str">
        <f ca="1"/>
        <v>Synthetic</v>
      </c>
      <c r="AG12" t="str">
        <f ca="1"/>
        <v>MCO</v>
      </c>
      <c r="AH12" t="str">
        <f ca="1"/>
        <v>10W30</v>
      </c>
      <c r="AI12" t="str">
        <f ca="1"/>
        <v>7100</v>
      </c>
      <c r="AJ12">
        <f ca="1"/>
        <v>0</v>
      </c>
      <c r="AK12" t="str">
        <f ca="1"/>
        <v>12x1L</v>
      </c>
      <c r="AL12">
        <f ca="1"/>
        <v>82783.199999999997</v>
      </c>
      <c r="AM12">
        <f ca="1"/>
        <v>26782.017391304355</v>
      </c>
      <c r="AN12" t="str">
        <f ca="1"/>
        <v>O-45662-D-0004</v>
      </c>
      <c r="AO12" t="str">
        <f ca="1"/>
        <v>Delivered</v>
      </c>
    </row>
    <row r="13" spans="1:41" x14ac:dyDescent="0.5">
      <c r="A13" t="str">
        <f ca="1"/>
        <v>F-103</v>
      </c>
      <c r="B13" s="1">
        <f ca="1"/>
        <v>45662</v>
      </c>
      <c r="C13" t="str">
        <f ca="1"/>
        <v>D-0004</v>
      </c>
      <c r="D13" t="str">
        <f ca="1"/>
        <v>Lube &amp; Gear</v>
      </c>
      <c r="E13" t="str">
        <f ca="1"/>
        <v xml:space="preserve">Konabari Gazipur </v>
      </c>
      <c r="F13" t="str">
        <f ca="1"/>
        <v>01711784707</v>
      </c>
      <c r="G13" t="str">
        <f ca="1"/>
        <v>Sayed Al Amin Apu</v>
      </c>
      <c r="H13" t="str">
        <f ca="1"/>
        <v>Abdul Matin</v>
      </c>
      <c r="I13" t="str">
        <f ca="1"/>
        <v>Lube &amp; Gear</v>
      </c>
      <c r="J13" t="str">
        <f ca="1"/>
        <v>Konabari</v>
      </c>
      <c r="K13" t="str">
        <f ca="1"/>
        <v>LO00047</v>
      </c>
      <c r="L13" t="str">
        <f ca="1"/>
        <v>7100 4T 10W40 ESTER CORE®</v>
      </c>
      <c r="M13">
        <f ca="1"/>
        <v>600</v>
      </c>
      <c r="N13">
        <f ca="1"/>
        <v>1050</v>
      </c>
      <c r="O13">
        <f ca="1"/>
        <v>600</v>
      </c>
      <c r="P13">
        <f ca="1"/>
        <v>0</v>
      </c>
      <c r="Q13">
        <f ca="1"/>
        <v>0</v>
      </c>
      <c r="R13">
        <f ca="1"/>
        <v>1050</v>
      </c>
      <c r="S13">
        <f ca="1"/>
        <v>600</v>
      </c>
      <c r="T13">
        <f ca="1"/>
        <v>600</v>
      </c>
      <c r="U13">
        <f ca="1"/>
        <v>630000</v>
      </c>
      <c r="V13">
        <f ca="1"/>
        <v>0</v>
      </c>
      <c r="W13">
        <f ca="1"/>
        <v>630000</v>
      </c>
      <c r="X13">
        <f ca="1"/>
        <v>82173.913043478256</v>
      </c>
      <c r="Y13">
        <f ca="1"/>
        <v>547826.08695652173</v>
      </c>
      <c r="Z13" t="str">
        <f ca="1"/>
        <v>Cash</v>
      </c>
      <c r="AA13">
        <f ca="1"/>
        <v>572</v>
      </c>
      <c r="AB13" t="str">
        <f ca="1"/>
        <v>Flat Discount</v>
      </c>
      <c r="AC13">
        <f ca="1"/>
        <v>45662</v>
      </c>
      <c r="AD13" t="str">
        <f ca="1"/>
        <v/>
      </c>
      <c r="AE13" t="str">
        <f ca="1"/>
        <v>Central</v>
      </c>
      <c r="AF13" t="str">
        <f ca="1"/>
        <v>Synthetic</v>
      </c>
      <c r="AG13" t="str">
        <f ca="1"/>
        <v>MCO</v>
      </c>
      <c r="AH13" t="str">
        <f ca="1"/>
        <v>10W40</v>
      </c>
      <c r="AI13" t="str">
        <f ca="1"/>
        <v>7100</v>
      </c>
      <c r="AJ13">
        <f ca="1"/>
        <v>0</v>
      </c>
      <c r="AK13" t="str">
        <f ca="1"/>
        <v>12x1L</v>
      </c>
      <c r="AL13">
        <f ca="1"/>
        <v>416394</v>
      </c>
      <c r="AM13">
        <f ca="1"/>
        <v>131432.08695652173</v>
      </c>
      <c r="AN13" t="str">
        <f ca="1"/>
        <v>O-45662-D-0004</v>
      </c>
      <c r="AO13" t="str">
        <f ca="1"/>
        <v>Delivered</v>
      </c>
    </row>
    <row r="14" spans="1:41" x14ac:dyDescent="0.5">
      <c r="A14" t="str">
        <f ca="1"/>
        <v>F-103</v>
      </c>
      <c r="B14" s="1">
        <f ca="1"/>
        <v>45662</v>
      </c>
      <c r="C14" t="str">
        <f ca="1"/>
        <v>D-0004</v>
      </c>
      <c r="D14" t="str">
        <f ca="1"/>
        <v>Lube &amp; Gear</v>
      </c>
      <c r="E14" t="str">
        <f ca="1"/>
        <v xml:space="preserve">Konabari Gazipur </v>
      </c>
      <c r="F14" t="str">
        <f ca="1"/>
        <v>01711784707</v>
      </c>
      <c r="G14" t="str">
        <f ca="1"/>
        <v>Sayed Al Amin Apu</v>
      </c>
      <c r="H14" t="str">
        <f ca="1"/>
        <v>Abdul Matin</v>
      </c>
      <c r="I14" t="str">
        <f ca="1"/>
        <v>Lube &amp; Gear</v>
      </c>
      <c r="J14" t="str">
        <f ca="1"/>
        <v>Konabari</v>
      </c>
      <c r="K14" t="str">
        <f ca="1"/>
        <v>LO00048</v>
      </c>
      <c r="L14" t="str">
        <f ca="1"/>
        <v>7100 4T 20W50 ESTER CORE®</v>
      </c>
      <c r="M14">
        <f ca="1"/>
        <v>96</v>
      </c>
      <c r="N14">
        <f ca="1"/>
        <v>1050</v>
      </c>
      <c r="O14">
        <f ca="1"/>
        <v>96</v>
      </c>
      <c r="P14">
        <f ca="1"/>
        <v>0</v>
      </c>
      <c r="Q14">
        <f ca="1"/>
        <v>0</v>
      </c>
      <c r="R14">
        <f ca="1"/>
        <v>1050</v>
      </c>
      <c r="S14">
        <f ca="1"/>
        <v>96</v>
      </c>
      <c r="T14">
        <f ca="1"/>
        <v>96</v>
      </c>
      <c r="U14">
        <f ca="1"/>
        <v>100800</v>
      </c>
      <c r="V14">
        <f ca="1"/>
        <v>0</v>
      </c>
      <c r="W14">
        <f ca="1"/>
        <v>100800</v>
      </c>
      <c r="X14">
        <f ca="1"/>
        <v>13147.826086956522</v>
      </c>
      <c r="Y14">
        <f ca="1"/>
        <v>87652.173913043473</v>
      </c>
      <c r="Z14" t="str">
        <f ca="1"/>
        <v>Cash</v>
      </c>
      <c r="AA14">
        <f ca="1"/>
        <v>572</v>
      </c>
      <c r="AB14" t="str">
        <f ca="1"/>
        <v>Flat Discount</v>
      </c>
      <c r="AC14">
        <f ca="1"/>
        <v>45662</v>
      </c>
      <c r="AD14" t="str">
        <f ca="1"/>
        <v/>
      </c>
      <c r="AE14" t="str">
        <f ca="1"/>
        <v>Central</v>
      </c>
      <c r="AF14" t="str">
        <f ca="1"/>
        <v>Synthetic</v>
      </c>
      <c r="AG14" t="str">
        <f ca="1"/>
        <v>MCO</v>
      </c>
      <c r="AH14" t="str">
        <f ca="1"/>
        <v>20W50</v>
      </c>
      <c r="AI14" t="str">
        <f ca="1"/>
        <v>7100</v>
      </c>
      <c r="AJ14">
        <f ca="1"/>
        <v>0</v>
      </c>
      <c r="AK14" t="str">
        <f ca="1"/>
        <v>12x1L</v>
      </c>
      <c r="AL14">
        <f ca="1"/>
        <v>73315.046399999992</v>
      </c>
      <c r="AM14">
        <f ca="1"/>
        <v>14337.127513043481</v>
      </c>
      <c r="AN14" t="str">
        <f ca="1"/>
        <v>O-45662-D-0004</v>
      </c>
      <c r="AO14" t="str">
        <f ca="1"/>
        <v>Delivered</v>
      </c>
    </row>
    <row r="15" spans="1:41" x14ac:dyDescent="0.5">
      <c r="A15" t="str">
        <f ca="1"/>
        <v>F-103</v>
      </c>
      <c r="B15" s="1">
        <f ca="1"/>
        <v>45662</v>
      </c>
      <c r="C15" t="str">
        <f ca="1"/>
        <v>D-0004</v>
      </c>
      <c r="D15" t="str">
        <f ca="1"/>
        <v>Lube &amp; Gear</v>
      </c>
      <c r="E15" t="str">
        <f ca="1"/>
        <v xml:space="preserve">Konabari Gazipur </v>
      </c>
      <c r="F15" t="str">
        <f ca="1"/>
        <v>01711784707</v>
      </c>
      <c r="G15" t="str">
        <f ca="1"/>
        <v>Sayed Al Amin Apu</v>
      </c>
      <c r="H15" t="str">
        <f ca="1"/>
        <v>Abdul Matin</v>
      </c>
      <c r="I15" t="str">
        <f ca="1"/>
        <v>Lube &amp; Gear</v>
      </c>
      <c r="J15" t="str">
        <f ca="1"/>
        <v>Konabari</v>
      </c>
      <c r="K15" t="str">
        <f ca="1"/>
        <v>LO00072</v>
      </c>
      <c r="L15" t="str">
        <f ca="1"/>
        <v>Scooter LE 4T 10W30 HC-TECH®</v>
      </c>
      <c r="M15">
        <f ca="1"/>
        <v>20</v>
      </c>
      <c r="N15">
        <f ca="1"/>
        <v>483</v>
      </c>
      <c r="O15">
        <f ca="1"/>
        <v>16</v>
      </c>
      <c r="P15">
        <f ca="1"/>
        <v>0</v>
      </c>
      <c r="Q15">
        <f ca="1"/>
        <v>0</v>
      </c>
      <c r="R15">
        <f ca="1"/>
        <v>483</v>
      </c>
      <c r="S15">
        <f ca="1"/>
        <v>20</v>
      </c>
      <c r="T15">
        <f ca="1"/>
        <v>16</v>
      </c>
      <c r="U15">
        <f ca="1"/>
        <v>9660</v>
      </c>
      <c r="V15">
        <f ca="1"/>
        <v>0</v>
      </c>
      <c r="W15">
        <f ca="1"/>
        <v>9660</v>
      </c>
      <c r="X15">
        <f ca="1"/>
        <v>1260</v>
      </c>
      <c r="Y15">
        <f ca="1"/>
        <v>8400</v>
      </c>
      <c r="Z15" t="str">
        <f ca="1"/>
        <v>Cash</v>
      </c>
      <c r="AA15">
        <f ca="1"/>
        <v>572</v>
      </c>
      <c r="AB15" t="str">
        <f ca="1"/>
        <v>Flat Discount</v>
      </c>
      <c r="AC15">
        <f ca="1"/>
        <v>45662</v>
      </c>
      <c r="AD15" t="str">
        <f ca="1"/>
        <v/>
      </c>
      <c r="AE15" t="str">
        <f ca="1"/>
        <v>Central</v>
      </c>
      <c r="AF15" t="str">
        <f ca="1"/>
        <v>Mineral</v>
      </c>
      <c r="AG15" t="str">
        <f ca="1"/>
        <v>MCO</v>
      </c>
      <c r="AH15" t="str">
        <f ca="1"/>
        <v>10W30</v>
      </c>
      <c r="AI15" t="str">
        <f ca="1"/>
        <v>Scooter</v>
      </c>
      <c r="AJ15">
        <f ca="1"/>
        <v>0</v>
      </c>
      <c r="AK15" t="str">
        <f ca="1"/>
        <v>20x0.8L</v>
      </c>
      <c r="AL15">
        <f ca="1"/>
        <v>6666.5999999999995</v>
      </c>
      <c r="AM15">
        <f ca="1"/>
        <v>1733.4000000000005</v>
      </c>
      <c r="AN15" t="str">
        <f ca="1"/>
        <v>O-45662-D-0004</v>
      </c>
      <c r="AO15" t="str">
        <f ca="1"/>
        <v>Delivered</v>
      </c>
    </row>
    <row r="16" spans="1:41" x14ac:dyDescent="0.5">
      <c r="A16" t="str">
        <f ca="1"/>
        <v>F-103</v>
      </c>
      <c r="B16" s="1">
        <f ca="1"/>
        <v>45662</v>
      </c>
      <c r="C16" t="str">
        <f ca="1"/>
        <v>D-0004</v>
      </c>
      <c r="D16" t="str">
        <f ca="1"/>
        <v>Lube &amp; Gear</v>
      </c>
      <c r="E16" t="str">
        <f ca="1"/>
        <v xml:space="preserve">Konabari Gazipur </v>
      </c>
      <c r="F16" t="str">
        <f ca="1"/>
        <v>01711784707</v>
      </c>
      <c r="G16" t="str">
        <f ca="1"/>
        <v>Sayed Al Amin Apu</v>
      </c>
      <c r="H16" t="str">
        <f ca="1"/>
        <v>Abdul Matin</v>
      </c>
      <c r="I16" t="str">
        <f ca="1"/>
        <v>Lube &amp; Gear</v>
      </c>
      <c r="J16" t="str">
        <f ca="1"/>
        <v>Konabari</v>
      </c>
      <c r="K16" t="str">
        <f ca="1"/>
        <v>LO00104</v>
      </c>
      <c r="L16" t="str">
        <f ca="1"/>
        <v>7100 4T 10W30 ESTER CORE®</v>
      </c>
      <c r="M16">
        <f ca="1"/>
        <v>40</v>
      </c>
      <c r="N16">
        <f ca="1"/>
        <v>1260</v>
      </c>
      <c r="O16">
        <f ca="1"/>
        <v>48</v>
      </c>
      <c r="P16">
        <f ca="1"/>
        <v>0</v>
      </c>
      <c r="Q16">
        <f ca="1"/>
        <v>0</v>
      </c>
      <c r="R16">
        <f ca="1"/>
        <v>1260</v>
      </c>
      <c r="S16">
        <f ca="1"/>
        <v>40</v>
      </c>
      <c r="T16">
        <f ca="1"/>
        <v>48</v>
      </c>
      <c r="U16">
        <f ca="1"/>
        <v>50400</v>
      </c>
      <c r="V16">
        <f ca="1"/>
        <v>0</v>
      </c>
      <c r="W16">
        <f ca="1"/>
        <v>50400</v>
      </c>
      <c r="X16">
        <f ca="1"/>
        <v>6573.913043478261</v>
      </c>
      <c r="Y16">
        <f ca="1"/>
        <v>43826.086956521736</v>
      </c>
      <c r="Z16" t="str">
        <f ca="1"/>
        <v>Cash</v>
      </c>
      <c r="AA16">
        <f ca="1"/>
        <v>572</v>
      </c>
      <c r="AB16" t="str">
        <f ca="1"/>
        <v>Flat Discount</v>
      </c>
      <c r="AC16">
        <f ca="1"/>
        <v>45662</v>
      </c>
      <c r="AD16" t="str">
        <f ca="1"/>
        <v/>
      </c>
      <c r="AE16" t="str">
        <f ca="1"/>
        <v>Central</v>
      </c>
      <c r="AF16" t="str">
        <f ca="1"/>
        <v>Synthetic</v>
      </c>
      <c r="AG16" t="str">
        <f ca="1"/>
        <v>MCO</v>
      </c>
      <c r="AH16" t="str">
        <f ca="1"/>
        <v>10W30</v>
      </c>
      <c r="AI16" t="str">
        <f ca="1"/>
        <v>7100</v>
      </c>
      <c r="AJ16">
        <f ca="1"/>
        <v>0</v>
      </c>
      <c r="AK16" t="str">
        <f ca="1"/>
        <v>20x1.2L</v>
      </c>
      <c r="AL16">
        <f ca="1"/>
        <v>31092</v>
      </c>
      <c r="AM16">
        <f ca="1"/>
        <v>12734.086956521736</v>
      </c>
      <c r="AN16" t="str">
        <f ca="1"/>
        <v>O-45662-D-0004</v>
      </c>
      <c r="AO16" t="str">
        <f ca="1"/>
        <v>Delivered</v>
      </c>
    </row>
    <row r="17" spans="1:41" x14ac:dyDescent="0.5">
      <c r="A17" t="str">
        <f ca="1"/>
        <v>F-103</v>
      </c>
      <c r="B17" s="1">
        <f ca="1"/>
        <v>45662</v>
      </c>
      <c r="C17" t="str">
        <f ca="1"/>
        <v>D-0004</v>
      </c>
      <c r="D17" t="str">
        <f ca="1"/>
        <v>Lube &amp; Gear</v>
      </c>
      <c r="E17" t="str">
        <f ca="1"/>
        <v xml:space="preserve">Konabari Gazipur </v>
      </c>
      <c r="F17" t="str">
        <f ca="1"/>
        <v>01711784707</v>
      </c>
      <c r="G17" t="str">
        <f ca="1"/>
        <v>Sayed Al Amin Apu</v>
      </c>
      <c r="H17" t="str">
        <f ca="1"/>
        <v>Abdul Matin</v>
      </c>
      <c r="I17" t="str">
        <f ca="1"/>
        <v>Lube &amp; Gear</v>
      </c>
      <c r="J17" t="str">
        <f ca="1"/>
        <v>Konabari</v>
      </c>
      <c r="K17" t="str">
        <f ca="1"/>
        <v>LO00119</v>
      </c>
      <c r="L17" t="str">
        <f ca="1"/>
        <v>3000 4T 20W50</v>
      </c>
      <c r="M17">
        <f ca="1"/>
        <v>100</v>
      </c>
      <c r="N17">
        <f ca="1"/>
        <v>480</v>
      </c>
      <c r="O17">
        <f ca="1"/>
        <v>100</v>
      </c>
      <c r="P17">
        <f ca="1"/>
        <v>0</v>
      </c>
      <c r="Q17">
        <f ca="1"/>
        <v>0</v>
      </c>
      <c r="R17">
        <f ca="1"/>
        <v>480</v>
      </c>
      <c r="S17">
        <f ca="1"/>
        <v>100</v>
      </c>
      <c r="T17">
        <f ca="1"/>
        <v>100</v>
      </c>
      <c r="U17">
        <f ca="1"/>
        <v>48000</v>
      </c>
      <c r="V17">
        <f ca="1"/>
        <v>0</v>
      </c>
      <c r="W17">
        <f ca="1"/>
        <v>48000</v>
      </c>
      <c r="X17">
        <f ca="1"/>
        <v>6260.869565217391</v>
      </c>
      <c r="Y17">
        <f ca="1"/>
        <v>41739.130434782608</v>
      </c>
      <c r="Z17" t="str">
        <f ca="1"/>
        <v>Cash</v>
      </c>
      <c r="AA17">
        <f ca="1"/>
        <v>572</v>
      </c>
      <c r="AB17" t="str">
        <f ca="1"/>
        <v>Flat Discount</v>
      </c>
      <c r="AC17">
        <f ca="1"/>
        <v>45662</v>
      </c>
      <c r="AD17" t="str">
        <f ca="1"/>
        <v/>
      </c>
      <c r="AE17" t="str">
        <f ca="1"/>
        <v>Central</v>
      </c>
      <c r="AF17" t="str">
        <f ca="1"/>
        <v>Mineral</v>
      </c>
      <c r="AG17" t="str">
        <f ca="1"/>
        <v>MCO</v>
      </c>
      <c r="AH17" t="str">
        <f ca="1"/>
        <v>20W50</v>
      </c>
      <c r="AI17" t="str">
        <f ca="1"/>
        <v>3000</v>
      </c>
      <c r="AJ17">
        <f ca="1"/>
        <v>0</v>
      </c>
      <c r="AK17" t="str">
        <f ca="1"/>
        <v>20x1L</v>
      </c>
      <c r="AL17">
        <f ca="1"/>
        <v>36492</v>
      </c>
      <c r="AM17">
        <f ca="1"/>
        <v>5247.1304347826081</v>
      </c>
      <c r="AN17" t="str">
        <f ca="1"/>
        <v>O-45662-D-0004</v>
      </c>
      <c r="AO17" t="str">
        <f ca="1"/>
        <v>Delivered</v>
      </c>
    </row>
    <row r="18" spans="1:41" x14ac:dyDescent="0.5">
      <c r="A18" t="str">
        <f ca="1"/>
        <v>F-104</v>
      </c>
      <c r="B18" s="1">
        <f ca="1"/>
        <v>45658</v>
      </c>
      <c r="C18" t="str">
        <f ca="1"/>
        <v>D-0018</v>
      </c>
      <c r="D18" t="str">
        <f ca="1"/>
        <v xml:space="preserve">Auto Museum </v>
      </c>
      <c r="E18" t="str">
        <f ca="1"/>
        <v xml:space="preserve">Chowmuni, Agrabad, Chittagong </v>
      </c>
      <c r="F18" t="str">
        <f ca="1"/>
        <v>0 18 5934 8871</v>
      </c>
      <c r="G18" t="str">
        <f ca="1"/>
        <v>Sultan Anisul Islam</v>
      </c>
      <c r="H18" t="str">
        <f ca="1"/>
        <v>Razur Rahman (Bipul)</v>
      </c>
      <c r="I18" t="str">
        <f ca="1"/>
        <v>KB Lubricants</v>
      </c>
      <c r="J18" t="str">
        <f ca="1"/>
        <v>Kadamtoli</v>
      </c>
      <c r="K18" t="str">
        <f ca="1"/>
        <v>LO00117</v>
      </c>
      <c r="L18" t="str">
        <f ca="1"/>
        <v>Brake Fluid DOT 4</v>
      </c>
      <c r="M18">
        <f ca="1"/>
        <v>80</v>
      </c>
      <c r="N18">
        <f ca="1"/>
        <v>150</v>
      </c>
      <c r="O18">
        <f ca="1"/>
        <v>8</v>
      </c>
      <c r="P18">
        <f ca="1"/>
        <v>0.18</v>
      </c>
      <c r="Q18">
        <f ca="1"/>
        <v>0</v>
      </c>
      <c r="R18">
        <f ca="1"/>
        <v>123</v>
      </c>
      <c r="S18">
        <f ca="1"/>
        <v>80</v>
      </c>
      <c r="T18">
        <f ca="1"/>
        <v>8</v>
      </c>
      <c r="U18">
        <f ca="1"/>
        <v>9840</v>
      </c>
      <c r="V18">
        <f ca="1"/>
        <v>0</v>
      </c>
      <c r="W18">
        <f ca="1"/>
        <v>9840</v>
      </c>
      <c r="X18">
        <f ca="1"/>
        <v>1283.4782608695652</v>
      </c>
      <c r="Y18">
        <f ca="1"/>
        <v>8556.5217391304341</v>
      </c>
      <c r="Z18" t="str">
        <f ca="1"/>
        <v>Cash</v>
      </c>
      <c r="AA18">
        <f ca="1"/>
        <v>573</v>
      </c>
      <c r="AB18" t="str">
        <f ca="1"/>
        <v>Regular</v>
      </c>
      <c r="AC18">
        <f ca="1"/>
        <v>45664</v>
      </c>
      <c r="AD18" t="str">
        <f ca="1"/>
        <v/>
      </c>
      <c r="AE18" t="str">
        <f ca="1"/>
        <v>Eastern</v>
      </c>
      <c r="AF18" t="str">
        <f ca="1"/>
        <v>Care Products</v>
      </c>
      <c r="AG18" t="str">
        <f ca="1"/>
        <v>Care Products</v>
      </c>
      <c r="AH18" t="str">
        <f ca="1"/>
        <v>Care Products</v>
      </c>
      <c r="AI18" t="str">
        <f ca="1"/>
        <v>Brake</v>
      </c>
      <c r="AJ18">
        <f ca="1"/>
        <v>0</v>
      </c>
      <c r="AK18" t="str">
        <f ca="1"/>
        <v>40x0.1L</v>
      </c>
      <c r="AL18">
        <f ca="1"/>
        <v>5788</v>
      </c>
      <c r="AM18">
        <f ca="1"/>
        <v>2768.5217391304341</v>
      </c>
      <c r="AN18" t="str">
        <f ca="1"/>
        <v>O-45658-D-0018</v>
      </c>
      <c r="AO18" t="str">
        <f ca="1"/>
        <v>Delivered</v>
      </c>
    </row>
    <row r="19" spans="1:41" x14ac:dyDescent="0.5">
      <c r="A19" t="str">
        <f ca="1"/>
        <v>F-105</v>
      </c>
      <c r="B19" s="1">
        <f ca="1"/>
        <v>45662</v>
      </c>
      <c r="C19" t="str">
        <f ca="1"/>
        <v>D-0018</v>
      </c>
      <c r="D19" t="str">
        <f ca="1"/>
        <v>J S Traders</v>
      </c>
      <c r="E19" t="str">
        <f ca="1"/>
        <v>Sadar, Lakhipur(Laxmipur)</v>
      </c>
      <c r="F19" t="str">
        <f ca="1"/>
        <v>01719-176998</v>
      </c>
      <c r="G19" t="str">
        <f ca="1"/>
        <v>Sultan Anisul Islam</v>
      </c>
      <c r="H19" t="str">
        <f ca="1"/>
        <v>Razur Rahman (Bipul)</v>
      </c>
      <c r="I19" t="str">
        <f ca="1"/>
        <v>KB Lubricants</v>
      </c>
      <c r="J19" t="str">
        <f ca="1"/>
        <v>Kadamtoli</v>
      </c>
      <c r="K19" t="str">
        <f ca="1"/>
        <v>LO00047</v>
      </c>
      <c r="L19" t="str">
        <f ca="1"/>
        <v>7100 4T 10W40 ESTER CORE®</v>
      </c>
      <c r="M19">
        <f ca="1"/>
        <v>60</v>
      </c>
      <c r="N19">
        <f ca="1"/>
        <v>1055</v>
      </c>
      <c r="O19">
        <f ca="1"/>
        <v>60</v>
      </c>
      <c r="P19">
        <f ca="1"/>
        <v>0</v>
      </c>
      <c r="Q19">
        <f ca="1"/>
        <v>0</v>
      </c>
      <c r="R19">
        <f ca="1"/>
        <v>1055</v>
      </c>
      <c r="S19">
        <f ca="1"/>
        <v>60</v>
      </c>
      <c r="T19">
        <f ca="1"/>
        <v>60</v>
      </c>
      <c r="U19">
        <f ca="1"/>
        <v>63300</v>
      </c>
      <c r="V19">
        <f ca="1"/>
        <v>0</v>
      </c>
      <c r="W19">
        <f ca="1"/>
        <v>63300</v>
      </c>
      <c r="X19">
        <f ca="1"/>
        <v>8256.5217391304341</v>
      </c>
      <c r="Y19">
        <f ca="1"/>
        <v>55043.478260869568</v>
      </c>
      <c r="Z19" t="str">
        <f ca="1"/>
        <v>Cash</v>
      </c>
      <c r="AA19">
        <f ca="1"/>
        <v>574</v>
      </c>
      <c r="AB19" t="str">
        <f ca="1"/>
        <v>Flat Discount</v>
      </c>
      <c r="AC19">
        <f ca="1"/>
        <v>45664</v>
      </c>
      <c r="AD19" t="str">
        <f ca="1"/>
        <v/>
      </c>
      <c r="AE19" t="str">
        <f ca="1"/>
        <v>Eastern</v>
      </c>
      <c r="AF19" t="str">
        <f ca="1"/>
        <v>Synthetic</v>
      </c>
      <c r="AG19" t="str">
        <f ca="1"/>
        <v>MCO</v>
      </c>
      <c r="AH19" t="str">
        <f ca="1"/>
        <v>10W40</v>
      </c>
      <c r="AI19" t="str">
        <f ca="1"/>
        <v>7100</v>
      </c>
      <c r="AJ19">
        <f ca="1"/>
        <v>0</v>
      </c>
      <c r="AK19" t="str">
        <f ca="1"/>
        <v>12x1L</v>
      </c>
      <c r="AL19">
        <f ca="1"/>
        <v>41639.4</v>
      </c>
      <c r="AM19">
        <f ca="1"/>
        <v>13404.078260869566</v>
      </c>
      <c r="AN19" t="str">
        <f ca="1"/>
        <v>O-45662-D-0018</v>
      </c>
      <c r="AO19" t="str">
        <f ca="1"/>
        <v>Delivered</v>
      </c>
    </row>
    <row r="20" spans="1:41" x14ac:dyDescent="0.5">
      <c r="A20" t="str">
        <f ca="1"/>
        <v>F-106</v>
      </c>
      <c r="B20" s="1">
        <f ca="1"/>
        <v>45663</v>
      </c>
      <c r="C20" t="str">
        <f ca="1"/>
        <v>D-0018</v>
      </c>
      <c r="D20" t="str">
        <f ca="1"/>
        <v xml:space="preserve">Rehena Distribution </v>
      </c>
      <c r="E20" t="str">
        <f ca="1"/>
        <v>Feni</v>
      </c>
      <c r="F20" t="str">
        <f ca="1"/>
        <v>0 18 3110 9784</v>
      </c>
      <c r="G20" t="str">
        <f ca="1"/>
        <v>Sultan Anisul Islam</v>
      </c>
      <c r="H20" t="str">
        <f ca="1"/>
        <v>Razur Rahman (Bipul)</v>
      </c>
      <c r="I20" t="str">
        <f ca="1"/>
        <v>KB Lubricants</v>
      </c>
      <c r="J20" t="str">
        <f ca="1"/>
        <v>Kadamtoli</v>
      </c>
      <c r="K20" t="str">
        <f ca="1"/>
        <v>LO00041</v>
      </c>
      <c r="L20" t="str">
        <f ca="1"/>
        <v>3000 4T PLUS 10W30</v>
      </c>
      <c r="M20">
        <f ca="1"/>
        <v>20</v>
      </c>
      <c r="N20">
        <f ca="1"/>
        <v>530</v>
      </c>
      <c r="O20">
        <f ca="1"/>
        <v>20</v>
      </c>
      <c r="P20">
        <f ca="1"/>
        <v>0</v>
      </c>
      <c r="Q20">
        <f ca="1"/>
        <v>0</v>
      </c>
      <c r="R20">
        <f ca="1"/>
        <v>530</v>
      </c>
      <c r="S20">
        <f ca="1"/>
        <v>20</v>
      </c>
      <c r="T20">
        <f ca="1"/>
        <v>20</v>
      </c>
      <c r="U20">
        <f ca="1"/>
        <v>10600</v>
      </c>
      <c r="V20">
        <f ca="1"/>
        <v>0</v>
      </c>
      <c r="W20">
        <f ca="1"/>
        <v>10600</v>
      </c>
      <c r="X20">
        <f ca="1"/>
        <v>1382.608695652174</v>
      </c>
      <c r="Y20">
        <f ca="1"/>
        <v>9217.391304347826</v>
      </c>
      <c r="Z20" t="str">
        <f ca="1"/>
        <v>Cash</v>
      </c>
      <c r="AA20">
        <f ca="1"/>
        <v>575</v>
      </c>
      <c r="AB20" t="str">
        <f ca="1"/>
        <v>Flat Discount</v>
      </c>
      <c r="AC20">
        <f ca="1"/>
        <v>45664</v>
      </c>
      <c r="AD20" t="str">
        <f ca="1"/>
        <v/>
      </c>
      <c r="AE20" t="str">
        <f ca="1"/>
        <v>Eastern</v>
      </c>
      <c r="AF20" t="str">
        <f ca="1"/>
        <v>Mineral</v>
      </c>
      <c r="AG20" t="str">
        <f ca="1"/>
        <v>MCO</v>
      </c>
      <c r="AH20" t="str">
        <f ca="1"/>
        <v>10W30</v>
      </c>
      <c r="AI20" t="str">
        <f ca="1"/>
        <v>3000</v>
      </c>
      <c r="AJ20">
        <f ca="1"/>
        <v>0</v>
      </c>
      <c r="AK20" t="str">
        <f ca="1"/>
        <v>20x1L</v>
      </c>
      <c r="AL20">
        <f ca="1"/>
        <v>7586.5999999999995</v>
      </c>
      <c r="AM20">
        <f ca="1"/>
        <v>1630.7913043478266</v>
      </c>
      <c r="AN20" t="str">
        <f ca="1"/>
        <v>O-45663-D-0018</v>
      </c>
      <c r="AO20" t="str">
        <f ca="1"/>
        <v>Delivered</v>
      </c>
    </row>
    <row r="21" spans="1:41" x14ac:dyDescent="0.5">
      <c r="A21" t="str">
        <f ca="1"/>
        <v>F-106</v>
      </c>
      <c r="B21" s="1">
        <f ca="1"/>
        <v>45663</v>
      </c>
      <c r="C21" t="str">
        <f ca="1"/>
        <v>D-0018</v>
      </c>
      <c r="D21" t="str">
        <f ca="1"/>
        <v xml:space="preserve">Rehena Distribution </v>
      </c>
      <c r="E21" t="str">
        <f ca="1"/>
        <v>Feni</v>
      </c>
      <c r="F21" t="str">
        <f ca="1"/>
        <v>0 18 3110 9784</v>
      </c>
      <c r="G21" t="str">
        <f ca="1"/>
        <v>Sultan Anisul Islam</v>
      </c>
      <c r="H21" t="str">
        <f ca="1"/>
        <v>Razur Rahman (Bipul)</v>
      </c>
      <c r="I21" t="str">
        <f ca="1"/>
        <v>KB Lubricants</v>
      </c>
      <c r="J21" t="str">
        <f ca="1"/>
        <v>Kadamtoli</v>
      </c>
      <c r="K21" t="str">
        <f ca="1"/>
        <v>LO00042</v>
      </c>
      <c r="L21" t="str">
        <f ca="1"/>
        <v>3000 4T PLUS 20W40</v>
      </c>
      <c r="M21">
        <f ca="1"/>
        <v>20</v>
      </c>
      <c r="N21">
        <f ca="1"/>
        <v>530</v>
      </c>
      <c r="O21">
        <f ca="1"/>
        <v>20</v>
      </c>
      <c r="P21">
        <f ca="1"/>
        <v>0</v>
      </c>
      <c r="Q21">
        <f ca="1"/>
        <v>0</v>
      </c>
      <c r="R21">
        <f ca="1"/>
        <v>530</v>
      </c>
      <c r="S21">
        <f ca="1"/>
        <v>20</v>
      </c>
      <c r="T21">
        <f ca="1"/>
        <v>20</v>
      </c>
      <c r="U21">
        <f ca="1"/>
        <v>10600</v>
      </c>
      <c r="V21">
        <f ca="1"/>
        <v>0</v>
      </c>
      <c r="W21">
        <f ca="1"/>
        <v>10600</v>
      </c>
      <c r="X21">
        <f ca="1"/>
        <v>1382.608695652174</v>
      </c>
      <c r="Y21">
        <f ca="1"/>
        <v>9217.391304347826</v>
      </c>
      <c r="Z21" t="str">
        <f ca="1"/>
        <v>Cash</v>
      </c>
      <c r="AA21">
        <f ca="1"/>
        <v>575</v>
      </c>
      <c r="AB21" t="str">
        <f ca="1"/>
        <v>Flat Discount</v>
      </c>
      <c r="AC21">
        <f ca="1"/>
        <v>45664</v>
      </c>
      <c r="AD21" t="str">
        <f ca="1"/>
        <v/>
      </c>
      <c r="AE21" t="str">
        <f ca="1"/>
        <v>Eastern</v>
      </c>
      <c r="AF21" t="str">
        <f ca="1"/>
        <v>Mineral</v>
      </c>
      <c r="AG21" t="str">
        <f ca="1"/>
        <v>MCO</v>
      </c>
      <c r="AH21" t="str">
        <f ca="1"/>
        <v>20W40</v>
      </c>
      <c r="AI21" t="str">
        <f ca="1"/>
        <v>3000</v>
      </c>
      <c r="AJ21">
        <f ca="1"/>
        <v>0</v>
      </c>
      <c r="AK21" t="str">
        <f ca="1"/>
        <v>20x1L</v>
      </c>
      <c r="AL21">
        <f ca="1"/>
        <v>8255.2000000000007</v>
      </c>
      <c r="AM21">
        <f ca="1"/>
        <v>962.19130434782528</v>
      </c>
      <c r="AN21" t="str">
        <f ca="1"/>
        <v>O-45663-D-0018</v>
      </c>
      <c r="AO21" t="str">
        <f ca="1"/>
        <v>Delivered</v>
      </c>
    </row>
    <row r="22" spans="1:41" x14ac:dyDescent="0.5">
      <c r="A22" t="str">
        <f ca="1"/>
        <v>F-106</v>
      </c>
      <c r="B22" s="1">
        <f ca="1"/>
        <v>45663</v>
      </c>
      <c r="C22" t="str">
        <f ca="1"/>
        <v>D-0018</v>
      </c>
      <c r="D22" t="str">
        <f ca="1"/>
        <v xml:space="preserve">Rehena Distribution </v>
      </c>
      <c r="E22" t="str">
        <f ca="1"/>
        <v>Feni</v>
      </c>
      <c r="F22" t="str">
        <f ca="1"/>
        <v>0 18 3110 9784</v>
      </c>
      <c r="G22" t="str">
        <f ca="1"/>
        <v>Sultan Anisul Islam</v>
      </c>
      <c r="H22" t="str">
        <f ca="1"/>
        <v>Razur Rahman (Bipul)</v>
      </c>
      <c r="I22" t="str">
        <f ca="1"/>
        <v>KB Lubricants</v>
      </c>
      <c r="J22" t="str">
        <f ca="1"/>
        <v>Kadamtoli</v>
      </c>
      <c r="K22" t="str">
        <f ca="1"/>
        <v>LO00043</v>
      </c>
      <c r="L22" t="str">
        <f ca="1"/>
        <v>3000 4T PLUS 10W40</v>
      </c>
      <c r="M22">
        <f ca="1"/>
        <v>80</v>
      </c>
      <c r="N22">
        <f ca="1"/>
        <v>535</v>
      </c>
      <c r="O22">
        <f ca="1"/>
        <v>80</v>
      </c>
      <c r="P22">
        <f ca="1"/>
        <v>0</v>
      </c>
      <c r="Q22">
        <f ca="1"/>
        <v>0</v>
      </c>
      <c r="R22">
        <f ca="1"/>
        <v>535</v>
      </c>
      <c r="S22">
        <f ca="1"/>
        <v>80</v>
      </c>
      <c r="T22">
        <f ca="1"/>
        <v>80</v>
      </c>
      <c r="U22">
        <f ca="1"/>
        <v>42800</v>
      </c>
      <c r="V22">
        <f ca="1"/>
        <v>0</v>
      </c>
      <c r="W22">
        <f ca="1"/>
        <v>42800</v>
      </c>
      <c r="X22">
        <f ca="1"/>
        <v>5582.608695652174</v>
      </c>
      <c r="Y22">
        <f ca="1"/>
        <v>37217.391304347824</v>
      </c>
      <c r="Z22" t="str">
        <f ca="1"/>
        <v>Cash</v>
      </c>
      <c r="AA22">
        <f ca="1"/>
        <v>575</v>
      </c>
      <c r="AB22" t="str">
        <f ca="1"/>
        <v>Flat Discount</v>
      </c>
      <c r="AC22">
        <f ca="1"/>
        <v>45664</v>
      </c>
      <c r="AD22" t="str">
        <f ca="1"/>
        <v/>
      </c>
      <c r="AE22" t="str">
        <f ca="1"/>
        <v>Eastern</v>
      </c>
      <c r="AF22" t="str">
        <f ca="1"/>
        <v>Mineral</v>
      </c>
      <c r="AG22" t="str">
        <f ca="1"/>
        <v>MCO</v>
      </c>
      <c r="AH22" t="str">
        <f ca="1"/>
        <v>10W40</v>
      </c>
      <c r="AI22" t="str">
        <f ca="1"/>
        <v>3000</v>
      </c>
      <c r="AJ22">
        <f ca="1"/>
        <v>0</v>
      </c>
      <c r="AK22" t="str">
        <f ca="1"/>
        <v>20x1L</v>
      </c>
      <c r="AL22">
        <f ca="1"/>
        <v>30788</v>
      </c>
      <c r="AM22">
        <f ca="1"/>
        <v>6429.3913043478242</v>
      </c>
      <c r="AN22" t="str">
        <f ca="1"/>
        <v>O-45663-D-0018</v>
      </c>
      <c r="AO22" t="str">
        <f ca="1"/>
        <v>Delivered</v>
      </c>
    </row>
    <row r="23" spans="1:41" x14ac:dyDescent="0.5">
      <c r="A23" t="str">
        <f ca="1"/>
        <v>F-106</v>
      </c>
      <c r="B23" s="1">
        <f ca="1"/>
        <v>45663</v>
      </c>
      <c r="C23" t="str">
        <f ca="1"/>
        <v>D-0018</v>
      </c>
      <c r="D23" t="str">
        <f ca="1"/>
        <v xml:space="preserve">Rehena Distribution </v>
      </c>
      <c r="E23" t="str">
        <f ca="1"/>
        <v>Feni</v>
      </c>
      <c r="F23" t="str">
        <f ca="1"/>
        <v>0 18 3110 9784</v>
      </c>
      <c r="G23" t="str">
        <f ca="1"/>
        <v>Sultan Anisul Islam</v>
      </c>
      <c r="H23" t="str">
        <f ca="1"/>
        <v>Razur Rahman (Bipul)</v>
      </c>
      <c r="I23" t="str">
        <f ca="1"/>
        <v>KB Lubricants</v>
      </c>
      <c r="J23" t="str">
        <f ca="1"/>
        <v>Kadamtoli</v>
      </c>
      <c r="K23" t="str">
        <f ca="1"/>
        <v>LO00073</v>
      </c>
      <c r="L23" t="str">
        <f ca="1"/>
        <v>3000 4T PLUS 10W30</v>
      </c>
      <c r="M23">
        <f ca="1"/>
        <v>40</v>
      </c>
      <c r="N23">
        <f ca="1"/>
        <v>640</v>
      </c>
      <c r="O23">
        <f ca="1"/>
        <v>48</v>
      </c>
      <c r="P23">
        <f ca="1"/>
        <v>0</v>
      </c>
      <c r="Q23">
        <f ca="1"/>
        <v>0</v>
      </c>
      <c r="R23">
        <f ca="1"/>
        <v>640</v>
      </c>
      <c r="S23">
        <f ca="1"/>
        <v>40</v>
      </c>
      <c r="T23">
        <f ca="1"/>
        <v>48</v>
      </c>
      <c r="U23">
        <f ca="1"/>
        <v>25600</v>
      </c>
      <c r="V23">
        <f ca="1"/>
        <v>0</v>
      </c>
      <c r="W23">
        <f ca="1"/>
        <v>25600</v>
      </c>
      <c r="X23">
        <f ca="1"/>
        <v>3339.1304347826085</v>
      </c>
      <c r="Y23">
        <f ca="1"/>
        <v>22260.869565217392</v>
      </c>
      <c r="Z23" t="str">
        <f ca="1"/>
        <v>Cash</v>
      </c>
      <c r="AA23">
        <f ca="1"/>
        <v>575</v>
      </c>
      <c r="AB23" t="str">
        <f ca="1"/>
        <v>Flat Discount</v>
      </c>
      <c r="AC23">
        <f ca="1"/>
        <v>45664</v>
      </c>
      <c r="AD23" t="str">
        <f ca="1"/>
        <v/>
      </c>
      <c r="AE23" t="str">
        <f ca="1"/>
        <v>Eastern</v>
      </c>
      <c r="AF23" t="str">
        <f ca="1"/>
        <v>Mineral</v>
      </c>
      <c r="AG23" t="str">
        <f ca="1"/>
        <v>MCO</v>
      </c>
      <c r="AH23" t="str">
        <f ca="1"/>
        <v>10W30</v>
      </c>
      <c r="AI23" t="str">
        <f ca="1"/>
        <v>3000</v>
      </c>
      <c r="AJ23">
        <f ca="1"/>
        <v>0</v>
      </c>
      <c r="AK23" t="str">
        <f ca="1"/>
        <v>20x1.2L</v>
      </c>
      <c r="AL23">
        <f ca="1"/>
        <v>17556</v>
      </c>
      <c r="AM23">
        <f ca="1"/>
        <v>4704.8695652173919</v>
      </c>
      <c r="AN23" t="str">
        <f ca="1"/>
        <v>O-45663-D-0018</v>
      </c>
      <c r="AO23" t="str">
        <f ca="1"/>
        <v>Delivered</v>
      </c>
    </row>
    <row r="24" spans="1:41" x14ac:dyDescent="0.5">
      <c r="A24" t="str">
        <f ca="1"/>
        <v>F-107</v>
      </c>
      <c r="B24" s="1">
        <f ca="1"/>
        <v>45663</v>
      </c>
      <c r="C24" t="str">
        <f ca="1"/>
        <v>D-0018</v>
      </c>
      <c r="D24" t="str">
        <f ca="1"/>
        <v xml:space="preserve">Sleeper Clutch </v>
      </c>
      <c r="E24" t="str">
        <f ca="1"/>
        <v xml:space="preserve">Agrabad, Chittagong </v>
      </c>
      <c r="F24" t="str">
        <f ca="1"/>
        <v>+880 19 7044 9095</v>
      </c>
      <c r="G24" t="str">
        <f ca="1"/>
        <v>Sultan Anisul Islam</v>
      </c>
      <c r="H24" t="str">
        <f ca="1"/>
        <v>Razur Rahman (Bipul)</v>
      </c>
      <c r="I24" t="str">
        <f ca="1"/>
        <v>KB Lubricants</v>
      </c>
      <c r="J24" t="str">
        <f ca="1"/>
        <v>Kadamtoli</v>
      </c>
      <c r="K24" t="str">
        <f ca="1"/>
        <v>LO00047</v>
      </c>
      <c r="L24" t="str">
        <f ca="1"/>
        <v>7100 4T 10W40 ESTER CORE®</v>
      </c>
      <c r="M24">
        <f ca="1"/>
        <v>180</v>
      </c>
      <c r="N24">
        <f ca="1"/>
        <v>1070</v>
      </c>
      <c r="O24">
        <f ca="1"/>
        <v>180</v>
      </c>
      <c r="P24">
        <f ca="1"/>
        <v>0</v>
      </c>
      <c r="Q24">
        <f ca="1"/>
        <v>0</v>
      </c>
      <c r="R24">
        <f ca="1"/>
        <v>1070</v>
      </c>
      <c r="S24">
        <f ca="1"/>
        <v>180</v>
      </c>
      <c r="T24">
        <f ca="1"/>
        <v>180</v>
      </c>
      <c r="U24">
        <f ca="1"/>
        <v>192600</v>
      </c>
      <c r="V24">
        <f ca="1"/>
        <v>0</v>
      </c>
      <c r="W24">
        <f ca="1"/>
        <v>192600</v>
      </c>
      <c r="X24">
        <f ca="1"/>
        <v>25121.739130434784</v>
      </c>
      <c r="Y24">
        <f ca="1"/>
        <v>167478.26086956522</v>
      </c>
      <c r="Z24" t="str">
        <f ca="1"/>
        <v>Cash</v>
      </c>
      <c r="AA24">
        <f ca="1"/>
        <v>576</v>
      </c>
      <c r="AB24" t="str">
        <f ca="1"/>
        <v>Flat Discount</v>
      </c>
      <c r="AC24">
        <f ca="1"/>
        <v>45664</v>
      </c>
      <c r="AD24" t="str">
        <f ca="1"/>
        <v/>
      </c>
      <c r="AE24" t="str">
        <f ca="1"/>
        <v>Eastern</v>
      </c>
      <c r="AF24" t="str">
        <f ca="1"/>
        <v>Synthetic</v>
      </c>
      <c r="AG24" t="str">
        <f ca="1"/>
        <v>MCO</v>
      </c>
      <c r="AH24" t="str">
        <f ca="1"/>
        <v>10W40</v>
      </c>
      <c r="AI24" t="str">
        <f ca="1"/>
        <v>7100</v>
      </c>
      <c r="AJ24">
        <f ca="1"/>
        <v>0</v>
      </c>
      <c r="AK24" t="str">
        <f ca="1"/>
        <v>12x1L</v>
      </c>
      <c r="AL24">
        <f ca="1"/>
        <v>124918.2</v>
      </c>
      <c r="AM24">
        <f ca="1"/>
        <v>42560.060869565219</v>
      </c>
      <c r="AN24" t="str">
        <f ca="1"/>
        <v>O-45663-D-0018</v>
      </c>
      <c r="AO24" t="str">
        <f ca="1"/>
        <v>Delivered</v>
      </c>
    </row>
    <row r="25" spans="1:41" x14ac:dyDescent="0.5">
      <c r="A25" t="str">
        <f ca="1"/>
        <v>F-108</v>
      </c>
      <c r="B25" s="1">
        <f ca="1"/>
        <v>45664</v>
      </c>
      <c r="C25" t="str">
        <f ca="1"/>
        <v>D-0027</v>
      </c>
      <c r="D25" t="str">
        <f ca="1"/>
        <v>DHS Motors Limited</v>
      </c>
      <c r="E25" t="str">
        <f ca="1"/>
        <v>Dhaka</v>
      </c>
      <c r="F25" t="str">
        <f ca="1"/>
        <v/>
      </c>
      <c r="G25" t="str">
        <f ca="1"/>
        <v>Captive Sales</v>
      </c>
      <c r="H25" t="str">
        <f ca="1"/>
        <v>Captive Sales</v>
      </c>
      <c r="I25" t="str">
        <f ca="1"/>
        <v>DHS Motors Limited</v>
      </c>
      <c r="J25" t="str">
        <f ca="1"/>
        <v>Dhaka</v>
      </c>
      <c r="K25" t="str">
        <f ca="1"/>
        <v>LO00062</v>
      </c>
      <c r="L25" t="str">
        <f ca="1"/>
        <v>8100 X.Max 0W40</v>
      </c>
      <c r="M25">
        <f ca="1"/>
        <v>52</v>
      </c>
      <c r="N25">
        <f ca="1"/>
        <v>3000</v>
      </c>
      <c r="O25">
        <f ca="1"/>
        <v>208</v>
      </c>
      <c r="P25">
        <f ca="1"/>
        <v>0</v>
      </c>
      <c r="Q25">
        <f ca="1"/>
        <v>0</v>
      </c>
      <c r="R25">
        <f ca="1"/>
        <v>3000</v>
      </c>
      <c r="S25">
        <f ca="1"/>
        <v>52</v>
      </c>
      <c r="T25">
        <f ca="1"/>
        <v>208</v>
      </c>
      <c r="U25">
        <f ca="1"/>
        <v>156000</v>
      </c>
      <c r="V25">
        <f ca="1"/>
        <v>0</v>
      </c>
      <c r="W25">
        <f ca="1"/>
        <v>156000</v>
      </c>
      <c r="X25">
        <f ca="1"/>
        <v>20347.82608695652</v>
      </c>
      <c r="Y25">
        <f ca="1"/>
        <v>135652.17391304349</v>
      </c>
      <c r="Z25" t="str">
        <f ca="1"/>
        <v/>
      </c>
      <c r="AA25">
        <f ca="1"/>
        <v>577</v>
      </c>
      <c r="AB25" t="str">
        <f ca="1"/>
        <v>Flat Discount</v>
      </c>
      <c r="AC25">
        <f ca="1"/>
        <v>45664</v>
      </c>
      <c r="AD25" t="str">
        <f ca="1"/>
        <v/>
      </c>
      <c r="AE25" t="str">
        <f ca="1"/>
        <v>Captive Sales</v>
      </c>
      <c r="AF25" t="str">
        <f ca="1"/>
        <v>Synthetic</v>
      </c>
      <c r="AG25" t="str">
        <f ca="1"/>
        <v>PCMO</v>
      </c>
      <c r="AH25" t="str">
        <f ca="1"/>
        <v>0W40</v>
      </c>
      <c r="AI25" t="str">
        <f ca="1"/>
        <v>8100</v>
      </c>
      <c r="AJ25">
        <f ca="1"/>
        <v>0</v>
      </c>
      <c r="AK25" t="str">
        <f ca="1"/>
        <v>4x4L</v>
      </c>
      <c r="AL25">
        <f ca="1"/>
        <v>152670.44</v>
      </c>
      <c r="AM25">
        <f ca="1"/>
        <v>-17018.266086956515</v>
      </c>
      <c r="AN25" t="str">
        <f ca="1"/>
        <v>O-45664-D-0027</v>
      </c>
      <c r="AO25" t="str">
        <f ca="1"/>
        <v>Delivered</v>
      </c>
    </row>
    <row r="26" spans="1:41" x14ac:dyDescent="0.5">
      <c r="A26" t="str">
        <f ca="1"/>
        <v>F-109</v>
      </c>
      <c r="B26" s="1">
        <f ca="1"/>
        <v>45663</v>
      </c>
      <c r="C26" t="str">
        <f ca="1"/>
        <v>D-0014</v>
      </c>
      <c r="D26" t="str">
        <f ca="1"/>
        <v>Biker Choice</v>
      </c>
      <c r="E26" t="str">
        <f ca="1"/>
        <v>Kautoli, Brahmanbaria</v>
      </c>
      <c r="F26" t="str">
        <f ca="1"/>
        <v>01731-963787</v>
      </c>
      <c r="G26" t="str">
        <f ca="1"/>
        <v>Md. Robin Sheikh</v>
      </c>
      <c r="H26" t="str">
        <f ca="1"/>
        <v>Razur Rahman (Bipul)</v>
      </c>
      <c r="I26" t="str">
        <f ca="1"/>
        <v>City Lubricants</v>
      </c>
      <c r="J26" t="str">
        <f ca="1"/>
        <v>Paduar Bazar Bisso Road</v>
      </c>
      <c r="K26" t="str">
        <f ca="1"/>
        <v>LO00043</v>
      </c>
      <c r="L26" t="str">
        <f ca="1"/>
        <v>3000 4T PLUS 10W40</v>
      </c>
      <c r="M26">
        <f ca="1"/>
        <v>20</v>
      </c>
      <c r="N26">
        <f ca="1"/>
        <v>535</v>
      </c>
      <c r="O26">
        <f ca="1"/>
        <v>20</v>
      </c>
      <c r="P26">
        <f ca="1"/>
        <v>0</v>
      </c>
      <c r="Q26">
        <f ca="1"/>
        <v>0</v>
      </c>
      <c r="R26">
        <f ca="1"/>
        <v>535</v>
      </c>
      <c r="S26">
        <f ca="1"/>
        <v>20</v>
      </c>
      <c r="T26">
        <f ca="1"/>
        <v>20</v>
      </c>
      <c r="U26">
        <f ca="1"/>
        <v>10700</v>
      </c>
      <c r="V26">
        <f ca="1"/>
        <v>0</v>
      </c>
      <c r="W26">
        <f ca="1"/>
        <v>10700</v>
      </c>
      <c r="X26">
        <f ca="1"/>
        <v>1395.6521739130435</v>
      </c>
      <c r="Y26">
        <f ca="1"/>
        <v>9304.347826086956</v>
      </c>
      <c r="Z26" t="str">
        <f ca="1"/>
        <v>Cash</v>
      </c>
      <c r="AA26">
        <f ca="1"/>
        <v>578</v>
      </c>
      <c r="AB26" t="str">
        <f ca="1"/>
        <v>Flat Discount</v>
      </c>
      <c r="AC26">
        <f ca="1"/>
        <v>45665</v>
      </c>
      <c r="AD26" t="str">
        <f ca="1"/>
        <v/>
      </c>
      <c r="AE26" t="str">
        <f ca="1"/>
        <v>Eastern</v>
      </c>
      <c r="AF26" t="str">
        <f ca="1"/>
        <v>Mineral</v>
      </c>
      <c r="AG26" t="str">
        <f ca="1"/>
        <v>MCO</v>
      </c>
      <c r="AH26" t="str">
        <f ca="1"/>
        <v>10W40</v>
      </c>
      <c r="AI26" t="str">
        <f ca="1"/>
        <v>3000</v>
      </c>
      <c r="AJ26">
        <f ca="1"/>
        <v>0</v>
      </c>
      <c r="AK26" t="str">
        <f ca="1"/>
        <v>20x1L</v>
      </c>
      <c r="AL26">
        <f ca="1"/>
        <v>7697</v>
      </c>
      <c r="AM26">
        <f ca="1"/>
        <v>1607.347826086956</v>
      </c>
      <c r="AN26" t="str">
        <f ca="1"/>
        <v>O-45663-D-0014</v>
      </c>
      <c r="AO26" t="str">
        <f ca="1"/>
        <v>Delivered</v>
      </c>
    </row>
    <row r="27" spans="1:41" x14ac:dyDescent="0.5">
      <c r="A27" t="str">
        <f ca="1"/>
        <v>F-109</v>
      </c>
      <c r="B27" s="1">
        <f ca="1"/>
        <v>45663</v>
      </c>
      <c r="C27" t="str">
        <f ca="1"/>
        <v>D-0014</v>
      </c>
      <c r="D27" t="str">
        <f ca="1"/>
        <v>Biker Choice</v>
      </c>
      <c r="E27" t="str">
        <f ca="1"/>
        <v>Kautoli, Brahmanbaria</v>
      </c>
      <c r="F27" t="str">
        <f ca="1"/>
        <v>01731-963787</v>
      </c>
      <c r="G27" t="str">
        <f ca="1"/>
        <v>Md. Robin Sheikh</v>
      </c>
      <c r="H27" t="str">
        <f ca="1"/>
        <v>Razur Rahman (Bipul)</v>
      </c>
      <c r="I27" t="str">
        <f ca="1"/>
        <v>City Lubricants</v>
      </c>
      <c r="J27" t="str">
        <f ca="1"/>
        <v>Paduar Bazar Bisso Road</v>
      </c>
      <c r="K27" t="str">
        <f ca="1"/>
        <v>LO00073</v>
      </c>
      <c r="L27" t="str">
        <f ca="1"/>
        <v>3000 4T PLUS 10W30</v>
      </c>
      <c r="M27">
        <f ca="1"/>
        <v>20</v>
      </c>
      <c r="N27">
        <f ca="1"/>
        <v>640</v>
      </c>
      <c r="O27">
        <f ca="1"/>
        <v>24</v>
      </c>
      <c r="P27">
        <f ca="1"/>
        <v>0</v>
      </c>
      <c r="Q27">
        <f ca="1"/>
        <v>0</v>
      </c>
      <c r="R27">
        <f ca="1"/>
        <v>640</v>
      </c>
      <c r="S27">
        <f ca="1"/>
        <v>20</v>
      </c>
      <c r="T27">
        <f ca="1"/>
        <v>24</v>
      </c>
      <c r="U27">
        <f ca="1"/>
        <v>12800</v>
      </c>
      <c r="V27">
        <f ca="1"/>
        <v>0</v>
      </c>
      <c r="W27">
        <f ca="1"/>
        <v>12800</v>
      </c>
      <c r="X27">
        <f ca="1"/>
        <v>1669.5652173913043</v>
      </c>
      <c r="Y27">
        <f ca="1"/>
        <v>11130.434782608696</v>
      </c>
      <c r="Z27" t="str">
        <f ca="1"/>
        <v>Cash</v>
      </c>
      <c r="AA27">
        <f ca="1"/>
        <v>578</v>
      </c>
      <c r="AB27" t="str">
        <f ca="1"/>
        <v>Flat Discount</v>
      </c>
      <c r="AC27">
        <f ca="1"/>
        <v>45665</v>
      </c>
      <c r="AD27" t="str">
        <f ca="1"/>
        <v/>
      </c>
      <c r="AE27" t="str">
        <f ca="1"/>
        <v>Eastern</v>
      </c>
      <c r="AF27" t="str">
        <f ca="1"/>
        <v>Mineral</v>
      </c>
      <c r="AG27" t="str">
        <f ca="1"/>
        <v>MCO</v>
      </c>
      <c r="AH27" t="str">
        <f ca="1"/>
        <v>10W30</v>
      </c>
      <c r="AI27" t="str">
        <f ca="1"/>
        <v>3000</v>
      </c>
      <c r="AJ27">
        <f ca="1"/>
        <v>0</v>
      </c>
      <c r="AK27" t="str">
        <f ca="1"/>
        <v>20x1.2L</v>
      </c>
      <c r="AL27">
        <f ca="1"/>
        <v>8778</v>
      </c>
      <c r="AM27">
        <f ca="1"/>
        <v>2352.434782608696</v>
      </c>
      <c r="AN27" t="str">
        <f ca="1"/>
        <v>O-45663-D-0014</v>
      </c>
      <c r="AO27" t="str">
        <f ca="1"/>
        <v>Delivered</v>
      </c>
    </row>
    <row r="28" spans="1:41" x14ac:dyDescent="0.5">
      <c r="A28" t="str">
        <f ca="1"/>
        <v>F-109</v>
      </c>
      <c r="B28" s="1">
        <f ca="1"/>
        <v>45663</v>
      </c>
      <c r="C28" t="str">
        <f ca="1"/>
        <v>D-0014</v>
      </c>
      <c r="D28" t="str">
        <f ca="1"/>
        <v>Biker Choice</v>
      </c>
      <c r="E28" t="str">
        <f ca="1"/>
        <v>Kautoli, Brahmanbaria</v>
      </c>
      <c r="F28" t="str">
        <f ca="1"/>
        <v>01731-963787</v>
      </c>
      <c r="G28" t="str">
        <f ca="1"/>
        <v>Md. Robin Sheikh</v>
      </c>
      <c r="H28" t="str">
        <f ca="1"/>
        <v>Razur Rahman (Bipul)</v>
      </c>
      <c r="I28" t="str">
        <f ca="1"/>
        <v>City Lubricants</v>
      </c>
      <c r="J28" t="str">
        <f ca="1"/>
        <v>Paduar Bazar Bisso Road</v>
      </c>
      <c r="K28" t="str">
        <f ca="1"/>
        <v>LO00047</v>
      </c>
      <c r="L28" t="str">
        <f ca="1"/>
        <v>7100 4T 10W40 ESTER CORE®</v>
      </c>
      <c r="M28">
        <f ca="1"/>
        <v>12</v>
      </c>
      <c r="N28">
        <f ca="1"/>
        <v>1070</v>
      </c>
      <c r="O28">
        <f ca="1"/>
        <v>12</v>
      </c>
      <c r="P28">
        <f ca="1"/>
        <v>0</v>
      </c>
      <c r="Q28">
        <f ca="1"/>
        <v>0</v>
      </c>
      <c r="R28">
        <f ca="1"/>
        <v>1070</v>
      </c>
      <c r="S28">
        <f ca="1"/>
        <v>12</v>
      </c>
      <c r="T28">
        <f ca="1"/>
        <v>12</v>
      </c>
      <c r="U28">
        <f ca="1"/>
        <v>12840</v>
      </c>
      <c r="V28">
        <f ca="1"/>
        <v>0</v>
      </c>
      <c r="W28">
        <f ca="1"/>
        <v>12840</v>
      </c>
      <c r="X28">
        <f ca="1"/>
        <v>1674.7826086956522</v>
      </c>
      <c r="Y28">
        <f ca="1"/>
        <v>11165.217391304348</v>
      </c>
      <c r="Z28" t="str">
        <f ca="1"/>
        <v>Cash</v>
      </c>
      <c r="AA28">
        <f ca="1"/>
        <v>578</v>
      </c>
      <c r="AB28" t="str">
        <f ca="1"/>
        <v>Flat Discount</v>
      </c>
      <c r="AC28">
        <f ca="1"/>
        <v>45665</v>
      </c>
      <c r="AD28" t="str">
        <f ca="1"/>
        <v/>
      </c>
      <c r="AE28" t="str">
        <f ca="1"/>
        <v>Eastern</v>
      </c>
      <c r="AF28" t="str">
        <f ca="1"/>
        <v>Synthetic</v>
      </c>
      <c r="AG28" t="str">
        <f ca="1"/>
        <v>MCO</v>
      </c>
      <c r="AH28" t="str">
        <f ca="1"/>
        <v>10W40</v>
      </c>
      <c r="AI28" t="str">
        <f ca="1"/>
        <v>7100</v>
      </c>
      <c r="AJ28">
        <f ca="1"/>
        <v>0</v>
      </c>
      <c r="AK28" t="str">
        <f ca="1"/>
        <v>12x1L</v>
      </c>
      <c r="AL28">
        <f ca="1"/>
        <v>8327.880000000001</v>
      </c>
      <c r="AM28">
        <f ca="1"/>
        <v>2837.337391304347</v>
      </c>
      <c r="AN28" t="str">
        <f ca="1"/>
        <v>O-45663-D-0014</v>
      </c>
      <c r="AO28" t="str">
        <f ca="1"/>
        <v>Delivered</v>
      </c>
    </row>
    <row r="29" spans="1:41" x14ac:dyDescent="0.5">
      <c r="A29" t="str">
        <f ca="1"/>
        <v>F-110</v>
      </c>
      <c r="B29" s="1">
        <f ca="1"/>
        <v>45663</v>
      </c>
      <c r="C29" t="str">
        <f ca="1"/>
        <v>D-0018</v>
      </c>
      <c r="D29" t="str">
        <f ca="1"/>
        <v xml:space="preserve">M.R Enterprise </v>
      </c>
      <c r="E29" t="str">
        <f ca="1"/>
        <v>Halisohor,Chittagong</v>
      </c>
      <c r="F29" t="str">
        <f ca="1"/>
        <v>+880 16 7387 6255</v>
      </c>
      <c r="G29" t="str">
        <f ca="1"/>
        <v>Sultan Anisul Islam</v>
      </c>
      <c r="H29" t="str">
        <f ca="1"/>
        <v>Razur Rahman (Bipul)</v>
      </c>
      <c r="I29" t="str">
        <f ca="1"/>
        <v>KB Lubricants</v>
      </c>
      <c r="J29" t="str">
        <f ca="1"/>
        <v>Kadamtoli</v>
      </c>
      <c r="K29" t="str">
        <f ca="1"/>
        <v>LO00041</v>
      </c>
      <c r="L29" t="str">
        <f ca="1"/>
        <v>3000 4T PLUS 10W30</v>
      </c>
      <c r="M29">
        <f ca="1"/>
        <v>80</v>
      </c>
      <c r="N29">
        <f ca="1"/>
        <v>530</v>
      </c>
      <c r="O29">
        <f ca="1"/>
        <v>80</v>
      </c>
      <c r="P29">
        <f ca="1"/>
        <v>0</v>
      </c>
      <c r="Q29">
        <f ca="1"/>
        <v>0</v>
      </c>
      <c r="R29">
        <f ca="1"/>
        <v>530</v>
      </c>
      <c r="S29">
        <f ca="1"/>
        <v>80</v>
      </c>
      <c r="T29">
        <f ca="1"/>
        <v>80</v>
      </c>
      <c r="U29">
        <f ca="1"/>
        <v>42400</v>
      </c>
      <c r="V29">
        <f ca="1"/>
        <v>0</v>
      </c>
      <c r="W29">
        <f ca="1"/>
        <v>42400</v>
      </c>
      <c r="X29">
        <f ca="1"/>
        <v>5530.434782608696</v>
      </c>
      <c r="Y29">
        <f ca="1"/>
        <v>36869.565217391304</v>
      </c>
      <c r="Z29" t="str">
        <f ca="1"/>
        <v>Cash</v>
      </c>
      <c r="AA29">
        <f ca="1"/>
        <v>579</v>
      </c>
      <c r="AB29" t="str">
        <f ca="1"/>
        <v>Flat Discount</v>
      </c>
      <c r="AC29">
        <f ca="1"/>
        <v>45665</v>
      </c>
      <c r="AD29" t="str">
        <f ca="1"/>
        <v/>
      </c>
      <c r="AE29" t="str">
        <f ca="1"/>
        <v>Eastern</v>
      </c>
      <c r="AF29" t="str">
        <f ca="1"/>
        <v>Mineral</v>
      </c>
      <c r="AG29" t="str">
        <f ca="1"/>
        <v>MCO</v>
      </c>
      <c r="AH29" t="str">
        <f ca="1"/>
        <v>10W30</v>
      </c>
      <c r="AI29" t="str">
        <f ca="1"/>
        <v>3000</v>
      </c>
      <c r="AJ29">
        <f ca="1"/>
        <v>0</v>
      </c>
      <c r="AK29" t="str">
        <f ca="1"/>
        <v>20x1L</v>
      </c>
      <c r="AL29">
        <f ca="1"/>
        <v>30346.399999999998</v>
      </c>
      <c r="AM29">
        <f ca="1"/>
        <v>6523.1652173913062</v>
      </c>
      <c r="AN29" t="str">
        <f ca="1"/>
        <v>O-45663-D-0018</v>
      </c>
      <c r="AO29" t="str">
        <f ca="1"/>
        <v>Delivered</v>
      </c>
    </row>
    <row r="30" spans="1:41" x14ac:dyDescent="0.5">
      <c r="A30" t="str">
        <f ca="1"/>
        <v>F-110</v>
      </c>
      <c r="B30" s="1">
        <f ca="1"/>
        <v>45663</v>
      </c>
      <c r="C30" t="str">
        <f ca="1"/>
        <v>D-0018</v>
      </c>
      <c r="D30" t="str">
        <f ca="1"/>
        <v xml:space="preserve">M.R Enterprise </v>
      </c>
      <c r="E30" t="str">
        <f ca="1"/>
        <v>Halisohor,Chittagong</v>
      </c>
      <c r="F30" t="str">
        <f ca="1"/>
        <v>+880 16 7387 6255</v>
      </c>
      <c r="G30" t="str">
        <f ca="1"/>
        <v>Sultan Anisul Islam</v>
      </c>
      <c r="H30" t="str">
        <f ca="1"/>
        <v>Razur Rahman (Bipul)</v>
      </c>
      <c r="I30" t="str">
        <f ca="1"/>
        <v>KB Lubricants</v>
      </c>
      <c r="J30" t="str">
        <f ca="1"/>
        <v>Kadamtoli</v>
      </c>
      <c r="K30" t="str">
        <f ca="1"/>
        <v>LO00043</v>
      </c>
      <c r="L30" t="str">
        <f ca="1"/>
        <v>3000 4T PLUS 10W40</v>
      </c>
      <c r="M30">
        <f ca="1"/>
        <v>40</v>
      </c>
      <c r="N30">
        <f ca="1"/>
        <v>535</v>
      </c>
      <c r="O30">
        <f ca="1"/>
        <v>40</v>
      </c>
      <c r="P30">
        <f ca="1"/>
        <v>0</v>
      </c>
      <c r="Q30">
        <f ca="1"/>
        <v>0</v>
      </c>
      <c r="R30">
        <f ca="1"/>
        <v>535</v>
      </c>
      <c r="S30">
        <f ca="1"/>
        <v>40</v>
      </c>
      <c r="T30">
        <f ca="1"/>
        <v>40</v>
      </c>
      <c r="U30">
        <f ca="1"/>
        <v>21400</v>
      </c>
      <c r="V30">
        <f ca="1"/>
        <v>0</v>
      </c>
      <c r="W30">
        <f ca="1"/>
        <v>21400</v>
      </c>
      <c r="X30">
        <f ca="1"/>
        <v>2791.304347826087</v>
      </c>
      <c r="Y30">
        <f ca="1"/>
        <v>18608.695652173912</v>
      </c>
      <c r="Z30" t="str">
        <f ca="1"/>
        <v>Cash</v>
      </c>
      <c r="AA30">
        <f ca="1"/>
        <v>579</v>
      </c>
      <c r="AB30" t="str">
        <f ca="1"/>
        <v>Flat Discount</v>
      </c>
      <c r="AC30">
        <f ca="1"/>
        <v>45665</v>
      </c>
      <c r="AD30" t="str">
        <f ca="1"/>
        <v/>
      </c>
      <c r="AE30" t="str">
        <f ca="1"/>
        <v>Eastern</v>
      </c>
      <c r="AF30" t="str">
        <f ca="1"/>
        <v>Mineral</v>
      </c>
      <c r="AG30" t="str">
        <f ca="1"/>
        <v>MCO</v>
      </c>
      <c r="AH30" t="str">
        <f ca="1"/>
        <v>10W40</v>
      </c>
      <c r="AI30" t="str">
        <f ca="1"/>
        <v>3000</v>
      </c>
      <c r="AJ30">
        <f ca="1"/>
        <v>0</v>
      </c>
      <c r="AK30" t="str">
        <f ca="1"/>
        <v>20x1L</v>
      </c>
      <c r="AL30">
        <f ca="1"/>
        <v>15394</v>
      </c>
      <c r="AM30">
        <f ca="1"/>
        <v>3214.6956521739121</v>
      </c>
      <c r="AN30" t="str">
        <f ca="1"/>
        <v>O-45663-D-0018</v>
      </c>
      <c r="AO30" t="str">
        <f ca="1"/>
        <v>Delivered</v>
      </c>
    </row>
    <row r="31" spans="1:41" x14ac:dyDescent="0.5">
      <c r="A31" t="str">
        <f ca="1"/>
        <v>F-110</v>
      </c>
      <c r="B31" s="1">
        <f ca="1"/>
        <v>45663</v>
      </c>
      <c r="C31" t="str">
        <f ca="1"/>
        <v>D-0018</v>
      </c>
      <c r="D31" t="str">
        <f ca="1"/>
        <v xml:space="preserve">M.R Enterprise </v>
      </c>
      <c r="E31" t="str">
        <f ca="1"/>
        <v>Halisohor,Chittagong</v>
      </c>
      <c r="F31" t="str">
        <f ca="1"/>
        <v>+880 16 7387 6255</v>
      </c>
      <c r="G31" t="str">
        <f ca="1"/>
        <v>Sultan Anisul Islam</v>
      </c>
      <c r="H31" t="str">
        <f ca="1"/>
        <v>Razur Rahman (Bipul)</v>
      </c>
      <c r="I31" t="str">
        <f ca="1"/>
        <v>KB Lubricants</v>
      </c>
      <c r="J31" t="str">
        <f ca="1"/>
        <v>Kadamtoli</v>
      </c>
      <c r="K31" t="str">
        <f ca="1"/>
        <v>LO00047</v>
      </c>
      <c r="L31" t="str">
        <f ca="1"/>
        <v>7100 4T 10W40 ESTER CORE®</v>
      </c>
      <c r="M31">
        <f ca="1"/>
        <v>60</v>
      </c>
      <c r="N31">
        <f ca="1"/>
        <v>1070</v>
      </c>
      <c r="O31">
        <f ca="1"/>
        <v>60</v>
      </c>
      <c r="P31">
        <f ca="1"/>
        <v>0</v>
      </c>
      <c r="Q31">
        <f ca="1"/>
        <v>0</v>
      </c>
      <c r="R31">
        <f ca="1"/>
        <v>1070</v>
      </c>
      <c r="S31">
        <f ca="1"/>
        <v>60</v>
      </c>
      <c r="T31">
        <f ca="1"/>
        <v>60</v>
      </c>
      <c r="U31">
        <f ca="1"/>
        <v>64200</v>
      </c>
      <c r="V31">
        <f ca="1"/>
        <v>0</v>
      </c>
      <c r="W31">
        <f ca="1"/>
        <v>64200</v>
      </c>
      <c r="X31">
        <f ca="1"/>
        <v>8373.9130434782601</v>
      </c>
      <c r="Y31">
        <f ca="1"/>
        <v>55826.086956521736</v>
      </c>
      <c r="Z31" t="str">
        <f ca="1"/>
        <v>Cash</v>
      </c>
      <c r="AA31">
        <f ca="1"/>
        <v>579</v>
      </c>
      <c r="AB31" t="str">
        <f ca="1"/>
        <v>Flat Discount</v>
      </c>
      <c r="AC31">
        <f ca="1"/>
        <v>45665</v>
      </c>
      <c r="AD31" t="str">
        <f ca="1"/>
        <v/>
      </c>
      <c r="AE31" t="str">
        <f ca="1"/>
        <v>Eastern</v>
      </c>
      <c r="AF31" t="str">
        <f ca="1"/>
        <v>Synthetic</v>
      </c>
      <c r="AG31" t="str">
        <f ca="1"/>
        <v>MCO</v>
      </c>
      <c r="AH31" t="str">
        <f ca="1"/>
        <v>10W40</v>
      </c>
      <c r="AI31" t="str">
        <f ca="1"/>
        <v>7100</v>
      </c>
      <c r="AJ31">
        <f ca="1"/>
        <v>0</v>
      </c>
      <c r="AK31" t="str">
        <f ca="1"/>
        <v>12x1L</v>
      </c>
      <c r="AL31">
        <f ca="1"/>
        <v>41639.4</v>
      </c>
      <c r="AM31">
        <f ca="1"/>
        <v>14186.686956521735</v>
      </c>
      <c r="AN31" t="str">
        <f ca="1"/>
        <v>O-45663-D-0018</v>
      </c>
      <c r="AO31" t="str">
        <f ca="1"/>
        <v>Delivered</v>
      </c>
    </row>
    <row r="32" spans="1:41" x14ac:dyDescent="0.5">
      <c r="A32" t="str">
        <f ca="1"/>
        <v>F-111</v>
      </c>
      <c r="B32" s="1">
        <f ca="1"/>
        <v>45662</v>
      </c>
      <c r="C32" t="str">
        <f ca="1"/>
        <v>D-0018</v>
      </c>
      <c r="D32" t="str">
        <f ca="1"/>
        <v>Kushiara Auto</v>
      </c>
      <c r="E32" t="str">
        <f ca="1"/>
        <v>Naiorpol, Sylhet</v>
      </c>
      <c r="F32" t="str">
        <f ca="1"/>
        <v>01925-707502</v>
      </c>
      <c r="G32" t="str">
        <f ca="1"/>
        <v>Sultan Anisul Islam</v>
      </c>
      <c r="H32" t="str">
        <f ca="1"/>
        <v>Razur Rahman (Bipul)</v>
      </c>
      <c r="I32" t="str">
        <f ca="1"/>
        <v>KB Lubricants</v>
      </c>
      <c r="J32" t="str">
        <f ca="1"/>
        <v>Kadamtoli</v>
      </c>
      <c r="K32" t="str">
        <f ca="1"/>
        <v>LO00043</v>
      </c>
      <c r="L32" t="str">
        <f ca="1"/>
        <v>3000 4T PLUS 10W40</v>
      </c>
      <c r="M32">
        <f ca="1"/>
        <v>100</v>
      </c>
      <c r="N32">
        <f ca="1"/>
        <v>530</v>
      </c>
      <c r="O32">
        <f ca="1"/>
        <v>100</v>
      </c>
      <c r="P32">
        <f ca="1"/>
        <v>0</v>
      </c>
      <c r="Q32">
        <f ca="1"/>
        <v>0</v>
      </c>
      <c r="R32">
        <f ca="1"/>
        <v>530</v>
      </c>
      <c r="S32">
        <f ca="1"/>
        <v>100</v>
      </c>
      <c r="T32">
        <f ca="1"/>
        <v>100</v>
      </c>
      <c r="U32">
        <f ca="1"/>
        <v>53000</v>
      </c>
      <c r="V32">
        <f ca="1"/>
        <v>0</v>
      </c>
      <c r="W32">
        <f ca="1"/>
        <v>53000</v>
      </c>
      <c r="X32">
        <f ca="1"/>
        <v>6913.04347826087</v>
      </c>
      <c r="Y32">
        <f ca="1"/>
        <v>46086.956521739128</v>
      </c>
      <c r="Z32" t="str">
        <f ca="1"/>
        <v>Cash</v>
      </c>
      <c r="AA32">
        <f ca="1"/>
        <v>580</v>
      </c>
      <c r="AB32" t="str">
        <f ca="1"/>
        <v>Flat Discount</v>
      </c>
      <c r="AC32">
        <f ca="1"/>
        <v>45665</v>
      </c>
      <c r="AD32" t="str">
        <f ca="1"/>
        <v/>
      </c>
      <c r="AE32" t="str">
        <f ca="1"/>
        <v>Eastern</v>
      </c>
      <c r="AF32" t="str">
        <f ca="1"/>
        <v>Mineral</v>
      </c>
      <c r="AG32" t="str">
        <f ca="1"/>
        <v>MCO</v>
      </c>
      <c r="AH32" t="str">
        <f ca="1"/>
        <v>10W40</v>
      </c>
      <c r="AI32" t="str">
        <f ca="1"/>
        <v>3000</v>
      </c>
      <c r="AJ32">
        <f ca="1"/>
        <v>0</v>
      </c>
      <c r="AK32" t="str">
        <f ca="1"/>
        <v>20x1L</v>
      </c>
      <c r="AL32">
        <f ca="1"/>
        <v>38485</v>
      </c>
      <c r="AM32">
        <f ca="1"/>
        <v>7601.9565217391282</v>
      </c>
      <c r="AN32" t="str">
        <f ca="1"/>
        <v>O-45662-D-0018</v>
      </c>
      <c r="AO32" t="str">
        <f ca="1"/>
        <v>Delivered</v>
      </c>
    </row>
    <row r="33" spans="1:41" x14ac:dyDescent="0.5">
      <c r="A33" t="str">
        <f ca="1"/>
        <v>F-112</v>
      </c>
      <c r="B33" s="1">
        <f ca="1"/>
        <v>45664</v>
      </c>
      <c r="C33" t="str">
        <f ca="1"/>
        <v>D-0010</v>
      </c>
      <c r="D33" t="str">
        <f ca="1"/>
        <v>Hazipur Traders</v>
      </c>
      <c r="E33" t="str">
        <f ca="1"/>
        <v>Chowmuhoni</v>
      </c>
      <c r="F33" t="str">
        <f ca="1"/>
        <v>01710-639669</v>
      </c>
      <c r="G33" t="str">
        <f ca="1"/>
        <v>Md. Robin Sheikh</v>
      </c>
      <c r="H33" t="str">
        <f ca="1"/>
        <v>Razur Rahman (Bipul)</v>
      </c>
      <c r="I33" t="str">
        <f ca="1"/>
        <v>City Trading</v>
      </c>
      <c r="J33" t="str">
        <f ca="1"/>
        <v>Chowmuhoni</v>
      </c>
      <c r="K33" t="str">
        <f ca="1"/>
        <v>LO00043</v>
      </c>
      <c r="L33" t="str">
        <f ca="1"/>
        <v>3000 4T PLUS 10W40</v>
      </c>
      <c r="M33">
        <f ca="1"/>
        <v>60</v>
      </c>
      <c r="N33">
        <f ca="1"/>
        <v>535</v>
      </c>
      <c r="O33">
        <f ca="1"/>
        <v>60</v>
      </c>
      <c r="P33">
        <f ca="1"/>
        <v>0</v>
      </c>
      <c r="Q33">
        <f ca="1"/>
        <v>0</v>
      </c>
      <c r="R33">
        <f ca="1"/>
        <v>535</v>
      </c>
      <c r="S33">
        <f ca="1"/>
        <v>60</v>
      </c>
      <c r="T33">
        <f ca="1"/>
        <v>60</v>
      </c>
      <c r="U33">
        <f ca="1"/>
        <v>32100</v>
      </c>
      <c r="V33">
        <f ca="1"/>
        <v>0</v>
      </c>
      <c r="W33">
        <f ca="1"/>
        <v>32100</v>
      </c>
      <c r="X33">
        <f ca="1"/>
        <v>4186.95652173913</v>
      </c>
      <c r="Y33">
        <f ca="1"/>
        <v>27913.043478260868</v>
      </c>
      <c r="Z33" t="str">
        <f ca="1"/>
        <v>Cash</v>
      </c>
      <c r="AA33">
        <f ca="1"/>
        <v>581</v>
      </c>
      <c r="AB33" t="str">
        <f ca="1"/>
        <v>Flat Discount</v>
      </c>
      <c r="AC33">
        <f ca="1"/>
        <v>45665</v>
      </c>
      <c r="AD33" t="str">
        <f ca="1"/>
        <v>7tk dis/ltr 20w50</v>
      </c>
      <c r="AE33" t="str">
        <f ca="1"/>
        <v>Eastern</v>
      </c>
      <c r="AF33" t="str">
        <f ca="1"/>
        <v>Mineral</v>
      </c>
      <c r="AG33" t="str">
        <f ca="1"/>
        <v>MCO</v>
      </c>
      <c r="AH33" t="str">
        <f ca="1"/>
        <v>10W40</v>
      </c>
      <c r="AI33" t="str">
        <f ca="1"/>
        <v>3000</v>
      </c>
      <c r="AJ33">
        <f ca="1"/>
        <v>0</v>
      </c>
      <c r="AK33" t="str">
        <f ca="1"/>
        <v>20x1L</v>
      </c>
      <c r="AL33">
        <f ca="1"/>
        <v>23091</v>
      </c>
      <c r="AM33">
        <f ca="1"/>
        <v>4822.0434782608681</v>
      </c>
      <c r="AN33" t="str">
        <f ca="1"/>
        <v>O-45664-D-0010</v>
      </c>
      <c r="AO33" t="str">
        <f ca="1"/>
        <v>Delivered</v>
      </c>
    </row>
    <row r="34" spans="1:41" x14ac:dyDescent="0.5">
      <c r="A34" t="str">
        <f ca="1"/>
        <v>F-112</v>
      </c>
      <c r="B34" s="1">
        <f ca="1"/>
        <v>45664</v>
      </c>
      <c r="C34" t="str">
        <f ca="1"/>
        <v>D-0010</v>
      </c>
      <c r="D34" t="str">
        <f ca="1"/>
        <v>Hazipur Traders</v>
      </c>
      <c r="E34" t="str">
        <f ca="1"/>
        <v>Chowmuhoni</v>
      </c>
      <c r="F34" t="str">
        <f ca="1"/>
        <v>01710-639669</v>
      </c>
      <c r="G34" t="str">
        <f ca="1"/>
        <v>Md. Robin Sheikh</v>
      </c>
      <c r="H34" t="str">
        <f ca="1"/>
        <v>Razur Rahman (Bipul)</v>
      </c>
      <c r="I34" t="str">
        <f ca="1"/>
        <v>City Trading</v>
      </c>
      <c r="J34" t="str">
        <f ca="1"/>
        <v>Chowmuhoni</v>
      </c>
      <c r="K34" t="str">
        <f ca="1"/>
        <v>LO00073</v>
      </c>
      <c r="L34" t="str">
        <f ca="1"/>
        <v>3000 4T PLUS 10W30</v>
      </c>
      <c r="M34">
        <f ca="1"/>
        <v>40</v>
      </c>
      <c r="N34">
        <f ca="1"/>
        <v>640</v>
      </c>
      <c r="O34">
        <f ca="1"/>
        <v>48</v>
      </c>
      <c r="P34">
        <f ca="1"/>
        <v>0</v>
      </c>
      <c r="Q34">
        <f ca="1"/>
        <v>0</v>
      </c>
      <c r="R34">
        <f ca="1"/>
        <v>640</v>
      </c>
      <c r="S34">
        <f ca="1"/>
        <v>40</v>
      </c>
      <c r="T34">
        <f ca="1"/>
        <v>48</v>
      </c>
      <c r="U34">
        <f ca="1"/>
        <v>25600</v>
      </c>
      <c r="V34">
        <f ca="1"/>
        <v>0</v>
      </c>
      <c r="W34">
        <f ca="1"/>
        <v>25600</v>
      </c>
      <c r="X34">
        <f ca="1"/>
        <v>3339.1304347826085</v>
      </c>
      <c r="Y34">
        <f ca="1"/>
        <v>22260.869565217392</v>
      </c>
      <c r="Z34" t="str">
        <f ca="1"/>
        <v>Cash</v>
      </c>
      <c r="AA34">
        <f ca="1"/>
        <v>581</v>
      </c>
      <c r="AB34" t="str">
        <f ca="1"/>
        <v>Flat Discount</v>
      </c>
      <c r="AC34">
        <f ca="1"/>
        <v>45665</v>
      </c>
      <c r="AD34" t="str">
        <f ca="1"/>
        <v>7tk dis/ltr 20w50</v>
      </c>
      <c r="AE34" t="str">
        <f ca="1"/>
        <v>Eastern</v>
      </c>
      <c r="AF34" t="str">
        <f ca="1"/>
        <v>Mineral</v>
      </c>
      <c r="AG34" t="str">
        <f ca="1"/>
        <v>MCO</v>
      </c>
      <c r="AH34" t="str">
        <f ca="1"/>
        <v>10W30</v>
      </c>
      <c r="AI34" t="str">
        <f ca="1"/>
        <v>3000</v>
      </c>
      <c r="AJ34">
        <f ca="1"/>
        <v>0</v>
      </c>
      <c r="AK34" t="str">
        <f ca="1"/>
        <v>20x1.2L</v>
      </c>
      <c r="AL34">
        <f ca="1"/>
        <v>17556</v>
      </c>
      <c r="AM34">
        <f ca="1"/>
        <v>4704.8695652173919</v>
      </c>
      <c r="AN34" t="str">
        <f ca="1"/>
        <v>O-45664-D-0010</v>
      </c>
      <c r="AO34" t="str">
        <f ca="1"/>
        <v>Delivered</v>
      </c>
    </row>
    <row r="35" spans="1:41" x14ac:dyDescent="0.5">
      <c r="A35" t="str">
        <f ca="1"/>
        <v>F-112</v>
      </c>
      <c r="B35" s="1">
        <f ca="1"/>
        <v>45664</v>
      </c>
      <c r="C35" t="str">
        <f ca="1"/>
        <v>D-0010</v>
      </c>
      <c r="D35" t="str">
        <f ca="1"/>
        <v>Hazipur Traders</v>
      </c>
      <c r="E35" t="str">
        <f ca="1"/>
        <v>Chowmuhoni</v>
      </c>
      <c r="F35" t="str">
        <f ca="1"/>
        <v>01710-639669</v>
      </c>
      <c r="G35" t="str">
        <f ca="1"/>
        <v>Md. Robin Sheikh</v>
      </c>
      <c r="H35" t="str">
        <f ca="1"/>
        <v>Razur Rahman (Bipul)</v>
      </c>
      <c r="I35" t="str">
        <f ca="1"/>
        <v>City Trading</v>
      </c>
      <c r="J35" t="str">
        <f ca="1"/>
        <v>Chowmuhoni</v>
      </c>
      <c r="K35" t="str">
        <f ca="1"/>
        <v>LO00096</v>
      </c>
      <c r="L35" t="str">
        <f ca="1"/>
        <v>3000 4T PLUS 20W40</v>
      </c>
      <c r="M35">
        <f ca="1"/>
        <v>20</v>
      </c>
      <c r="N35">
        <f ca="1"/>
        <v>640</v>
      </c>
      <c r="O35">
        <f ca="1"/>
        <v>24</v>
      </c>
      <c r="P35">
        <f ca="1"/>
        <v>0</v>
      </c>
      <c r="Q35">
        <f ca="1"/>
        <v>0</v>
      </c>
      <c r="R35">
        <f ca="1"/>
        <v>640</v>
      </c>
      <c r="S35">
        <f ca="1"/>
        <v>20</v>
      </c>
      <c r="T35">
        <f ca="1"/>
        <v>24</v>
      </c>
      <c r="U35">
        <f ca="1"/>
        <v>12800</v>
      </c>
      <c r="V35">
        <f ca="1"/>
        <v>0</v>
      </c>
      <c r="W35">
        <f ca="1"/>
        <v>12800</v>
      </c>
      <c r="X35">
        <f ca="1"/>
        <v>1669.5652173913043</v>
      </c>
      <c r="Y35">
        <f ca="1"/>
        <v>11130.434782608696</v>
      </c>
      <c r="Z35" t="str">
        <f ca="1"/>
        <v>Cash</v>
      </c>
      <c r="AA35">
        <f ca="1"/>
        <v>581</v>
      </c>
      <c r="AB35" t="str">
        <f ca="1"/>
        <v>Flat Discount</v>
      </c>
      <c r="AC35">
        <f ca="1"/>
        <v>45665</v>
      </c>
      <c r="AD35" t="str">
        <f ca="1"/>
        <v>7tk dis/ltr 20w50</v>
      </c>
      <c r="AE35" t="str">
        <f ca="1"/>
        <v>Eastern</v>
      </c>
      <c r="AF35" t="str">
        <f ca="1"/>
        <v>Mineral</v>
      </c>
      <c r="AG35" t="str">
        <f ca="1"/>
        <v>MCO</v>
      </c>
      <c r="AH35" t="str">
        <f ca="1"/>
        <v>20W40</v>
      </c>
      <c r="AI35" t="str">
        <f ca="1"/>
        <v>3000</v>
      </c>
      <c r="AJ35">
        <f ca="1"/>
        <v>0</v>
      </c>
      <c r="AK35" t="str">
        <f ca="1"/>
        <v>20x1.2L</v>
      </c>
      <c r="AL35">
        <f ca="1"/>
        <v>9397.9559070121941</v>
      </c>
      <c r="AM35">
        <f ca="1"/>
        <v>1732.4788755965019</v>
      </c>
      <c r="AN35" t="str">
        <f ca="1"/>
        <v>O-45664-D-0010</v>
      </c>
      <c r="AO35" t="str">
        <f ca="1"/>
        <v>Delivered</v>
      </c>
    </row>
    <row r="36" spans="1:41" x14ac:dyDescent="0.5">
      <c r="A36" t="str">
        <f ca="1"/>
        <v>F-112</v>
      </c>
      <c r="B36" s="1">
        <f ca="1"/>
        <v>45664</v>
      </c>
      <c r="C36" t="str">
        <f ca="1"/>
        <v>D-0010</v>
      </c>
      <c r="D36" t="str">
        <f ca="1"/>
        <v>Hazipur Traders</v>
      </c>
      <c r="E36" t="str">
        <f ca="1"/>
        <v>Chowmuhoni</v>
      </c>
      <c r="F36" t="str">
        <f ca="1"/>
        <v>01710-639669</v>
      </c>
      <c r="G36" t="str">
        <f ca="1"/>
        <v>Md. Robin Sheikh</v>
      </c>
      <c r="H36" t="str">
        <f ca="1"/>
        <v>Razur Rahman (Bipul)</v>
      </c>
      <c r="I36" t="str">
        <f ca="1"/>
        <v>City Trading</v>
      </c>
      <c r="J36" t="str">
        <f ca="1"/>
        <v>Chowmuhoni</v>
      </c>
      <c r="K36" t="str">
        <f ca="1"/>
        <v>LO00047</v>
      </c>
      <c r="L36" t="str">
        <f ca="1"/>
        <v>7100 4T 10W40 ESTER CORE®</v>
      </c>
      <c r="M36">
        <f ca="1"/>
        <v>24</v>
      </c>
      <c r="N36">
        <f ca="1"/>
        <v>1070</v>
      </c>
      <c r="O36">
        <f ca="1"/>
        <v>24</v>
      </c>
      <c r="P36">
        <f ca="1"/>
        <v>0</v>
      </c>
      <c r="Q36">
        <f ca="1"/>
        <v>0</v>
      </c>
      <c r="R36">
        <f ca="1"/>
        <v>1070</v>
      </c>
      <c r="S36">
        <f ca="1"/>
        <v>24</v>
      </c>
      <c r="T36">
        <f ca="1"/>
        <v>24</v>
      </c>
      <c r="U36">
        <f ca="1"/>
        <v>25680</v>
      </c>
      <c r="V36">
        <f ca="1"/>
        <v>0</v>
      </c>
      <c r="W36">
        <f ca="1"/>
        <v>25680</v>
      </c>
      <c r="X36">
        <f ca="1"/>
        <v>3349.5652173913045</v>
      </c>
      <c r="Y36">
        <f ca="1"/>
        <v>22330.434782608696</v>
      </c>
      <c r="Z36" t="str">
        <f ca="1"/>
        <v>Cash</v>
      </c>
      <c r="AA36">
        <f ca="1"/>
        <v>581</v>
      </c>
      <c r="AB36" t="str">
        <f ca="1"/>
        <v>Flat Discount</v>
      </c>
      <c r="AC36">
        <f ca="1"/>
        <v>45665</v>
      </c>
      <c r="AD36" t="str">
        <f ca="1"/>
        <v>7tk dis/ltr 20w50</v>
      </c>
      <c r="AE36" t="str">
        <f ca="1"/>
        <v>Eastern</v>
      </c>
      <c r="AF36" t="str">
        <f ca="1"/>
        <v>Synthetic</v>
      </c>
      <c r="AG36" t="str">
        <f ca="1"/>
        <v>MCO</v>
      </c>
      <c r="AH36" t="str">
        <f ca="1"/>
        <v>10W40</v>
      </c>
      <c r="AI36" t="str">
        <f ca="1"/>
        <v>7100</v>
      </c>
      <c r="AJ36">
        <f ca="1"/>
        <v>0</v>
      </c>
      <c r="AK36" t="str">
        <f ca="1"/>
        <v>12x1L</v>
      </c>
      <c r="AL36">
        <f ca="1"/>
        <v>16655.760000000002</v>
      </c>
      <c r="AM36">
        <f ca="1"/>
        <v>5674.6747826086939</v>
      </c>
      <c r="AN36" t="str">
        <f ca="1"/>
        <v>O-45664-D-0010</v>
      </c>
      <c r="AO36" t="str">
        <f ca="1"/>
        <v>Delivered</v>
      </c>
    </row>
    <row r="37" spans="1:41" x14ac:dyDescent="0.5">
      <c r="A37" t="str">
        <f ca="1"/>
        <v>F-112</v>
      </c>
      <c r="B37" s="1">
        <f ca="1"/>
        <v>45664</v>
      </c>
      <c r="C37" t="str">
        <f ca="1"/>
        <v>D-0010</v>
      </c>
      <c r="D37" t="str">
        <f ca="1"/>
        <v>Hazipur Traders</v>
      </c>
      <c r="E37" t="str">
        <f ca="1"/>
        <v>Chowmuhoni</v>
      </c>
      <c r="F37" t="str">
        <f ca="1"/>
        <v>01710-639669</v>
      </c>
      <c r="G37" t="str">
        <f ca="1"/>
        <v>Md. Robin Sheikh</v>
      </c>
      <c r="H37" t="str">
        <f ca="1"/>
        <v>Razur Rahman (Bipul)</v>
      </c>
      <c r="I37" t="str">
        <f ca="1"/>
        <v>City Trading</v>
      </c>
      <c r="J37" t="str">
        <f ca="1"/>
        <v>Chowmuhoni</v>
      </c>
      <c r="K37" t="str">
        <f ca="1"/>
        <v>LO00119</v>
      </c>
      <c r="L37" t="str">
        <f ca="1"/>
        <v>3000 4T 20W50</v>
      </c>
      <c r="M37">
        <f ca="1"/>
        <v>100</v>
      </c>
      <c r="N37">
        <f ca="1"/>
        <v>487.47500000000002</v>
      </c>
      <c r="O37">
        <f ca="1"/>
        <v>100</v>
      </c>
      <c r="P37">
        <f ca="1"/>
        <v>0</v>
      </c>
      <c r="Q37">
        <f ca="1"/>
        <v>0</v>
      </c>
      <c r="R37">
        <f ca="1"/>
        <v>487.47500000000002</v>
      </c>
      <c r="S37">
        <f ca="1"/>
        <v>100</v>
      </c>
      <c r="T37">
        <f ca="1"/>
        <v>100</v>
      </c>
      <c r="U37">
        <f ca="1"/>
        <v>48747.5</v>
      </c>
      <c r="V37">
        <f ca="1"/>
        <v>0</v>
      </c>
      <c r="W37">
        <f ca="1"/>
        <v>48747.5</v>
      </c>
      <c r="X37">
        <f ca="1"/>
        <v>6358.369565217391</v>
      </c>
      <c r="Y37">
        <f ca="1"/>
        <v>42389.130434782608</v>
      </c>
      <c r="Z37" t="str">
        <f ca="1"/>
        <v>Cash</v>
      </c>
      <c r="AA37">
        <f ca="1"/>
        <v>581</v>
      </c>
      <c r="AB37" t="str">
        <f ca="1"/>
        <v>Flat Discount</v>
      </c>
      <c r="AC37">
        <f ca="1"/>
        <v>45665</v>
      </c>
      <c r="AD37" t="str">
        <f ca="1"/>
        <v>7tk dis/ltr 20w50</v>
      </c>
      <c r="AE37" t="str">
        <f ca="1"/>
        <v>Eastern</v>
      </c>
      <c r="AF37" t="str">
        <f ca="1"/>
        <v>Mineral</v>
      </c>
      <c r="AG37" t="str">
        <f ca="1"/>
        <v>MCO</v>
      </c>
      <c r="AH37" t="str">
        <f ca="1"/>
        <v>20W50</v>
      </c>
      <c r="AI37" t="str">
        <f ca="1"/>
        <v>3000</v>
      </c>
      <c r="AJ37">
        <f ca="1"/>
        <v>0</v>
      </c>
      <c r="AK37" t="str">
        <f ca="1"/>
        <v>20x1L</v>
      </c>
      <c r="AL37">
        <f ca="1"/>
        <v>36492</v>
      </c>
      <c r="AM37">
        <f ca="1"/>
        <v>5897.1304347826081</v>
      </c>
      <c r="AN37" t="str">
        <f ca="1"/>
        <v>O-45664-D-0010</v>
      </c>
      <c r="AO37" t="str">
        <f ca="1"/>
        <v>Delivered</v>
      </c>
    </row>
    <row r="38" spans="1:41" x14ac:dyDescent="0.5">
      <c r="A38" t="str">
        <f ca="1"/>
        <v>F-112</v>
      </c>
      <c r="B38" s="1">
        <f ca="1"/>
        <v>45664</v>
      </c>
      <c r="C38" t="str">
        <f ca="1"/>
        <v>D-0010</v>
      </c>
      <c r="D38" t="str">
        <f ca="1"/>
        <v>Hazipur Traders</v>
      </c>
      <c r="E38" t="str">
        <f ca="1"/>
        <v>Chowmuhoni</v>
      </c>
      <c r="F38" t="str">
        <f ca="1"/>
        <v>01710-639669</v>
      </c>
      <c r="G38" t="str">
        <f ca="1"/>
        <v>Md. Robin Sheikh</v>
      </c>
      <c r="H38" t="str">
        <f ca="1"/>
        <v>Razur Rahman (Bipul)</v>
      </c>
      <c r="I38" t="str">
        <f ca="1"/>
        <v>City Trading</v>
      </c>
      <c r="J38" t="str">
        <f ca="1"/>
        <v>Chowmuhoni</v>
      </c>
      <c r="K38" t="str">
        <f ca="1"/>
        <v>LO00120</v>
      </c>
      <c r="L38" t="str">
        <f ca="1"/>
        <v>3000 4T 20W50</v>
      </c>
      <c r="M38">
        <f ca="1"/>
        <v>60</v>
      </c>
      <c r="N38">
        <f ca="1"/>
        <v>587.47500000000002</v>
      </c>
      <c r="O38">
        <f ca="1"/>
        <v>72</v>
      </c>
      <c r="P38">
        <f ca="1"/>
        <v>0</v>
      </c>
      <c r="Q38">
        <f ca="1"/>
        <v>0</v>
      </c>
      <c r="R38">
        <f ca="1"/>
        <v>587.47500000000002</v>
      </c>
      <c r="S38">
        <f ca="1"/>
        <v>60</v>
      </c>
      <c r="T38">
        <f ca="1"/>
        <v>72</v>
      </c>
      <c r="U38">
        <f ca="1"/>
        <v>35248.5</v>
      </c>
      <c r="V38">
        <f ca="1"/>
        <v>0</v>
      </c>
      <c r="W38">
        <f ca="1"/>
        <v>35248.5</v>
      </c>
      <c r="X38">
        <f ca="1"/>
        <v>4597.630434782609</v>
      </c>
      <c r="Y38">
        <f ca="1"/>
        <v>30650.869565217392</v>
      </c>
      <c r="Z38" t="str">
        <f ca="1"/>
        <v>Cash</v>
      </c>
      <c r="AA38">
        <f ca="1"/>
        <v>581</v>
      </c>
      <c r="AB38" t="str">
        <f ca="1"/>
        <v>Flat Discount</v>
      </c>
      <c r="AC38">
        <f ca="1"/>
        <v>45665</v>
      </c>
      <c r="AD38" t="str">
        <f ca="1"/>
        <v>7tk dis/ltr 20w50</v>
      </c>
      <c r="AE38" t="str">
        <f ca="1"/>
        <v>Eastern</v>
      </c>
      <c r="AF38" t="str">
        <f ca="1"/>
        <v>Mineral</v>
      </c>
      <c r="AG38" t="str">
        <f ca="1"/>
        <v>MCO</v>
      </c>
      <c r="AH38" t="str">
        <f ca="1"/>
        <v>20W50</v>
      </c>
      <c r="AI38" t="str">
        <f ca="1"/>
        <v>3000</v>
      </c>
      <c r="AJ38">
        <f ca="1"/>
        <v>0</v>
      </c>
      <c r="AK38" t="str">
        <f ca="1"/>
        <v>20x1.2L</v>
      </c>
      <c r="AL38">
        <f ca="1"/>
        <v>26076.600000000002</v>
      </c>
      <c r="AM38">
        <f ca="1"/>
        <v>4574.2695652173898</v>
      </c>
      <c r="AN38" t="str">
        <f ca="1"/>
        <v>O-45664-D-0010</v>
      </c>
      <c r="AO38" t="str">
        <f ca="1"/>
        <v>Delivered</v>
      </c>
    </row>
    <row r="39" spans="1:41" x14ac:dyDescent="0.5">
      <c r="A39" t="str">
        <f ca="1"/>
        <v>F-113</v>
      </c>
      <c r="B39" s="1">
        <f ca="1"/>
        <v>45664</v>
      </c>
      <c r="C39" t="str">
        <f ca="1"/>
        <v>D-0018</v>
      </c>
      <c r="D39" t="str">
        <f ca="1"/>
        <v xml:space="preserve">Polash Automobile </v>
      </c>
      <c r="E39" t="str">
        <f ca="1"/>
        <v xml:space="preserve">Bandarban, Chittagong </v>
      </c>
      <c r="F39" t="str">
        <f ca="1"/>
        <v>0 18 2286 7696</v>
      </c>
      <c r="G39" t="str">
        <f ca="1"/>
        <v>Sultan Anisul Islam</v>
      </c>
      <c r="H39" t="str">
        <f ca="1"/>
        <v>Razur Rahman (Bipul)</v>
      </c>
      <c r="I39" t="str">
        <f ca="1"/>
        <v>KB Lubricants</v>
      </c>
      <c r="J39" t="str">
        <f ca="1"/>
        <v>Kadamtoli</v>
      </c>
      <c r="K39" t="str">
        <f ca="1"/>
        <v>LO00042</v>
      </c>
      <c r="L39" t="str">
        <f ca="1"/>
        <v>3000 4T PLUS 20W40</v>
      </c>
      <c r="M39">
        <f ca="1"/>
        <v>40</v>
      </c>
      <c r="N39">
        <f ca="1"/>
        <v>530</v>
      </c>
      <c r="O39">
        <f ca="1"/>
        <v>40</v>
      </c>
      <c r="P39">
        <f ca="1"/>
        <v>0</v>
      </c>
      <c r="Q39">
        <f ca="1"/>
        <v>0</v>
      </c>
      <c r="R39">
        <f ca="1"/>
        <v>530</v>
      </c>
      <c r="S39">
        <f ca="1"/>
        <v>40</v>
      </c>
      <c r="T39">
        <f ca="1"/>
        <v>40</v>
      </c>
      <c r="U39">
        <f ca="1"/>
        <v>21200</v>
      </c>
      <c r="V39">
        <f ca="1"/>
        <v>0</v>
      </c>
      <c r="W39">
        <f ca="1"/>
        <v>21200</v>
      </c>
      <c r="X39">
        <f ca="1"/>
        <v>2765.217391304348</v>
      </c>
      <c r="Y39">
        <f ca="1"/>
        <v>18434.782608695652</v>
      </c>
      <c r="Z39" t="str">
        <f ca="1"/>
        <v>Cash</v>
      </c>
      <c r="AA39">
        <f ca="1"/>
        <v>582</v>
      </c>
      <c r="AB39" t="str">
        <f ca="1"/>
        <v>Flat Discount</v>
      </c>
      <c r="AC39">
        <f ca="1"/>
        <v>45665</v>
      </c>
      <c r="AD39" t="str">
        <f ca="1"/>
        <v/>
      </c>
      <c r="AE39" t="str">
        <f ca="1"/>
        <v>Eastern</v>
      </c>
      <c r="AF39" t="str">
        <f ca="1"/>
        <v>Mineral</v>
      </c>
      <c r="AG39" t="str">
        <f ca="1"/>
        <v>MCO</v>
      </c>
      <c r="AH39" t="str">
        <f ca="1"/>
        <v>20W40</v>
      </c>
      <c r="AI39" t="str">
        <f ca="1"/>
        <v>3000</v>
      </c>
      <c r="AJ39">
        <f ca="1"/>
        <v>0</v>
      </c>
      <c r="AK39" t="str">
        <f ca="1"/>
        <v>20x1L</v>
      </c>
      <c r="AL39">
        <f ca="1"/>
        <v>16510.400000000001</v>
      </c>
      <c r="AM39">
        <f ca="1"/>
        <v>1924.3826086956506</v>
      </c>
      <c r="AN39" t="str">
        <f ca="1"/>
        <v>O-45664-D-0018</v>
      </c>
      <c r="AO39" t="str">
        <f ca="1"/>
        <v>Delivered</v>
      </c>
    </row>
    <row r="40" spans="1:41" x14ac:dyDescent="0.5">
      <c r="A40" t="str">
        <f ca="1"/>
        <v>F-114</v>
      </c>
      <c r="B40" s="1">
        <f ca="1"/>
        <v>45664</v>
      </c>
      <c r="C40" t="str">
        <f ca="1"/>
        <v>D-0012</v>
      </c>
      <c r="D40" t="str">
        <f ca="1"/>
        <v>Al Bari Enterprise</v>
      </c>
      <c r="E40" t="str">
        <f ca="1"/>
        <v>Shoriatpur</v>
      </c>
      <c r="F40" t="str">
        <f ca="1"/>
        <v>01680048492</v>
      </c>
      <c r="G40" t="str">
        <f ca="1"/>
        <v>Md.Mahfuzur Rahman</v>
      </c>
      <c r="H40" t="str">
        <f ca="1"/>
        <v>Abdul Matin</v>
      </c>
      <c r="I40" t="str">
        <f ca="1"/>
        <v>Al Bari Enterprise</v>
      </c>
      <c r="J40" t="str">
        <f ca="1"/>
        <v>Sariyatpur Sadar</v>
      </c>
      <c r="K40" t="str">
        <f ca="1"/>
        <v>LO00064</v>
      </c>
      <c r="L40" t="str">
        <f ca="1"/>
        <v>Fork Oil Expert</v>
      </c>
      <c r="M40">
        <f ca="1"/>
        <v>100</v>
      </c>
      <c r="N40">
        <f ca="1"/>
        <v>246</v>
      </c>
      <c r="O40">
        <f ca="1"/>
        <v>35</v>
      </c>
      <c r="P40">
        <f ca="1"/>
        <v>0</v>
      </c>
      <c r="Q40">
        <f ca="1"/>
        <v>0</v>
      </c>
      <c r="R40">
        <f ca="1"/>
        <v>246</v>
      </c>
      <c r="S40">
        <f ca="1"/>
        <v>100</v>
      </c>
      <c r="T40">
        <f ca="1"/>
        <v>35</v>
      </c>
      <c r="U40">
        <f ca="1"/>
        <v>24600</v>
      </c>
      <c r="V40">
        <f ca="1"/>
        <v>0</v>
      </c>
      <c r="W40">
        <f ca="1"/>
        <v>24600</v>
      </c>
      <c r="X40">
        <f ca="1"/>
        <v>3208.695652173913</v>
      </c>
      <c r="Y40">
        <f ca="1"/>
        <v>21391.304347826088</v>
      </c>
      <c r="Z40" t="str">
        <f ca="1"/>
        <v>Cash</v>
      </c>
      <c r="AA40">
        <f ca="1"/>
        <v>583</v>
      </c>
      <c r="AB40" t="str">
        <f ca="1"/>
        <v>Flat Discount</v>
      </c>
      <c r="AC40">
        <f ca="1"/>
        <v>45665</v>
      </c>
      <c r="AD40" t="str">
        <f ca="1"/>
        <v>18 % discount</v>
      </c>
      <c r="AE40" t="str">
        <f ca="1"/>
        <v>Central</v>
      </c>
      <c r="AF40" t="str">
        <f ca="1"/>
        <v>Care Products</v>
      </c>
      <c r="AG40" t="str">
        <f ca="1"/>
        <v>Care Products</v>
      </c>
      <c r="AH40" t="str">
        <f ca="1"/>
        <v>Care Products</v>
      </c>
      <c r="AI40" t="str">
        <f ca="1"/>
        <v>Fork Oil</v>
      </c>
      <c r="AJ40">
        <f ca="1"/>
        <v>0</v>
      </c>
      <c r="AK40" t="str">
        <f ca="1"/>
        <v>20x0.35L</v>
      </c>
      <c r="AL40">
        <f ca="1"/>
        <v>16471</v>
      </c>
      <c r="AM40">
        <f ca="1"/>
        <v>4920.3043478260879</v>
      </c>
      <c r="AN40" t="str">
        <f ca="1"/>
        <v>O-45664-D-0012</v>
      </c>
      <c r="AO40" t="str">
        <f ca="1"/>
        <v>Delivered</v>
      </c>
    </row>
    <row r="41" spans="1:41" x14ac:dyDescent="0.5">
      <c r="A41" t="str">
        <f ca="1"/>
        <v>F-115</v>
      </c>
      <c r="B41" s="1">
        <f ca="1"/>
        <v>45664</v>
      </c>
      <c r="C41" t="str">
        <f ca="1"/>
        <v>D-0004</v>
      </c>
      <c r="D41" t="str">
        <f ca="1"/>
        <v>Lube &amp; Gear</v>
      </c>
      <c r="E41" t="str">
        <f ca="1"/>
        <v xml:space="preserve">Konabari Gazipur </v>
      </c>
      <c r="F41" t="str">
        <f ca="1"/>
        <v>01711784707</v>
      </c>
      <c r="G41" t="str">
        <f ca="1"/>
        <v>Sayed Al Amin Apu</v>
      </c>
      <c r="H41" t="str">
        <f ca="1"/>
        <v>Abdul Matin</v>
      </c>
      <c r="I41" t="str">
        <f ca="1"/>
        <v>Lube &amp; Gear</v>
      </c>
      <c r="J41" t="str">
        <f ca="1"/>
        <v>Konabari</v>
      </c>
      <c r="K41" t="str">
        <f ca="1"/>
        <v>LO00041</v>
      </c>
      <c r="L41" t="str">
        <f ca="1"/>
        <v>3000 4T PLUS 10W30</v>
      </c>
      <c r="M41">
        <f ca="1"/>
        <v>600</v>
      </c>
      <c r="N41">
        <f ca="1"/>
        <v>525</v>
      </c>
      <c r="O41">
        <f ca="1"/>
        <v>600</v>
      </c>
      <c r="P41">
        <f ca="1"/>
        <v>0</v>
      </c>
      <c r="Q41">
        <f ca="1"/>
        <v>0</v>
      </c>
      <c r="R41">
        <f ca="1"/>
        <v>525</v>
      </c>
      <c r="S41">
        <f ca="1"/>
        <v>600</v>
      </c>
      <c r="T41">
        <f ca="1"/>
        <v>600</v>
      </c>
      <c r="U41">
        <f ca="1"/>
        <v>315000</v>
      </c>
      <c r="V41">
        <f ca="1"/>
        <v>0</v>
      </c>
      <c r="W41">
        <f ca="1"/>
        <v>315000</v>
      </c>
      <c r="X41">
        <f ca="1"/>
        <v>41086.956521739128</v>
      </c>
      <c r="Y41">
        <f ca="1"/>
        <v>273913.04347826086</v>
      </c>
      <c r="Z41" t="str">
        <f ca="1"/>
        <v/>
      </c>
      <c r="AA41">
        <f ca="1"/>
        <v>584</v>
      </c>
      <c r="AB41" t="str">
        <f ca="1"/>
        <v>Flat Discount</v>
      </c>
      <c r="AC41">
        <f ca="1"/>
        <v>45665</v>
      </c>
      <c r="AD41" t="str">
        <f ca="1"/>
        <v/>
      </c>
      <c r="AE41" t="str">
        <f ca="1"/>
        <v>Central</v>
      </c>
      <c r="AF41" t="str">
        <f ca="1"/>
        <v>Mineral</v>
      </c>
      <c r="AG41" t="str">
        <f ca="1"/>
        <v>MCO</v>
      </c>
      <c r="AH41" t="str">
        <f ca="1"/>
        <v>10W30</v>
      </c>
      <c r="AI41" t="str">
        <f ca="1"/>
        <v>3000</v>
      </c>
      <c r="AJ41">
        <f ca="1"/>
        <v>0</v>
      </c>
      <c r="AK41" t="str">
        <f ca="1"/>
        <v>20x1L</v>
      </c>
      <c r="AL41">
        <f ca="1"/>
        <v>227598</v>
      </c>
      <c r="AM41">
        <f ca="1"/>
        <v>46315.043478260865</v>
      </c>
      <c r="AN41" t="str">
        <f ca="1"/>
        <v>O-45664-D-0004</v>
      </c>
      <c r="AO41" t="str">
        <f ca="1"/>
        <v>Delivered</v>
      </c>
    </row>
    <row r="42" spans="1:41" x14ac:dyDescent="0.5">
      <c r="A42" t="str">
        <f ca="1"/>
        <v>F-115</v>
      </c>
      <c r="B42" s="1">
        <f ca="1"/>
        <v>45664</v>
      </c>
      <c r="C42" t="str">
        <f ca="1"/>
        <v>D-0004</v>
      </c>
      <c r="D42" t="str">
        <f ca="1"/>
        <v>Lube &amp; Gear</v>
      </c>
      <c r="E42" t="str">
        <f ca="1"/>
        <v xml:space="preserve">Konabari Gazipur </v>
      </c>
      <c r="F42" t="str">
        <f ca="1"/>
        <v>01711784707</v>
      </c>
      <c r="G42" t="str">
        <f ca="1"/>
        <v>Sayed Al Amin Apu</v>
      </c>
      <c r="H42" t="str">
        <f ca="1"/>
        <v>Abdul Matin</v>
      </c>
      <c r="I42" t="str">
        <f ca="1"/>
        <v>Lube &amp; Gear</v>
      </c>
      <c r="J42" t="str">
        <f ca="1"/>
        <v>Konabari</v>
      </c>
      <c r="K42" t="str">
        <f ca="1"/>
        <v>LO00042</v>
      </c>
      <c r="L42" t="str">
        <f ca="1"/>
        <v>3000 4T PLUS 20W40</v>
      </c>
      <c r="M42">
        <f ca="1"/>
        <v>200</v>
      </c>
      <c r="N42">
        <f ca="1"/>
        <v>525</v>
      </c>
      <c r="O42">
        <f ca="1"/>
        <v>200</v>
      </c>
      <c r="P42">
        <f ca="1"/>
        <v>0</v>
      </c>
      <c r="Q42">
        <f ca="1"/>
        <v>0</v>
      </c>
      <c r="R42">
        <f ca="1"/>
        <v>525</v>
      </c>
      <c r="S42">
        <f ca="1"/>
        <v>200</v>
      </c>
      <c r="T42">
        <f ca="1"/>
        <v>200</v>
      </c>
      <c r="U42">
        <f ca="1"/>
        <v>105000</v>
      </c>
      <c r="V42">
        <f ca="1"/>
        <v>0</v>
      </c>
      <c r="W42">
        <f ca="1"/>
        <v>105000</v>
      </c>
      <c r="X42">
        <f ca="1"/>
        <v>13695.652173913044</v>
      </c>
      <c r="Y42">
        <f ca="1"/>
        <v>91304.34782608696</v>
      </c>
      <c r="Z42" t="str">
        <f ca="1"/>
        <v/>
      </c>
      <c r="AA42">
        <f ca="1"/>
        <v>584</v>
      </c>
      <c r="AB42" t="str">
        <f ca="1"/>
        <v>Flat Discount</v>
      </c>
      <c r="AC42">
        <f ca="1"/>
        <v>45665</v>
      </c>
      <c r="AD42" t="str">
        <f ca="1"/>
        <v/>
      </c>
      <c r="AE42" t="str">
        <f ca="1"/>
        <v>Central</v>
      </c>
      <c r="AF42" t="str">
        <f ca="1"/>
        <v>Mineral</v>
      </c>
      <c r="AG42" t="str">
        <f ca="1"/>
        <v>MCO</v>
      </c>
      <c r="AH42" t="str">
        <f ca="1"/>
        <v>20W40</v>
      </c>
      <c r="AI42" t="str">
        <f ca="1"/>
        <v>3000</v>
      </c>
      <c r="AJ42">
        <f ca="1"/>
        <v>0</v>
      </c>
      <c r="AK42" t="str">
        <f ca="1"/>
        <v>20x1L</v>
      </c>
      <c r="AL42">
        <f ca="1"/>
        <v>82552</v>
      </c>
      <c r="AM42">
        <f ca="1"/>
        <v>8752.3478260869597</v>
      </c>
      <c r="AN42" t="str">
        <f ca="1"/>
        <v>O-45664-D-0004</v>
      </c>
      <c r="AO42" t="str">
        <f ca="1"/>
        <v>Delivered</v>
      </c>
    </row>
    <row r="43" spans="1:41" x14ac:dyDescent="0.5">
      <c r="A43" t="str">
        <f ca="1"/>
        <v>F-115</v>
      </c>
      <c r="B43" s="1">
        <f ca="1"/>
        <v>45664</v>
      </c>
      <c r="C43" t="str">
        <f ca="1"/>
        <v>D-0004</v>
      </c>
      <c r="D43" t="str">
        <f ca="1"/>
        <v>Lube &amp; Gear</v>
      </c>
      <c r="E43" t="str">
        <f ca="1"/>
        <v xml:space="preserve">Konabari Gazipur </v>
      </c>
      <c r="F43" t="str">
        <f ca="1"/>
        <v>01711784707</v>
      </c>
      <c r="G43" t="str">
        <f ca="1"/>
        <v>Sayed Al Amin Apu</v>
      </c>
      <c r="H43" t="str">
        <f ca="1"/>
        <v>Abdul Matin</v>
      </c>
      <c r="I43" t="str">
        <f ca="1"/>
        <v>Lube &amp; Gear</v>
      </c>
      <c r="J43" t="str">
        <f ca="1"/>
        <v>Konabari</v>
      </c>
      <c r="K43" t="str">
        <f ca="1"/>
        <v>LO00043</v>
      </c>
      <c r="L43" t="str">
        <f ca="1"/>
        <v>3000 4T PLUS 10W40</v>
      </c>
      <c r="M43">
        <f ca="1"/>
        <v>1600</v>
      </c>
      <c r="N43">
        <f ca="1"/>
        <v>525</v>
      </c>
      <c r="O43">
        <f ca="1"/>
        <v>1600</v>
      </c>
      <c r="P43">
        <f ca="1"/>
        <v>0</v>
      </c>
      <c r="Q43">
        <f ca="1"/>
        <v>0</v>
      </c>
      <c r="R43">
        <f ca="1"/>
        <v>525</v>
      </c>
      <c r="S43">
        <f ca="1"/>
        <v>1600</v>
      </c>
      <c r="T43">
        <f ca="1"/>
        <v>1600</v>
      </c>
      <c r="U43">
        <f ca="1"/>
        <v>840000</v>
      </c>
      <c r="V43">
        <f ca="1"/>
        <v>0</v>
      </c>
      <c r="W43">
        <f ca="1"/>
        <v>840000</v>
      </c>
      <c r="X43">
        <f ca="1"/>
        <v>109565.21739130435</v>
      </c>
      <c r="Y43">
        <f ca="1"/>
        <v>730434.78260869568</v>
      </c>
      <c r="Z43" t="str">
        <f ca="1"/>
        <v/>
      </c>
      <c r="AA43">
        <f ca="1"/>
        <v>584</v>
      </c>
      <c r="AB43" t="str">
        <f ca="1"/>
        <v>Flat Discount</v>
      </c>
      <c r="AC43">
        <f ca="1"/>
        <v>45665</v>
      </c>
      <c r="AD43" t="str">
        <f ca="1"/>
        <v/>
      </c>
      <c r="AE43" t="str">
        <f ca="1"/>
        <v>Central</v>
      </c>
      <c r="AF43" t="str">
        <f ca="1"/>
        <v>Mineral</v>
      </c>
      <c r="AG43" t="str">
        <f ca="1"/>
        <v>MCO</v>
      </c>
      <c r="AH43" t="str">
        <f ca="1"/>
        <v>10W40</v>
      </c>
      <c r="AI43" t="str">
        <f ca="1"/>
        <v>3000</v>
      </c>
      <c r="AJ43">
        <f ca="1"/>
        <v>0</v>
      </c>
      <c r="AK43" t="str">
        <f ca="1"/>
        <v>20x1L</v>
      </c>
      <c r="AL43">
        <f ca="1"/>
        <v>615760</v>
      </c>
      <c r="AM43">
        <f ca="1"/>
        <v>114674.78260869568</v>
      </c>
      <c r="AN43" t="str">
        <f ca="1"/>
        <v>O-45664-D-0004</v>
      </c>
      <c r="AO43" t="str">
        <f ca="1"/>
        <v>Delivered</v>
      </c>
    </row>
    <row r="44" spans="1:41" x14ac:dyDescent="0.5">
      <c r="A44" t="str">
        <f ca="1"/>
        <v>F-115</v>
      </c>
      <c r="B44" s="1">
        <f ca="1"/>
        <v>45664</v>
      </c>
      <c r="C44" t="str">
        <f ca="1"/>
        <v>D-0004</v>
      </c>
      <c r="D44" t="str">
        <f ca="1"/>
        <v>Lube &amp; Gear</v>
      </c>
      <c r="E44" t="str">
        <f ca="1"/>
        <v xml:space="preserve">Konabari Gazipur </v>
      </c>
      <c r="F44" t="str">
        <f ca="1"/>
        <v>01711784707</v>
      </c>
      <c r="G44" t="str">
        <f ca="1"/>
        <v>Sayed Al Amin Apu</v>
      </c>
      <c r="H44" t="str">
        <f ca="1"/>
        <v>Abdul Matin</v>
      </c>
      <c r="I44" t="str">
        <f ca="1"/>
        <v>Lube &amp; Gear</v>
      </c>
      <c r="J44" t="str">
        <f ca="1"/>
        <v>Konabari</v>
      </c>
      <c r="K44" t="str">
        <f ca="1"/>
        <v>LO00073</v>
      </c>
      <c r="L44" t="str">
        <f ca="1"/>
        <v>3000 4T PLUS 10W30</v>
      </c>
      <c r="M44">
        <f ca="1"/>
        <v>700</v>
      </c>
      <c r="N44">
        <f ca="1"/>
        <v>640</v>
      </c>
      <c r="O44">
        <f ca="1"/>
        <v>840</v>
      </c>
      <c r="P44">
        <f ca="1"/>
        <v>0</v>
      </c>
      <c r="Q44">
        <f ca="1"/>
        <v>0</v>
      </c>
      <c r="R44">
        <f ca="1"/>
        <v>640</v>
      </c>
      <c r="S44">
        <f ca="1"/>
        <v>700</v>
      </c>
      <c r="T44">
        <f ca="1"/>
        <v>840</v>
      </c>
      <c r="U44">
        <f ca="1"/>
        <v>448000</v>
      </c>
      <c r="V44">
        <f ca="1"/>
        <v>0</v>
      </c>
      <c r="W44">
        <f ca="1"/>
        <v>448000</v>
      </c>
      <c r="X44">
        <f ca="1"/>
        <v>58434.782608695656</v>
      </c>
      <c r="Y44">
        <f ca="1"/>
        <v>389565.21739130432</v>
      </c>
      <c r="Z44" t="str">
        <f ca="1"/>
        <v/>
      </c>
      <c r="AA44">
        <f ca="1"/>
        <v>584</v>
      </c>
      <c r="AB44" t="str">
        <f ca="1"/>
        <v>Flat Discount</v>
      </c>
      <c r="AC44">
        <f ca="1"/>
        <v>45665</v>
      </c>
      <c r="AD44" t="str">
        <f ca="1"/>
        <v/>
      </c>
      <c r="AE44" t="str">
        <f ca="1"/>
        <v>Central</v>
      </c>
      <c r="AF44" t="str">
        <f ca="1"/>
        <v>Mineral</v>
      </c>
      <c r="AG44" t="str">
        <f ca="1"/>
        <v>MCO</v>
      </c>
      <c r="AH44" t="str">
        <f ca="1"/>
        <v>10W30</v>
      </c>
      <c r="AI44" t="str">
        <f ca="1"/>
        <v>3000</v>
      </c>
      <c r="AJ44">
        <f ca="1"/>
        <v>0</v>
      </c>
      <c r="AK44" t="str">
        <f ca="1"/>
        <v>20x1.2L</v>
      </c>
      <c r="AL44">
        <f ca="1"/>
        <v>307230</v>
      </c>
      <c r="AM44">
        <f ca="1"/>
        <v>82335.217391304323</v>
      </c>
      <c r="AN44" t="str">
        <f ca="1"/>
        <v>O-45664-D-0004</v>
      </c>
      <c r="AO44" t="str">
        <f ca="1"/>
        <v>Delivered</v>
      </c>
    </row>
    <row r="45" spans="1:41" x14ac:dyDescent="0.5">
      <c r="A45" t="str">
        <f ca="1"/>
        <v>F-115</v>
      </c>
      <c r="B45" s="1">
        <f ca="1"/>
        <v>45664</v>
      </c>
      <c r="C45" t="str">
        <f ca="1"/>
        <v>D-0004</v>
      </c>
      <c r="D45" t="str">
        <f ca="1"/>
        <v>Lube &amp; Gear</v>
      </c>
      <c r="E45" t="str">
        <f ca="1"/>
        <v xml:space="preserve">Konabari Gazipur </v>
      </c>
      <c r="F45" t="str">
        <f ca="1"/>
        <v>01711784707</v>
      </c>
      <c r="G45" t="str">
        <f ca="1"/>
        <v>Sayed Al Amin Apu</v>
      </c>
      <c r="H45" t="str">
        <f ca="1"/>
        <v>Abdul Matin</v>
      </c>
      <c r="I45" t="str">
        <f ca="1"/>
        <v>Lube &amp; Gear</v>
      </c>
      <c r="J45" t="str">
        <f ca="1"/>
        <v>Konabari</v>
      </c>
      <c r="K45" t="str">
        <f ca="1"/>
        <v>LO00096</v>
      </c>
      <c r="L45" t="str">
        <f ca="1"/>
        <v>3000 4T PLUS 20W40</v>
      </c>
      <c r="M45">
        <f ca="1"/>
        <v>400</v>
      </c>
      <c r="N45">
        <f ca="1"/>
        <v>640</v>
      </c>
      <c r="O45">
        <f ca="1"/>
        <v>480</v>
      </c>
      <c r="P45">
        <f ca="1"/>
        <v>0</v>
      </c>
      <c r="Q45">
        <f ca="1"/>
        <v>0</v>
      </c>
      <c r="R45">
        <f ca="1"/>
        <v>640</v>
      </c>
      <c r="S45">
        <f ca="1"/>
        <v>400</v>
      </c>
      <c r="T45">
        <f ca="1"/>
        <v>480</v>
      </c>
      <c r="U45">
        <f ca="1"/>
        <v>256000</v>
      </c>
      <c r="V45">
        <f ca="1"/>
        <v>0</v>
      </c>
      <c r="W45">
        <f ca="1"/>
        <v>256000</v>
      </c>
      <c r="X45">
        <f ca="1"/>
        <v>33391.304347826088</v>
      </c>
      <c r="Y45">
        <f ca="1"/>
        <v>222608.69565217392</v>
      </c>
      <c r="Z45" t="str">
        <f ca="1"/>
        <v/>
      </c>
      <c r="AA45">
        <f ca="1"/>
        <v>584</v>
      </c>
      <c r="AB45" t="str">
        <f ca="1"/>
        <v>Flat Discount</v>
      </c>
      <c r="AC45">
        <f ca="1"/>
        <v>45665</v>
      </c>
      <c r="AD45" t="str">
        <f ca="1"/>
        <v/>
      </c>
      <c r="AE45" t="str">
        <f ca="1"/>
        <v>Central</v>
      </c>
      <c r="AF45" t="str">
        <f ca="1"/>
        <v>Mineral</v>
      </c>
      <c r="AG45" t="str">
        <f ca="1"/>
        <v>MCO</v>
      </c>
      <c r="AH45" t="str">
        <f ca="1"/>
        <v>20W40</v>
      </c>
      <c r="AI45" t="str">
        <f ca="1"/>
        <v>3000</v>
      </c>
      <c r="AJ45">
        <f ca="1"/>
        <v>0</v>
      </c>
      <c r="AK45" t="str">
        <f ca="1"/>
        <v>20x1.2L</v>
      </c>
      <c r="AL45">
        <f ca="1"/>
        <v>187959.1181402439</v>
      </c>
      <c r="AM45">
        <f ca="1"/>
        <v>34649.577511930023</v>
      </c>
      <c r="AN45" t="str">
        <f ca="1"/>
        <v>O-45664-D-0004</v>
      </c>
      <c r="AO45" t="str">
        <f ca="1"/>
        <v>Delivered</v>
      </c>
    </row>
    <row r="46" spans="1:41" x14ac:dyDescent="0.5">
      <c r="A46" t="str">
        <f ca="1"/>
        <v>F-115</v>
      </c>
      <c r="B46" s="1">
        <f ca="1"/>
        <v>45664</v>
      </c>
      <c r="C46" t="str">
        <f ca="1"/>
        <v>D-0004</v>
      </c>
      <c r="D46" t="str">
        <f ca="1"/>
        <v>Lube &amp; Gear</v>
      </c>
      <c r="E46" t="str">
        <f ca="1"/>
        <v xml:space="preserve">Konabari Gazipur </v>
      </c>
      <c r="F46" t="str">
        <f ca="1"/>
        <v>01711784707</v>
      </c>
      <c r="G46" t="str">
        <f ca="1"/>
        <v>Sayed Al Amin Apu</v>
      </c>
      <c r="H46" t="str">
        <f ca="1"/>
        <v>Abdul Matin</v>
      </c>
      <c r="I46" t="str">
        <f ca="1"/>
        <v>Lube &amp; Gear</v>
      </c>
      <c r="J46" t="str">
        <f ca="1"/>
        <v>Konabari</v>
      </c>
      <c r="K46" t="str">
        <f ca="1"/>
        <v>LO00074</v>
      </c>
      <c r="L46" t="str">
        <f ca="1"/>
        <v>7100 4T 10W30 ESTER CORE®</v>
      </c>
      <c r="M46">
        <f ca="1"/>
        <v>24</v>
      </c>
      <c r="N46">
        <f ca="1"/>
        <v>1050</v>
      </c>
      <c r="O46">
        <f ca="1"/>
        <v>24</v>
      </c>
      <c r="P46">
        <f ca="1"/>
        <v>0</v>
      </c>
      <c r="Q46">
        <f ca="1"/>
        <v>0</v>
      </c>
      <c r="R46">
        <f ca="1"/>
        <v>1050</v>
      </c>
      <c r="S46">
        <f ca="1"/>
        <v>24</v>
      </c>
      <c r="T46">
        <f ca="1"/>
        <v>24</v>
      </c>
      <c r="U46">
        <f ca="1"/>
        <v>25200</v>
      </c>
      <c r="V46">
        <f ca="1"/>
        <v>0</v>
      </c>
      <c r="W46">
        <f ca="1"/>
        <v>25200</v>
      </c>
      <c r="X46">
        <f ca="1"/>
        <v>3286.9565217391305</v>
      </c>
      <c r="Y46">
        <f ca="1"/>
        <v>21913.043478260868</v>
      </c>
      <c r="Z46" t="str">
        <f ca="1"/>
        <v/>
      </c>
      <c r="AA46">
        <f ca="1"/>
        <v>584</v>
      </c>
      <c r="AB46" t="str">
        <f ca="1"/>
        <v>Flat Discount</v>
      </c>
      <c r="AC46">
        <f ca="1"/>
        <v>45665</v>
      </c>
      <c r="AD46" t="str">
        <f ca="1"/>
        <v/>
      </c>
      <c r="AE46" t="str">
        <f ca="1"/>
        <v>Central</v>
      </c>
      <c r="AF46" t="str">
        <f ca="1"/>
        <v>Synthetic</v>
      </c>
      <c r="AG46" t="str">
        <f ca="1"/>
        <v>MCO</v>
      </c>
      <c r="AH46" t="str">
        <f ca="1"/>
        <v>10W30</v>
      </c>
      <c r="AI46" t="str">
        <f ca="1"/>
        <v>7100</v>
      </c>
      <c r="AJ46">
        <f ca="1"/>
        <v>0</v>
      </c>
      <c r="AK46" t="str">
        <f ca="1"/>
        <v>12x1L</v>
      </c>
      <c r="AL46">
        <f ca="1"/>
        <v>16556.64</v>
      </c>
      <c r="AM46">
        <f ca="1"/>
        <v>5356.4034782608687</v>
      </c>
      <c r="AN46" t="str">
        <f ca="1"/>
        <v>O-45664-D-0004</v>
      </c>
      <c r="AO46" t="str">
        <f ca="1"/>
        <v>Delivered</v>
      </c>
    </row>
    <row r="47" spans="1:41" x14ac:dyDescent="0.5">
      <c r="A47" t="str">
        <f ca="1"/>
        <v>F-115</v>
      </c>
      <c r="B47" s="1">
        <f ca="1"/>
        <v>45664</v>
      </c>
      <c r="C47" t="str">
        <f ca="1"/>
        <v>D-0004</v>
      </c>
      <c r="D47" t="str">
        <f ca="1"/>
        <v>Lube &amp; Gear</v>
      </c>
      <c r="E47" t="str">
        <f ca="1"/>
        <v xml:space="preserve">Konabari Gazipur </v>
      </c>
      <c r="F47" t="str">
        <f ca="1"/>
        <v>01711784707</v>
      </c>
      <c r="G47" t="str">
        <f ca="1"/>
        <v>Sayed Al Amin Apu</v>
      </c>
      <c r="H47" t="str">
        <f ca="1"/>
        <v>Abdul Matin</v>
      </c>
      <c r="I47" t="str">
        <f ca="1"/>
        <v>Lube &amp; Gear</v>
      </c>
      <c r="J47" t="str">
        <f ca="1"/>
        <v>Konabari</v>
      </c>
      <c r="K47" t="str">
        <f ca="1"/>
        <v>LO00047</v>
      </c>
      <c r="L47" t="str">
        <f ca="1"/>
        <v>7100 4T 10W40 ESTER CORE®</v>
      </c>
      <c r="M47">
        <f ca="1"/>
        <v>780</v>
      </c>
      <c r="N47">
        <f ca="1"/>
        <v>1050</v>
      </c>
      <c r="O47">
        <f ca="1"/>
        <v>780</v>
      </c>
      <c r="P47">
        <f ca="1"/>
        <v>0</v>
      </c>
      <c r="Q47">
        <f ca="1"/>
        <v>0</v>
      </c>
      <c r="R47">
        <f ca="1"/>
        <v>1050</v>
      </c>
      <c r="S47">
        <f ca="1"/>
        <v>780</v>
      </c>
      <c r="T47">
        <f ca="1"/>
        <v>780</v>
      </c>
      <c r="U47">
        <f ca="1"/>
        <v>819000</v>
      </c>
      <c r="V47">
        <f ca="1"/>
        <v>0</v>
      </c>
      <c r="W47">
        <f ca="1"/>
        <v>819000</v>
      </c>
      <c r="X47">
        <f ca="1"/>
        <v>106826.08695652174</v>
      </c>
      <c r="Y47">
        <f ca="1"/>
        <v>712173.91304347827</v>
      </c>
      <c r="Z47" t="str">
        <f ca="1"/>
        <v/>
      </c>
      <c r="AA47">
        <f ca="1"/>
        <v>584</v>
      </c>
      <c r="AB47" t="str">
        <f ca="1"/>
        <v>Flat Discount</v>
      </c>
      <c r="AC47">
        <f ca="1"/>
        <v>45665</v>
      </c>
      <c r="AD47" t="str">
        <f ca="1"/>
        <v/>
      </c>
      <c r="AE47" t="str">
        <f ca="1"/>
        <v>Central</v>
      </c>
      <c r="AF47" t="str">
        <f ca="1"/>
        <v>Synthetic</v>
      </c>
      <c r="AG47" t="str">
        <f ca="1"/>
        <v>MCO</v>
      </c>
      <c r="AH47" t="str">
        <f ca="1"/>
        <v>10W40</v>
      </c>
      <c r="AI47" t="str">
        <f ca="1"/>
        <v>7100</v>
      </c>
      <c r="AJ47">
        <f ca="1"/>
        <v>0</v>
      </c>
      <c r="AK47" t="str">
        <f ca="1"/>
        <v>12x1L</v>
      </c>
      <c r="AL47">
        <f ca="1"/>
        <v>541312.19999999995</v>
      </c>
      <c r="AM47">
        <f ca="1"/>
        <v>170861.71304347832</v>
      </c>
      <c r="AN47" t="str">
        <f ca="1"/>
        <v>O-45664-D-0004</v>
      </c>
      <c r="AO47" t="str">
        <f ca="1"/>
        <v>Delivered</v>
      </c>
    </row>
    <row r="48" spans="1:41" x14ac:dyDescent="0.5">
      <c r="A48" t="str">
        <f ca="1"/>
        <v>F-115</v>
      </c>
      <c r="B48" s="1">
        <f ca="1"/>
        <v>45664</v>
      </c>
      <c r="C48" t="str">
        <f ca="1"/>
        <v>D-0004</v>
      </c>
      <c r="D48" t="str">
        <f ca="1"/>
        <v>Lube &amp; Gear</v>
      </c>
      <c r="E48" t="str">
        <f ca="1"/>
        <v xml:space="preserve">Konabari Gazipur </v>
      </c>
      <c r="F48" t="str">
        <f ca="1"/>
        <v>01711784707</v>
      </c>
      <c r="G48" t="str">
        <f ca="1"/>
        <v>Sayed Al Amin Apu</v>
      </c>
      <c r="H48" t="str">
        <f ca="1"/>
        <v>Abdul Matin</v>
      </c>
      <c r="I48" t="str">
        <f ca="1"/>
        <v>Lube &amp; Gear</v>
      </c>
      <c r="J48" t="str">
        <f ca="1"/>
        <v>Konabari</v>
      </c>
      <c r="K48" t="str">
        <f ca="1"/>
        <v>LO00104</v>
      </c>
      <c r="L48" t="str">
        <f ca="1"/>
        <v>7100 4T 10W30 ESTER CORE®</v>
      </c>
      <c r="M48">
        <f ca="1"/>
        <v>40</v>
      </c>
      <c r="N48">
        <f ca="1"/>
        <v>1260</v>
      </c>
      <c r="O48">
        <f ca="1"/>
        <v>48</v>
      </c>
      <c r="P48">
        <f ca="1"/>
        <v>0</v>
      </c>
      <c r="Q48">
        <f ca="1"/>
        <v>0</v>
      </c>
      <c r="R48">
        <f ca="1"/>
        <v>1260</v>
      </c>
      <c r="S48">
        <f ca="1"/>
        <v>40</v>
      </c>
      <c r="T48">
        <f ca="1"/>
        <v>48</v>
      </c>
      <c r="U48">
        <f ca="1"/>
        <v>50400</v>
      </c>
      <c r="V48">
        <f ca="1"/>
        <v>0</v>
      </c>
      <c r="W48">
        <f ca="1"/>
        <v>50400</v>
      </c>
      <c r="X48">
        <f ca="1"/>
        <v>6573.913043478261</v>
      </c>
      <c r="Y48">
        <f ca="1"/>
        <v>43826.086956521736</v>
      </c>
      <c r="Z48" t="str">
        <f ca="1"/>
        <v/>
      </c>
      <c r="AA48">
        <f ca="1"/>
        <v>584</v>
      </c>
      <c r="AB48" t="str">
        <f ca="1"/>
        <v>Flat Discount</v>
      </c>
      <c r="AC48">
        <f ca="1"/>
        <v>45665</v>
      </c>
      <c r="AD48" t="str">
        <f ca="1"/>
        <v/>
      </c>
      <c r="AE48" t="str">
        <f ca="1"/>
        <v>Central</v>
      </c>
      <c r="AF48" t="str">
        <f ca="1"/>
        <v>Synthetic</v>
      </c>
      <c r="AG48" t="str">
        <f ca="1"/>
        <v>MCO</v>
      </c>
      <c r="AH48" t="str">
        <f ca="1"/>
        <v>10W30</v>
      </c>
      <c r="AI48" t="str">
        <f ca="1"/>
        <v>7100</v>
      </c>
      <c r="AJ48">
        <f ca="1"/>
        <v>0</v>
      </c>
      <c r="AK48" t="str">
        <f ca="1"/>
        <v>20x1.2L</v>
      </c>
      <c r="AL48">
        <f ca="1"/>
        <v>31092</v>
      </c>
      <c r="AM48">
        <f ca="1"/>
        <v>12734.086956521736</v>
      </c>
      <c r="AN48" t="str">
        <f ca="1"/>
        <v>O-45664-D-0004</v>
      </c>
      <c r="AO48" t="str">
        <f ca="1"/>
        <v>Delivered</v>
      </c>
    </row>
    <row r="49" spans="1:41" x14ac:dyDescent="0.5">
      <c r="A49" t="str">
        <f ca="1"/>
        <v>F-115</v>
      </c>
      <c r="B49" s="1">
        <f ca="1"/>
        <v>45664</v>
      </c>
      <c r="C49" t="str">
        <f ca="1"/>
        <v>D-0004</v>
      </c>
      <c r="D49" t="str">
        <f ca="1"/>
        <v>Lube &amp; Gear</v>
      </c>
      <c r="E49" t="str">
        <f ca="1"/>
        <v xml:space="preserve">Konabari Gazipur </v>
      </c>
      <c r="F49" t="str">
        <f ca="1"/>
        <v>01711784707</v>
      </c>
      <c r="G49" t="str">
        <f ca="1"/>
        <v>Sayed Al Amin Apu</v>
      </c>
      <c r="H49" t="str">
        <f ca="1"/>
        <v>Abdul Matin</v>
      </c>
      <c r="I49" t="str">
        <f ca="1"/>
        <v>Lube &amp; Gear</v>
      </c>
      <c r="J49" t="str">
        <f ca="1"/>
        <v>Konabari</v>
      </c>
      <c r="K49" t="str">
        <f ca="1"/>
        <v>LO00119</v>
      </c>
      <c r="L49" t="str">
        <f ca="1"/>
        <v>3000 4T 20W50</v>
      </c>
      <c r="M49">
        <f ca="1"/>
        <v>60</v>
      </c>
      <c r="N49">
        <f ca="1"/>
        <v>480</v>
      </c>
      <c r="O49">
        <f ca="1"/>
        <v>60</v>
      </c>
      <c r="P49">
        <f ca="1"/>
        <v>0</v>
      </c>
      <c r="Q49">
        <f ca="1"/>
        <v>0</v>
      </c>
      <c r="R49">
        <f ca="1"/>
        <v>480</v>
      </c>
      <c r="S49">
        <f ca="1"/>
        <v>60</v>
      </c>
      <c r="T49">
        <f ca="1"/>
        <v>60</v>
      </c>
      <c r="U49">
        <f ca="1"/>
        <v>28800</v>
      </c>
      <c r="V49">
        <f ca="1"/>
        <v>0</v>
      </c>
      <c r="W49">
        <f ca="1"/>
        <v>28800</v>
      </c>
      <c r="X49">
        <f ca="1"/>
        <v>3756.521739130435</v>
      </c>
      <c r="Y49">
        <f ca="1"/>
        <v>25043.478260869564</v>
      </c>
      <c r="Z49" t="str">
        <f ca="1"/>
        <v/>
      </c>
      <c r="AA49">
        <f ca="1"/>
        <v>584</v>
      </c>
      <c r="AB49" t="str">
        <f ca="1"/>
        <v>Flat Discount</v>
      </c>
      <c r="AC49">
        <f ca="1"/>
        <v>45665</v>
      </c>
      <c r="AD49" t="str">
        <f ca="1"/>
        <v/>
      </c>
      <c r="AE49" t="str">
        <f ca="1"/>
        <v>Central</v>
      </c>
      <c r="AF49" t="str">
        <f ca="1"/>
        <v>Mineral</v>
      </c>
      <c r="AG49" t="str">
        <f ca="1"/>
        <v>MCO</v>
      </c>
      <c r="AH49" t="str">
        <f ca="1"/>
        <v>20W50</v>
      </c>
      <c r="AI49" t="str">
        <f ca="1"/>
        <v>3000</v>
      </c>
      <c r="AJ49">
        <f ca="1"/>
        <v>0</v>
      </c>
      <c r="AK49" t="str">
        <f ca="1"/>
        <v>20x1L</v>
      </c>
      <c r="AL49">
        <f ca="1"/>
        <v>21895.200000000001</v>
      </c>
      <c r="AM49">
        <f ca="1"/>
        <v>3148.2782608695634</v>
      </c>
      <c r="AN49" t="str">
        <f ca="1"/>
        <v>O-45664-D-0004</v>
      </c>
      <c r="AO49" t="str">
        <f ca="1"/>
        <v>Delivered</v>
      </c>
    </row>
    <row r="50" spans="1:41" x14ac:dyDescent="0.5">
      <c r="A50" t="str">
        <f ca="1"/>
        <v>F-115</v>
      </c>
      <c r="B50" s="1">
        <f ca="1"/>
        <v>45664</v>
      </c>
      <c r="C50" t="str">
        <f ca="1"/>
        <v>D-0004</v>
      </c>
      <c r="D50" t="str">
        <f ca="1"/>
        <v>Lube &amp; Gear</v>
      </c>
      <c r="E50" t="str">
        <f ca="1"/>
        <v xml:space="preserve">Konabari Gazipur </v>
      </c>
      <c r="F50" t="str">
        <f ca="1"/>
        <v>01711784707</v>
      </c>
      <c r="G50" t="str">
        <f ca="1"/>
        <v>Sayed Al Amin Apu</v>
      </c>
      <c r="H50" t="str">
        <f ca="1"/>
        <v>Abdul Matin</v>
      </c>
      <c r="I50" t="str">
        <f ca="1"/>
        <v>Lube &amp; Gear</v>
      </c>
      <c r="J50" t="str">
        <f ca="1"/>
        <v>Konabari</v>
      </c>
      <c r="K50" t="str">
        <f ca="1"/>
        <v>LO00120</v>
      </c>
      <c r="L50" t="str">
        <f ca="1"/>
        <v>3000 4T 20W50</v>
      </c>
      <c r="M50">
        <f ca="1"/>
        <v>40</v>
      </c>
      <c r="N50">
        <f ca="1"/>
        <v>570</v>
      </c>
      <c r="O50">
        <f ca="1"/>
        <v>48</v>
      </c>
      <c r="P50">
        <f ca="1"/>
        <v>0</v>
      </c>
      <c r="Q50">
        <f ca="1"/>
        <v>0</v>
      </c>
      <c r="R50">
        <f ca="1"/>
        <v>570</v>
      </c>
      <c r="S50">
        <f ca="1"/>
        <v>40</v>
      </c>
      <c r="T50">
        <f ca="1"/>
        <v>48</v>
      </c>
      <c r="U50">
        <f ca="1"/>
        <v>22800</v>
      </c>
      <c r="V50">
        <f ca="1"/>
        <v>0</v>
      </c>
      <c r="W50">
        <f ca="1"/>
        <v>22800</v>
      </c>
      <c r="X50">
        <f ca="1"/>
        <v>2973.913043478261</v>
      </c>
      <c r="Y50">
        <f ca="1"/>
        <v>19826.08695652174</v>
      </c>
      <c r="Z50" t="str">
        <f ca="1"/>
        <v/>
      </c>
      <c r="AA50">
        <f ca="1"/>
        <v>584</v>
      </c>
      <c r="AB50" t="str">
        <f ca="1"/>
        <v>Flat Discount</v>
      </c>
      <c r="AC50">
        <f ca="1"/>
        <v>45665</v>
      </c>
      <c r="AD50" t="str">
        <f ca="1"/>
        <v/>
      </c>
      <c r="AE50" t="str">
        <f ca="1"/>
        <v>Central</v>
      </c>
      <c r="AF50" t="str">
        <f ca="1"/>
        <v>Mineral</v>
      </c>
      <c r="AG50" t="str">
        <f ca="1"/>
        <v>MCO</v>
      </c>
      <c r="AH50" t="str">
        <f ca="1"/>
        <v>20W50</v>
      </c>
      <c r="AI50" t="str">
        <f ca="1"/>
        <v>3000</v>
      </c>
      <c r="AJ50">
        <f ca="1"/>
        <v>0</v>
      </c>
      <c r="AK50" t="str">
        <f ca="1"/>
        <v>20x1.2L</v>
      </c>
      <c r="AL50">
        <f ca="1"/>
        <v>17384.400000000001</v>
      </c>
      <c r="AM50">
        <f ca="1"/>
        <v>2441.6869565217385</v>
      </c>
      <c r="AN50" t="str">
        <f ca="1"/>
        <v>O-45664-D-0004</v>
      </c>
      <c r="AO50" t="str">
        <f ca="1"/>
        <v>Delivered</v>
      </c>
    </row>
    <row r="51" spans="1:41" x14ac:dyDescent="0.5">
      <c r="A51" t="str">
        <f ca="1"/>
        <v>F-116</v>
      </c>
      <c r="B51" s="1">
        <f ca="1"/>
        <v>45666</v>
      </c>
      <c r="C51" t="str">
        <f ca="1"/>
        <v>D-0015</v>
      </c>
      <c r="D51" t="str">
        <f ca="1"/>
        <v>Md. Mahbubur Rahman</v>
      </c>
      <c r="E51" t="str">
        <f ca="1"/>
        <v>26, City Corporation Market, Dayaganj, Dhaka-1100.</v>
      </c>
      <c r="F51" t="str">
        <f ca="1"/>
        <v>01911563926</v>
      </c>
      <c r="G51" t="str">
        <f ca="1"/>
        <v>Mahamudul Hasan Milon</v>
      </c>
      <c r="H51" t="str">
        <f ca="1"/>
        <v>Abdul Matin</v>
      </c>
      <c r="I51" t="str">
        <f ca="1"/>
        <v>MK Trading Corporation</v>
      </c>
      <c r="J51" t="str">
        <f ca="1"/>
        <v xml:space="preserve">Wari </v>
      </c>
      <c r="K51" t="str">
        <f ca="1"/>
        <v>LO00047</v>
      </c>
      <c r="L51" t="str">
        <f ca="1"/>
        <v>7100 4T 10W40 ESTER CORE®</v>
      </c>
      <c r="M51">
        <f ca="1"/>
        <v>2880</v>
      </c>
      <c r="N51">
        <f ca="1"/>
        <v>1050</v>
      </c>
      <c r="O51">
        <f ca="1"/>
        <v>2880</v>
      </c>
      <c r="P51">
        <f ca="1"/>
        <v>0</v>
      </c>
      <c r="Q51">
        <f ca="1"/>
        <v>0</v>
      </c>
      <c r="R51">
        <f ca="1"/>
        <v>1050</v>
      </c>
      <c r="S51">
        <f ca="1"/>
        <v>2880</v>
      </c>
      <c r="T51">
        <f ca="1"/>
        <v>2880</v>
      </c>
      <c r="U51">
        <f ca="1"/>
        <v>3024000</v>
      </c>
      <c r="V51">
        <f ca="1"/>
        <v>0</v>
      </c>
      <c r="W51">
        <f ca="1"/>
        <v>3024000</v>
      </c>
      <c r="X51">
        <f ca="1"/>
        <v>394434.78260869568</v>
      </c>
      <c r="Y51">
        <f ca="1"/>
        <v>2629565.2173913042</v>
      </c>
      <c r="Z51" t="str">
        <f ca="1"/>
        <v/>
      </c>
      <c r="AA51">
        <f ca="1"/>
        <v>585</v>
      </c>
      <c r="AB51" t="str">
        <f ca="1"/>
        <v>Flat Discount</v>
      </c>
      <c r="AC51">
        <f ca="1"/>
        <v>45666</v>
      </c>
      <c r="AD51" t="str">
        <f ca="1"/>
        <v/>
      </c>
      <c r="AE51" t="str">
        <f ca="1"/>
        <v>Central</v>
      </c>
      <c r="AF51" t="str">
        <f ca="1"/>
        <v>Synthetic</v>
      </c>
      <c r="AG51" t="str">
        <f ca="1"/>
        <v>MCO</v>
      </c>
      <c r="AH51" t="str">
        <f ca="1"/>
        <v>10W40</v>
      </c>
      <c r="AI51" t="str">
        <f ca="1"/>
        <v>7100</v>
      </c>
      <c r="AJ51">
        <f ca="1"/>
        <v>0</v>
      </c>
      <c r="AK51" t="str">
        <f ca="1"/>
        <v>12x1L</v>
      </c>
      <c r="AL51">
        <f ca="1"/>
        <v>1998691.2</v>
      </c>
      <c r="AM51">
        <f ca="1"/>
        <v>630874.01739130425</v>
      </c>
      <c r="AN51" t="str">
        <f ca="1"/>
        <v>O-45666-D-0015</v>
      </c>
      <c r="AO51" t="str">
        <f ca="1"/>
        <v>Delivered</v>
      </c>
    </row>
    <row r="52" spans="1:41" x14ac:dyDescent="0.5">
      <c r="A52" t="str">
        <f ca="1"/>
        <v>F-116</v>
      </c>
      <c r="B52" s="1">
        <f ca="1"/>
        <v>45666</v>
      </c>
      <c r="C52" t="str">
        <f ca="1"/>
        <v>D-0015</v>
      </c>
      <c r="D52" t="str">
        <f ca="1"/>
        <v>Md. Mahbubur Rahman</v>
      </c>
      <c r="E52" t="str">
        <f ca="1"/>
        <v>26, City Corporation Market, Dayaganj, Dhaka-1100.</v>
      </c>
      <c r="F52" t="str">
        <f ca="1"/>
        <v>01911563926</v>
      </c>
      <c r="G52" t="str">
        <f ca="1"/>
        <v>Mahamudul Hasan Milon</v>
      </c>
      <c r="H52" t="str">
        <f ca="1"/>
        <v>Abdul Matin</v>
      </c>
      <c r="I52" t="str">
        <f ca="1"/>
        <v>MK Trading Corporation</v>
      </c>
      <c r="J52" t="str">
        <f ca="1"/>
        <v xml:space="preserve">Wari </v>
      </c>
      <c r="K52" t="str">
        <f ca="1"/>
        <v>LO00048</v>
      </c>
      <c r="L52" t="str">
        <f ca="1"/>
        <v>7100 4T 20W50 ESTER CORE®</v>
      </c>
      <c r="M52">
        <f ca="1"/>
        <v>240</v>
      </c>
      <c r="N52">
        <f ca="1"/>
        <v>1050</v>
      </c>
      <c r="O52">
        <f ca="1"/>
        <v>240</v>
      </c>
      <c r="P52">
        <f ca="1"/>
        <v>0</v>
      </c>
      <c r="Q52">
        <f ca="1"/>
        <v>0</v>
      </c>
      <c r="R52">
        <f ca="1"/>
        <v>1050</v>
      </c>
      <c r="S52">
        <f ca="1"/>
        <v>240</v>
      </c>
      <c r="T52">
        <f ca="1"/>
        <v>240</v>
      </c>
      <c r="U52">
        <f ca="1"/>
        <v>252000</v>
      </c>
      <c r="V52">
        <f ca="1"/>
        <v>0</v>
      </c>
      <c r="W52">
        <f ca="1"/>
        <v>252000</v>
      </c>
      <c r="X52">
        <f ca="1"/>
        <v>32869.565217391304</v>
      </c>
      <c r="Y52">
        <f ca="1"/>
        <v>219130.4347826087</v>
      </c>
      <c r="Z52" t="str">
        <f ca="1"/>
        <v/>
      </c>
      <c r="AA52">
        <f ca="1"/>
        <v>585</v>
      </c>
      <c r="AB52" t="str">
        <f ca="1"/>
        <v>Flat Discount</v>
      </c>
      <c r="AC52">
        <f ca="1"/>
        <v>45666</v>
      </c>
      <c r="AD52" t="str">
        <f ca="1"/>
        <v/>
      </c>
      <c r="AE52" t="str">
        <f ca="1"/>
        <v>Central</v>
      </c>
      <c r="AF52" t="str">
        <f ca="1"/>
        <v>Synthetic</v>
      </c>
      <c r="AG52" t="str">
        <f ca="1"/>
        <v>MCO</v>
      </c>
      <c r="AH52" t="str">
        <f ca="1"/>
        <v>20W50</v>
      </c>
      <c r="AI52" t="str">
        <f ca="1"/>
        <v>7100</v>
      </c>
      <c r="AJ52">
        <f ca="1"/>
        <v>0</v>
      </c>
      <c r="AK52" t="str">
        <f ca="1"/>
        <v>12x1L</v>
      </c>
      <c r="AL52">
        <f ca="1"/>
        <v>183287.61600000001</v>
      </c>
      <c r="AM52">
        <f ca="1"/>
        <v>35842.818782608694</v>
      </c>
      <c r="AN52" t="str">
        <f ca="1"/>
        <v>O-45666-D-0015</v>
      </c>
      <c r="AO52" t="str">
        <f ca="1"/>
        <v>Delivered</v>
      </c>
    </row>
    <row r="53" spans="1:41" x14ac:dyDescent="0.5">
      <c r="A53" t="str">
        <f ca="1"/>
        <v>F-116</v>
      </c>
      <c r="B53" s="1">
        <f ca="1"/>
        <v>45666</v>
      </c>
      <c r="C53" t="str">
        <f ca="1"/>
        <v>D-0015</v>
      </c>
      <c r="D53" t="str">
        <f ca="1"/>
        <v>Md. Mahbubur Rahman</v>
      </c>
      <c r="E53" t="str">
        <f ca="1"/>
        <v>26, City Corporation Market, Dayaganj, Dhaka-1100.</v>
      </c>
      <c r="F53" t="str">
        <f ca="1"/>
        <v>01911563926</v>
      </c>
      <c r="G53" t="str">
        <f ca="1"/>
        <v>Mahamudul Hasan Milon</v>
      </c>
      <c r="H53" t="str">
        <f ca="1"/>
        <v>Abdul Matin</v>
      </c>
      <c r="I53" t="str">
        <f ca="1"/>
        <v>MK Trading Corporation</v>
      </c>
      <c r="J53" t="str">
        <f ca="1"/>
        <v xml:space="preserve">Wari </v>
      </c>
      <c r="K53" t="str">
        <f ca="1"/>
        <v>LO00104</v>
      </c>
      <c r="L53" t="str">
        <f ca="1"/>
        <v>7100 4T 10W30 ESTER CORE®</v>
      </c>
      <c r="M53">
        <f ca="1"/>
        <v>200</v>
      </c>
      <c r="N53">
        <f ca="1"/>
        <v>1260</v>
      </c>
      <c r="O53">
        <f ca="1"/>
        <v>240</v>
      </c>
      <c r="P53">
        <f ca="1"/>
        <v>0</v>
      </c>
      <c r="Q53">
        <f ca="1"/>
        <v>0</v>
      </c>
      <c r="R53">
        <f ca="1"/>
        <v>1260</v>
      </c>
      <c r="S53">
        <f ca="1"/>
        <v>200</v>
      </c>
      <c r="T53">
        <f ca="1"/>
        <v>240</v>
      </c>
      <c r="U53">
        <f ca="1"/>
        <v>252000</v>
      </c>
      <c r="V53">
        <f ca="1"/>
        <v>0</v>
      </c>
      <c r="W53">
        <f ca="1"/>
        <v>252000</v>
      </c>
      <c r="X53">
        <f ca="1"/>
        <v>32869.565217391304</v>
      </c>
      <c r="Y53">
        <f ca="1"/>
        <v>219130.4347826087</v>
      </c>
      <c r="Z53" t="str">
        <f ca="1"/>
        <v/>
      </c>
      <c r="AA53">
        <f ca="1"/>
        <v>585</v>
      </c>
      <c r="AB53" t="str">
        <f ca="1"/>
        <v>Flat Discount</v>
      </c>
      <c r="AC53">
        <f ca="1"/>
        <v>45666</v>
      </c>
      <c r="AD53" t="str">
        <f ca="1"/>
        <v/>
      </c>
      <c r="AE53" t="str">
        <f ca="1"/>
        <v>Central</v>
      </c>
      <c r="AF53" t="str">
        <f ca="1"/>
        <v>Synthetic</v>
      </c>
      <c r="AG53" t="str">
        <f ca="1"/>
        <v>MCO</v>
      </c>
      <c r="AH53" t="str">
        <f ca="1"/>
        <v>10W30</v>
      </c>
      <c r="AI53" t="str">
        <f ca="1"/>
        <v>7100</v>
      </c>
      <c r="AJ53">
        <f ca="1"/>
        <v>0</v>
      </c>
      <c r="AK53" t="str">
        <f ca="1"/>
        <v>20x1.2L</v>
      </c>
      <c r="AL53">
        <f ca="1"/>
        <v>155460</v>
      </c>
      <c r="AM53">
        <f ca="1"/>
        <v>63670.434782608703</v>
      </c>
      <c r="AN53" t="str">
        <f ca="1"/>
        <v>O-45666-D-0015</v>
      </c>
      <c r="AO53" t="str">
        <f ca="1"/>
        <v>Delivered</v>
      </c>
    </row>
    <row r="54" spans="1:41" x14ac:dyDescent="0.5">
      <c r="A54" t="str">
        <f ca="1"/>
        <v>F-116</v>
      </c>
      <c r="B54" s="1">
        <f ca="1"/>
        <v>45666</v>
      </c>
      <c r="C54" t="str">
        <f ca="1"/>
        <v>D-0015</v>
      </c>
      <c r="D54" t="str">
        <f ca="1"/>
        <v>Md. Mahbubur Rahman</v>
      </c>
      <c r="E54" t="str">
        <f ca="1"/>
        <v>26, City Corporation Market, Dayaganj, Dhaka-1100.</v>
      </c>
      <c r="F54" t="str">
        <f ca="1"/>
        <v>01911563926</v>
      </c>
      <c r="G54" t="str">
        <f ca="1"/>
        <v>Mahamudul Hasan Milon</v>
      </c>
      <c r="H54" t="str">
        <f ca="1"/>
        <v>Abdul Matin</v>
      </c>
      <c r="I54" t="str">
        <f ca="1"/>
        <v>MK Trading Corporation</v>
      </c>
      <c r="J54" t="str">
        <f ca="1"/>
        <v xml:space="preserve">Wari </v>
      </c>
      <c r="K54" t="str">
        <f ca="1"/>
        <v>LO00119</v>
      </c>
      <c r="L54" t="str">
        <f ca="1"/>
        <v>3000 4T 20W50</v>
      </c>
      <c r="M54">
        <f ca="1"/>
        <v>200</v>
      </c>
      <c r="N54">
        <f ca="1"/>
        <v>480</v>
      </c>
      <c r="O54">
        <f ca="1"/>
        <v>200</v>
      </c>
      <c r="P54">
        <f ca="1"/>
        <v>0</v>
      </c>
      <c r="Q54">
        <f ca="1"/>
        <v>0</v>
      </c>
      <c r="R54">
        <f ca="1"/>
        <v>480</v>
      </c>
      <c r="S54">
        <f ca="1"/>
        <v>200</v>
      </c>
      <c r="T54">
        <f ca="1"/>
        <v>200</v>
      </c>
      <c r="U54">
        <f ca="1"/>
        <v>96000</v>
      </c>
      <c r="V54">
        <f ca="1"/>
        <v>0</v>
      </c>
      <c r="W54">
        <f ca="1"/>
        <v>96000</v>
      </c>
      <c r="X54">
        <f ca="1"/>
        <v>12521.739130434782</v>
      </c>
      <c r="Y54">
        <f ca="1"/>
        <v>83478.260869565216</v>
      </c>
      <c r="Z54" t="str">
        <f ca="1"/>
        <v/>
      </c>
      <c r="AA54">
        <f ca="1"/>
        <v>585</v>
      </c>
      <c r="AB54" t="str">
        <f ca="1"/>
        <v>Flat Discount</v>
      </c>
      <c r="AC54">
        <f ca="1"/>
        <v>45666</v>
      </c>
      <c r="AD54" t="str">
        <f ca="1"/>
        <v/>
      </c>
      <c r="AE54" t="str">
        <f ca="1"/>
        <v>Central</v>
      </c>
      <c r="AF54" t="str">
        <f ca="1"/>
        <v>Mineral</v>
      </c>
      <c r="AG54" t="str">
        <f ca="1"/>
        <v>MCO</v>
      </c>
      <c r="AH54" t="str">
        <f ca="1"/>
        <v>20W50</v>
      </c>
      <c r="AI54" t="str">
        <f ca="1"/>
        <v>3000</v>
      </c>
      <c r="AJ54">
        <f ca="1"/>
        <v>0</v>
      </c>
      <c r="AK54" t="str">
        <f ca="1"/>
        <v>20x1L</v>
      </c>
      <c r="AL54">
        <f ca="1"/>
        <v>72984</v>
      </c>
      <c r="AM54">
        <f ca="1"/>
        <v>10494.260869565216</v>
      </c>
      <c r="AN54" t="str">
        <f ca="1"/>
        <v>O-45666-D-0015</v>
      </c>
      <c r="AO54" t="str">
        <f ca="1"/>
        <v>Delivered</v>
      </c>
    </row>
    <row r="55" spans="1:41" x14ac:dyDescent="0.5">
      <c r="A55" t="str">
        <f ca="1"/>
        <v>F-116</v>
      </c>
      <c r="B55" s="1">
        <f ca="1"/>
        <v>45666</v>
      </c>
      <c r="C55" t="str">
        <f ca="1"/>
        <v>D-0015</v>
      </c>
      <c r="D55" t="str">
        <f ca="1"/>
        <v>Md. Mahbubur Rahman</v>
      </c>
      <c r="E55" t="str">
        <f ca="1"/>
        <v>26, City Corporation Market, Dayaganj, Dhaka-1100.</v>
      </c>
      <c r="F55" t="str">
        <f ca="1"/>
        <v>01911563926</v>
      </c>
      <c r="G55" t="str">
        <f ca="1"/>
        <v>Mahamudul Hasan Milon</v>
      </c>
      <c r="H55" t="str">
        <f ca="1"/>
        <v>Abdul Matin</v>
      </c>
      <c r="I55" t="str">
        <f ca="1"/>
        <v>MK Trading Corporation</v>
      </c>
      <c r="J55" t="str">
        <f ca="1"/>
        <v xml:space="preserve">Wari </v>
      </c>
      <c r="K55" t="str">
        <f ca="1"/>
        <v>LO00120</v>
      </c>
      <c r="L55" t="str">
        <f ca="1"/>
        <v>3000 4T 20W50</v>
      </c>
      <c r="M55">
        <f ca="1"/>
        <v>200</v>
      </c>
      <c r="N55">
        <f ca="1"/>
        <v>570</v>
      </c>
      <c r="O55">
        <f ca="1"/>
        <v>240</v>
      </c>
      <c r="P55">
        <f ca="1"/>
        <v>0</v>
      </c>
      <c r="Q55">
        <f ca="1"/>
        <v>0</v>
      </c>
      <c r="R55">
        <f ca="1"/>
        <v>570</v>
      </c>
      <c r="S55">
        <f ca="1"/>
        <v>200</v>
      </c>
      <c r="T55">
        <f ca="1"/>
        <v>240</v>
      </c>
      <c r="U55">
        <f ca="1"/>
        <v>114000</v>
      </c>
      <c r="V55">
        <f ca="1"/>
        <v>0</v>
      </c>
      <c r="W55">
        <f ca="1"/>
        <v>114000</v>
      </c>
      <c r="X55">
        <f ca="1"/>
        <v>14869.565217391304</v>
      </c>
      <c r="Y55">
        <f ca="1"/>
        <v>99130.434782608689</v>
      </c>
      <c r="Z55" t="str">
        <f ca="1"/>
        <v/>
      </c>
      <c r="AA55">
        <f ca="1"/>
        <v>585</v>
      </c>
      <c r="AB55" t="str">
        <f ca="1"/>
        <v>Flat Discount</v>
      </c>
      <c r="AC55">
        <f ca="1"/>
        <v>45666</v>
      </c>
      <c r="AD55" t="str">
        <f ca="1"/>
        <v/>
      </c>
      <c r="AE55" t="str">
        <f ca="1"/>
        <v>Central</v>
      </c>
      <c r="AF55" t="str">
        <f ca="1"/>
        <v>Mineral</v>
      </c>
      <c r="AG55" t="str">
        <f ca="1"/>
        <v>MCO</v>
      </c>
      <c r="AH55" t="str">
        <f ca="1"/>
        <v>20W50</v>
      </c>
      <c r="AI55" t="str">
        <f ca="1"/>
        <v>3000</v>
      </c>
      <c r="AJ55">
        <f ca="1"/>
        <v>0</v>
      </c>
      <c r="AK55" t="str">
        <f ca="1"/>
        <v>20x1.2L</v>
      </c>
      <c r="AL55">
        <f ca="1"/>
        <v>86922</v>
      </c>
      <c r="AM55">
        <f ca="1"/>
        <v>12208.434782608689</v>
      </c>
      <c r="AN55" t="str">
        <f ca="1"/>
        <v>O-45666-D-0015</v>
      </c>
      <c r="AO55" t="str">
        <f ca="1"/>
        <v>Delivered</v>
      </c>
    </row>
    <row r="56" spans="1:41" x14ac:dyDescent="0.5">
      <c r="A56" t="str">
        <f ca="1"/>
        <v>F-117</v>
      </c>
      <c r="B56" s="1">
        <f ca="1"/>
        <v>45669</v>
      </c>
      <c r="C56" t="str">
        <f ca="1"/>
        <v>D-0006</v>
      </c>
      <c r="D56" t="str">
        <f ca="1"/>
        <v>Irma Motors</v>
      </c>
      <c r="E56" t="str">
        <f ca="1"/>
        <v>Dewan Plaza, Section-06, Plot-08, Road-01, Mirpur-10.</v>
      </c>
      <c r="F56" t="str">
        <f ca="1"/>
        <v>01627189035</v>
      </c>
      <c r="G56" t="str">
        <f ca="1"/>
        <v>Sayed Al Amin Apu</v>
      </c>
      <c r="H56" t="str">
        <f ca="1"/>
        <v>Abdul Matin</v>
      </c>
      <c r="I56" t="str">
        <f ca="1"/>
        <v>Maliha Enterprise</v>
      </c>
      <c r="J56" t="str">
        <f ca="1"/>
        <v>Savar</v>
      </c>
      <c r="K56" t="str">
        <f ca="1"/>
        <v>LO00104</v>
      </c>
      <c r="L56" t="str">
        <f ca="1"/>
        <v>7100 4T 10W30 ESTER CORE®</v>
      </c>
      <c r="M56">
        <f ca="1"/>
        <v>40</v>
      </c>
      <c r="N56">
        <f ca="1"/>
        <v>1270</v>
      </c>
      <c r="O56">
        <f ca="1"/>
        <v>48</v>
      </c>
      <c r="P56">
        <f ca="1"/>
        <v>0</v>
      </c>
      <c r="Q56">
        <f ca="1"/>
        <v>0</v>
      </c>
      <c r="R56">
        <f ca="1"/>
        <v>1270</v>
      </c>
      <c r="S56">
        <f ca="1"/>
        <v>40</v>
      </c>
      <c r="T56">
        <f ca="1"/>
        <v>48</v>
      </c>
      <c r="U56">
        <f ca="1"/>
        <v>50800</v>
      </c>
      <c r="V56">
        <f ca="1"/>
        <v>0</v>
      </c>
      <c r="W56">
        <f ca="1"/>
        <v>50800</v>
      </c>
      <c r="X56">
        <f ca="1"/>
        <v>6626.086956521739</v>
      </c>
      <c r="Y56">
        <f ca="1"/>
        <v>44173.913043478264</v>
      </c>
      <c r="Z56" t="str">
        <f ca="1"/>
        <v>Cash</v>
      </c>
      <c r="AA56">
        <f ca="1"/>
        <v>586</v>
      </c>
      <c r="AB56" t="str">
        <f ca="1"/>
        <v>Flat Discount</v>
      </c>
      <c r="AC56">
        <f ca="1"/>
        <v>45670</v>
      </c>
      <c r="AD56" t="str">
        <f ca="1"/>
        <v>It will be home delivery.</v>
      </c>
      <c r="AE56" t="str">
        <f ca="1"/>
        <v>Central</v>
      </c>
      <c r="AF56" t="str">
        <f ca="1"/>
        <v>Synthetic</v>
      </c>
      <c r="AG56" t="str">
        <f ca="1"/>
        <v>MCO</v>
      </c>
      <c r="AH56" t="str">
        <f ca="1"/>
        <v>10W30</v>
      </c>
      <c r="AI56" t="str">
        <f ca="1"/>
        <v>7100</v>
      </c>
      <c r="AJ56">
        <f ca="1"/>
        <v>0</v>
      </c>
      <c r="AK56" t="str">
        <f ca="1"/>
        <v>20x1.2L</v>
      </c>
      <c r="AL56">
        <f ca="1"/>
        <v>31092</v>
      </c>
      <c r="AM56">
        <f ca="1"/>
        <v>13081.913043478264</v>
      </c>
      <c r="AN56" t="str">
        <f ca="1"/>
        <v>O-45669-D-0006</v>
      </c>
      <c r="AO56" t="str">
        <f ca="1"/>
        <v>Delivered</v>
      </c>
    </row>
    <row r="57" spans="1:41" x14ac:dyDescent="0.5">
      <c r="A57" t="str">
        <f ca="1"/>
        <v>F-117</v>
      </c>
      <c r="B57" s="1">
        <f ca="1"/>
        <v>45669</v>
      </c>
      <c r="C57" t="str">
        <f ca="1"/>
        <v>D-0006</v>
      </c>
      <c r="D57" t="str">
        <f ca="1"/>
        <v>Irma Motors</v>
      </c>
      <c r="E57" t="str">
        <f ca="1"/>
        <v>Dewan Plaza, Section-06, Plot-08, Road-01, Mirpur-10.</v>
      </c>
      <c r="F57" t="str">
        <f ca="1"/>
        <v>01627189035</v>
      </c>
      <c r="G57" t="str">
        <f ca="1"/>
        <v>Sayed Al Amin Apu</v>
      </c>
      <c r="H57" t="str">
        <f ca="1"/>
        <v>Abdul Matin</v>
      </c>
      <c r="I57" t="str">
        <f ca="1"/>
        <v>Maliha Enterprise</v>
      </c>
      <c r="J57" t="str">
        <f ca="1"/>
        <v>Savar</v>
      </c>
      <c r="K57" t="str">
        <f ca="1"/>
        <v>LO00120</v>
      </c>
      <c r="L57" t="str">
        <f ca="1"/>
        <v>3000 4T 20W50</v>
      </c>
      <c r="M57">
        <f ca="1"/>
        <v>100</v>
      </c>
      <c r="N57">
        <f ca="1"/>
        <v>595</v>
      </c>
      <c r="O57">
        <f ca="1"/>
        <v>120</v>
      </c>
      <c r="P57">
        <f ca="1"/>
        <v>0</v>
      </c>
      <c r="Q57">
        <f ca="1"/>
        <v>0</v>
      </c>
      <c r="R57">
        <f ca="1"/>
        <v>595</v>
      </c>
      <c r="S57">
        <f ca="1"/>
        <v>100</v>
      </c>
      <c r="T57">
        <f ca="1"/>
        <v>120</v>
      </c>
      <c r="U57">
        <f ca="1"/>
        <v>59500</v>
      </c>
      <c r="V57">
        <f ca="1"/>
        <v>0</v>
      </c>
      <c r="W57">
        <f ca="1"/>
        <v>59500</v>
      </c>
      <c r="X57">
        <f ca="1"/>
        <v>7760.869565217391</v>
      </c>
      <c r="Y57">
        <f ca="1"/>
        <v>51739.130434782608</v>
      </c>
      <c r="Z57" t="str">
        <f ca="1"/>
        <v>Cash</v>
      </c>
      <c r="AA57">
        <f ca="1"/>
        <v>586</v>
      </c>
      <c r="AB57" t="str">
        <f ca="1"/>
        <v>Flat Discount</v>
      </c>
      <c r="AC57">
        <f ca="1"/>
        <v>45670</v>
      </c>
      <c r="AD57" t="str">
        <f ca="1"/>
        <v>It will be home delivery.</v>
      </c>
      <c r="AE57" t="str">
        <f ca="1"/>
        <v>Central</v>
      </c>
      <c r="AF57" t="str">
        <f ca="1"/>
        <v>Mineral</v>
      </c>
      <c r="AG57" t="str">
        <f ca="1"/>
        <v>MCO</v>
      </c>
      <c r="AH57" t="str">
        <f ca="1"/>
        <v>20W50</v>
      </c>
      <c r="AI57" t="str">
        <f ca="1"/>
        <v>3000</v>
      </c>
      <c r="AJ57">
        <f ca="1"/>
        <v>0</v>
      </c>
      <c r="AK57" t="str">
        <f ca="1"/>
        <v>20x1.2L</v>
      </c>
      <c r="AL57">
        <f ca="1"/>
        <v>43461</v>
      </c>
      <c r="AM57">
        <f ca="1"/>
        <v>8278.1304347826081</v>
      </c>
      <c r="AN57" t="str">
        <f ca="1"/>
        <v>O-45669-D-0006</v>
      </c>
      <c r="AO57" t="str">
        <f ca="1"/>
        <v>Delivered</v>
      </c>
    </row>
    <row r="58" spans="1:41" x14ac:dyDescent="0.5">
      <c r="A58" t="str">
        <f ca="1"/>
        <v>F-118</v>
      </c>
      <c r="B58" s="1">
        <f ca="1"/>
        <v>45669</v>
      </c>
      <c r="C58" t="str">
        <f ca="1"/>
        <v>D-0003</v>
      </c>
      <c r="D58" t="str">
        <f ca="1"/>
        <v>Bike Fashion</v>
      </c>
      <c r="E58" t="str">
        <f ca="1"/>
        <v>Kodalipol, Moulvibazar</v>
      </c>
      <c r="F58" t="str">
        <f ca="1"/>
        <v>01784-667321</v>
      </c>
      <c r="G58" t="str">
        <f ca="1"/>
        <v>Md. Robin Sheikh</v>
      </c>
      <c r="H58" t="str">
        <f ca="1"/>
        <v>Razur Rahman (Bipul)</v>
      </c>
      <c r="I58" t="str">
        <f ca="1"/>
        <v>Bajaj Parts Center</v>
      </c>
      <c r="J58" t="str">
        <f ca="1"/>
        <v>Taltola</v>
      </c>
      <c r="K58" t="str">
        <f ca="1"/>
        <v>LO00043</v>
      </c>
      <c r="L58" t="str">
        <f ca="1"/>
        <v>3000 4T PLUS 10W40</v>
      </c>
      <c r="M58">
        <f ca="1"/>
        <v>40</v>
      </c>
      <c r="N58">
        <f ca="1"/>
        <v>535</v>
      </c>
      <c r="O58">
        <f ca="1"/>
        <v>40</v>
      </c>
      <c r="P58">
        <f ca="1"/>
        <v>0</v>
      </c>
      <c r="Q58">
        <f ca="1"/>
        <v>0</v>
      </c>
      <c r="R58">
        <f ca="1"/>
        <v>535</v>
      </c>
      <c r="S58">
        <f ca="1"/>
        <v>40</v>
      </c>
      <c r="T58">
        <f ca="1"/>
        <v>40</v>
      </c>
      <c r="U58">
        <f ca="1"/>
        <v>21400</v>
      </c>
      <c r="V58">
        <f ca="1"/>
        <v>0</v>
      </c>
      <c r="W58">
        <f ca="1"/>
        <v>21400</v>
      </c>
      <c r="X58">
        <f ca="1"/>
        <v>2791.304347826087</v>
      </c>
      <c r="Y58">
        <f ca="1"/>
        <v>18608.695652173912</v>
      </c>
      <c r="Z58" t="str">
        <f ca="1"/>
        <v>Cash</v>
      </c>
      <c r="AA58">
        <f ca="1"/>
        <v>587</v>
      </c>
      <c r="AB58" t="str">
        <f ca="1"/>
        <v>Flat Discount</v>
      </c>
      <c r="AC58">
        <f ca="1"/>
        <v>45672</v>
      </c>
      <c r="AD58" t="str">
        <f ca="1"/>
        <v/>
      </c>
      <c r="AE58" t="str">
        <f ca="1"/>
        <v>Eastern</v>
      </c>
      <c r="AF58" t="str">
        <f ca="1"/>
        <v>Mineral</v>
      </c>
      <c r="AG58" t="str">
        <f ca="1"/>
        <v>MCO</v>
      </c>
      <c r="AH58" t="str">
        <f ca="1"/>
        <v>10W40</v>
      </c>
      <c r="AI58" t="str">
        <f ca="1"/>
        <v>3000</v>
      </c>
      <c r="AJ58">
        <f ca="1"/>
        <v>0</v>
      </c>
      <c r="AK58" t="str">
        <f ca="1"/>
        <v>20x1L</v>
      </c>
      <c r="AL58">
        <f ca="1"/>
        <v>15394</v>
      </c>
      <c r="AM58">
        <f ca="1"/>
        <v>3214.6956521739121</v>
      </c>
      <c r="AN58" t="str">
        <f ca="1"/>
        <v>O-45669-D-0003</v>
      </c>
      <c r="AO58" t="str">
        <f ca="1"/>
        <v>Delivered</v>
      </c>
    </row>
    <row r="59" spans="1:41" x14ac:dyDescent="0.5">
      <c r="A59" t="str">
        <f ca="1"/>
        <v>F-118</v>
      </c>
      <c r="B59" s="1">
        <f ca="1"/>
        <v>45669</v>
      </c>
      <c r="C59" t="str">
        <f ca="1"/>
        <v>D-0003</v>
      </c>
      <c r="D59" t="str">
        <f ca="1"/>
        <v>Bike Fashion</v>
      </c>
      <c r="E59" t="str">
        <f ca="1"/>
        <v>Kodalipol, Moulvibazar</v>
      </c>
      <c r="F59" t="str">
        <f ca="1"/>
        <v>01784-667321</v>
      </c>
      <c r="G59" t="str">
        <f ca="1"/>
        <v>Md. Robin Sheikh</v>
      </c>
      <c r="H59" t="str">
        <f ca="1"/>
        <v>Razur Rahman (Bipul)</v>
      </c>
      <c r="I59" t="str">
        <f ca="1"/>
        <v>Bajaj Parts Center</v>
      </c>
      <c r="J59" t="str">
        <f ca="1"/>
        <v>Taltola</v>
      </c>
      <c r="K59" t="str">
        <f ca="1"/>
        <v>LO00073</v>
      </c>
      <c r="L59" t="str">
        <f ca="1"/>
        <v>3000 4T PLUS 10W30</v>
      </c>
      <c r="M59">
        <f ca="1"/>
        <v>20</v>
      </c>
      <c r="N59">
        <f ca="1"/>
        <v>640</v>
      </c>
      <c r="O59">
        <f ca="1"/>
        <v>24</v>
      </c>
      <c r="P59">
        <f ca="1"/>
        <v>0</v>
      </c>
      <c r="Q59">
        <f ca="1"/>
        <v>0</v>
      </c>
      <c r="R59">
        <f ca="1"/>
        <v>640</v>
      </c>
      <c r="S59">
        <f ca="1"/>
        <v>20</v>
      </c>
      <c r="T59">
        <f ca="1"/>
        <v>24</v>
      </c>
      <c r="U59">
        <f ca="1"/>
        <v>12800</v>
      </c>
      <c r="V59">
        <f ca="1"/>
        <v>0</v>
      </c>
      <c r="W59">
        <f ca="1"/>
        <v>12800</v>
      </c>
      <c r="X59">
        <f ca="1"/>
        <v>1669.5652173913043</v>
      </c>
      <c r="Y59">
        <f ca="1"/>
        <v>11130.434782608696</v>
      </c>
      <c r="Z59" t="str">
        <f ca="1"/>
        <v>Cash</v>
      </c>
      <c r="AA59">
        <f ca="1"/>
        <v>587</v>
      </c>
      <c r="AB59" t="str">
        <f ca="1"/>
        <v>Flat Discount</v>
      </c>
      <c r="AC59">
        <f ca="1"/>
        <v>45672</v>
      </c>
      <c r="AD59" t="str">
        <f ca="1"/>
        <v/>
      </c>
      <c r="AE59" t="str">
        <f ca="1"/>
        <v>Eastern</v>
      </c>
      <c r="AF59" t="str">
        <f ca="1"/>
        <v>Mineral</v>
      </c>
      <c r="AG59" t="str">
        <f ca="1"/>
        <v>MCO</v>
      </c>
      <c r="AH59" t="str">
        <f ca="1"/>
        <v>10W30</v>
      </c>
      <c r="AI59" t="str">
        <f ca="1"/>
        <v>3000</v>
      </c>
      <c r="AJ59">
        <f ca="1"/>
        <v>0</v>
      </c>
      <c r="AK59" t="str">
        <f ca="1"/>
        <v>20x1.2L</v>
      </c>
      <c r="AL59">
        <f ca="1"/>
        <v>8778</v>
      </c>
      <c r="AM59">
        <f ca="1"/>
        <v>2352.434782608696</v>
      </c>
      <c r="AN59" t="str">
        <f ca="1"/>
        <v>O-45669-D-0003</v>
      </c>
      <c r="AO59" t="str">
        <f ca="1"/>
        <v>Delivered</v>
      </c>
    </row>
    <row r="60" spans="1:41" x14ac:dyDescent="0.5">
      <c r="A60" t="str">
        <f ca="1"/>
        <v>F-118</v>
      </c>
      <c r="B60" s="1">
        <f ca="1"/>
        <v>45669</v>
      </c>
      <c r="C60" t="str">
        <f ca="1"/>
        <v>D-0003</v>
      </c>
      <c r="D60" t="str">
        <f ca="1"/>
        <v>Bike Fashion</v>
      </c>
      <c r="E60" t="str">
        <f ca="1"/>
        <v>Kodalipol, Moulvibazar</v>
      </c>
      <c r="F60" t="str">
        <f ca="1"/>
        <v>01784-667321</v>
      </c>
      <c r="G60" t="str">
        <f ca="1"/>
        <v>Md. Robin Sheikh</v>
      </c>
      <c r="H60" t="str">
        <f ca="1"/>
        <v>Razur Rahman (Bipul)</v>
      </c>
      <c r="I60" t="str">
        <f ca="1"/>
        <v>Bajaj Parts Center</v>
      </c>
      <c r="J60" t="str">
        <f ca="1"/>
        <v>Taltola</v>
      </c>
      <c r="K60" t="str">
        <f ca="1"/>
        <v>LO00048</v>
      </c>
      <c r="L60" t="str">
        <f ca="1"/>
        <v>7100 4T 20W50 ESTER CORE®</v>
      </c>
      <c r="M60">
        <f ca="1"/>
        <v>12</v>
      </c>
      <c r="N60">
        <f ca="1"/>
        <v>1070</v>
      </c>
      <c r="O60">
        <f ca="1"/>
        <v>12</v>
      </c>
      <c r="P60">
        <f ca="1"/>
        <v>0</v>
      </c>
      <c r="Q60">
        <f ca="1"/>
        <v>0</v>
      </c>
      <c r="R60">
        <f ca="1"/>
        <v>1070</v>
      </c>
      <c r="S60">
        <f ca="1"/>
        <v>12</v>
      </c>
      <c r="T60">
        <f ca="1"/>
        <v>12</v>
      </c>
      <c r="U60">
        <f ca="1"/>
        <v>12840</v>
      </c>
      <c r="V60">
        <f ca="1"/>
        <v>0</v>
      </c>
      <c r="W60">
        <f ca="1"/>
        <v>12840</v>
      </c>
      <c r="X60">
        <f ca="1"/>
        <v>1674.7826086956522</v>
      </c>
      <c r="Y60">
        <f ca="1"/>
        <v>11165.217391304348</v>
      </c>
      <c r="Z60" t="str">
        <f ca="1"/>
        <v>Cash</v>
      </c>
      <c r="AA60">
        <f ca="1"/>
        <v>587</v>
      </c>
      <c r="AB60" t="str">
        <f ca="1"/>
        <v>Flat Discount</v>
      </c>
      <c r="AC60">
        <f ca="1"/>
        <v>45672</v>
      </c>
      <c r="AD60" t="str">
        <f ca="1"/>
        <v/>
      </c>
      <c r="AE60" t="str">
        <f ca="1"/>
        <v>Eastern</v>
      </c>
      <c r="AF60" t="str">
        <f ca="1"/>
        <v>Synthetic</v>
      </c>
      <c r="AG60" t="str">
        <f ca="1"/>
        <v>MCO</v>
      </c>
      <c r="AH60" t="str">
        <f ca="1"/>
        <v>20W50</v>
      </c>
      <c r="AI60" t="str">
        <f ca="1"/>
        <v>7100</v>
      </c>
      <c r="AJ60">
        <f ca="1"/>
        <v>0</v>
      </c>
      <c r="AK60" t="str">
        <f ca="1"/>
        <v>12x1L</v>
      </c>
      <c r="AL60">
        <f ca="1"/>
        <v>9164.380799999999</v>
      </c>
      <c r="AM60">
        <f ca="1"/>
        <v>2000.836591304349</v>
      </c>
      <c r="AN60" t="str">
        <f ca="1"/>
        <v>O-45669-D-0003</v>
      </c>
      <c r="AO60" t="str">
        <f ca="1"/>
        <v>Delivered</v>
      </c>
    </row>
    <row r="61" spans="1:41" x14ac:dyDescent="0.5">
      <c r="A61" t="str">
        <f ca="1"/>
        <v>F-119</v>
      </c>
      <c r="B61" s="1">
        <f ca="1"/>
        <v>45671</v>
      </c>
      <c r="C61" t="str">
        <f ca="1"/>
        <v>D-0023</v>
      </c>
      <c r="D61" t="str">
        <f ca="1"/>
        <v xml:space="preserve">New Bishass Enterprise </v>
      </c>
      <c r="E61" t="str">
        <f ca="1"/>
        <v>Mymensingh</v>
      </c>
      <c r="F61" t="str">
        <f ca="1"/>
        <v>01779-090991</v>
      </c>
      <c r="G61" t="str">
        <f ca="1"/>
        <v>Monirul Islam</v>
      </c>
      <c r="H61" t="str">
        <f ca="1"/>
        <v>Raihan Siddiqui</v>
      </c>
      <c r="I61" t="str">
        <f ca="1"/>
        <v>Bondhu Motors</v>
      </c>
      <c r="J61" t="str">
        <f ca="1"/>
        <v>Rangpur</v>
      </c>
      <c r="K61" t="str">
        <f ca="1"/>
        <v>LO00043</v>
      </c>
      <c r="L61" t="str">
        <f ca="1"/>
        <v>3000 4T PLUS 10W40</v>
      </c>
      <c r="M61">
        <f ca="1"/>
        <v>40</v>
      </c>
      <c r="N61">
        <f ca="1"/>
        <v>535</v>
      </c>
      <c r="O61">
        <f ca="1"/>
        <v>40</v>
      </c>
      <c r="P61">
        <f ca="1"/>
        <v>0</v>
      </c>
      <c r="Q61">
        <f ca="1"/>
        <v>0</v>
      </c>
      <c r="R61">
        <f ca="1"/>
        <v>535</v>
      </c>
      <c r="S61">
        <f ca="1"/>
        <v>40</v>
      </c>
      <c r="T61">
        <f ca="1"/>
        <v>40</v>
      </c>
      <c r="U61">
        <f ca="1"/>
        <v>21400</v>
      </c>
      <c r="V61">
        <f ca="1"/>
        <v>0</v>
      </c>
      <c r="W61">
        <f ca="1"/>
        <v>21400</v>
      </c>
      <c r="X61">
        <f ca="1"/>
        <v>2791.304347826087</v>
      </c>
      <c r="Y61">
        <f ca="1"/>
        <v>18608.695652173912</v>
      </c>
      <c r="Z61" t="str">
        <f ca="1"/>
        <v>Cash</v>
      </c>
      <c r="AA61">
        <f ca="1"/>
        <v>588</v>
      </c>
      <c r="AB61" t="str">
        <f ca="1"/>
        <v>Flat Discount</v>
      </c>
      <c r="AC61">
        <f ca="1"/>
        <v>45672</v>
      </c>
      <c r="AD61" t="str">
        <f ca="1"/>
        <v/>
      </c>
      <c r="AE61" t="str">
        <f ca="1"/>
        <v>Northern</v>
      </c>
      <c r="AF61" t="str">
        <f ca="1"/>
        <v>Mineral</v>
      </c>
      <c r="AG61" t="str">
        <f ca="1"/>
        <v>MCO</v>
      </c>
      <c r="AH61" t="str">
        <f ca="1"/>
        <v>10W40</v>
      </c>
      <c r="AI61" t="str">
        <f ca="1"/>
        <v>3000</v>
      </c>
      <c r="AJ61">
        <f ca="1"/>
        <v>0</v>
      </c>
      <c r="AK61" t="str">
        <f ca="1"/>
        <v>20x1L</v>
      </c>
      <c r="AL61">
        <f ca="1"/>
        <v>15394</v>
      </c>
      <c r="AM61">
        <f ca="1"/>
        <v>3214.6956521739121</v>
      </c>
      <c r="AN61" t="str">
        <f ca="1"/>
        <v>O-45671-D-0023</v>
      </c>
      <c r="AO61" t="str">
        <f ca="1"/>
        <v>Delivered</v>
      </c>
    </row>
    <row r="62" spans="1:41" x14ac:dyDescent="0.5">
      <c r="A62" t="str">
        <f ca="1"/>
        <v>F-119</v>
      </c>
      <c r="B62" s="1">
        <f ca="1"/>
        <v>45671</v>
      </c>
      <c r="C62" t="str">
        <f ca="1"/>
        <v>D-0023</v>
      </c>
      <c r="D62" t="str">
        <f ca="1"/>
        <v xml:space="preserve">New Bishass Enterprise </v>
      </c>
      <c r="E62" t="str">
        <f ca="1"/>
        <v>Mymensingh</v>
      </c>
      <c r="F62" t="str">
        <f ca="1"/>
        <v>01779-090991</v>
      </c>
      <c r="G62" t="str">
        <f ca="1"/>
        <v>Monirul Islam</v>
      </c>
      <c r="H62" t="str">
        <f ca="1"/>
        <v>Raihan Siddiqui</v>
      </c>
      <c r="I62" t="str">
        <f ca="1"/>
        <v>Bondhu Motors</v>
      </c>
      <c r="J62" t="str">
        <f ca="1"/>
        <v>Rangpur</v>
      </c>
      <c r="K62" t="str">
        <f ca="1"/>
        <v>LO00073</v>
      </c>
      <c r="L62" t="str">
        <f ca="1"/>
        <v>3000 4T PLUS 10W30</v>
      </c>
      <c r="M62">
        <f ca="1"/>
        <v>20</v>
      </c>
      <c r="N62">
        <f ca="1"/>
        <v>640</v>
      </c>
      <c r="O62">
        <f ca="1"/>
        <v>24</v>
      </c>
      <c r="P62">
        <f ca="1"/>
        <v>0</v>
      </c>
      <c r="Q62">
        <f ca="1"/>
        <v>0</v>
      </c>
      <c r="R62">
        <f ca="1"/>
        <v>640</v>
      </c>
      <c r="S62">
        <f ca="1"/>
        <v>20</v>
      </c>
      <c r="T62">
        <f ca="1"/>
        <v>24</v>
      </c>
      <c r="U62">
        <f ca="1"/>
        <v>12800</v>
      </c>
      <c r="V62">
        <f ca="1"/>
        <v>0</v>
      </c>
      <c r="W62">
        <f ca="1"/>
        <v>12800</v>
      </c>
      <c r="X62">
        <f ca="1"/>
        <v>1669.5652173913043</v>
      </c>
      <c r="Y62">
        <f ca="1"/>
        <v>11130.434782608696</v>
      </c>
      <c r="Z62" t="str">
        <f ca="1"/>
        <v>Cash</v>
      </c>
      <c r="AA62">
        <f ca="1"/>
        <v>588</v>
      </c>
      <c r="AB62" t="str">
        <f ca="1"/>
        <v>Flat Discount</v>
      </c>
      <c r="AC62">
        <f ca="1"/>
        <v>45672</v>
      </c>
      <c r="AD62" t="str">
        <f ca="1"/>
        <v/>
      </c>
      <c r="AE62" t="str">
        <f ca="1"/>
        <v>Northern</v>
      </c>
      <c r="AF62" t="str">
        <f ca="1"/>
        <v>Mineral</v>
      </c>
      <c r="AG62" t="str">
        <f ca="1"/>
        <v>MCO</v>
      </c>
      <c r="AH62" t="str">
        <f ca="1"/>
        <v>10W30</v>
      </c>
      <c r="AI62" t="str">
        <f ca="1"/>
        <v>3000</v>
      </c>
      <c r="AJ62">
        <f ca="1"/>
        <v>0</v>
      </c>
      <c r="AK62" t="str">
        <f ca="1"/>
        <v>20x1.2L</v>
      </c>
      <c r="AL62">
        <f ca="1"/>
        <v>8778</v>
      </c>
      <c r="AM62">
        <f ca="1"/>
        <v>2352.434782608696</v>
      </c>
      <c r="AN62" t="str">
        <f ca="1"/>
        <v>O-45671-D-0023</v>
      </c>
      <c r="AO62" t="str">
        <f ca="1"/>
        <v>Delivered</v>
      </c>
    </row>
    <row r="63" spans="1:41" x14ac:dyDescent="0.5">
      <c r="A63" t="str">
        <f ca="1"/>
        <v>F-119</v>
      </c>
      <c r="B63" s="1">
        <f ca="1"/>
        <v>45671</v>
      </c>
      <c r="C63" t="str">
        <f ca="1"/>
        <v>D-0023</v>
      </c>
      <c r="D63" t="str">
        <f ca="1"/>
        <v xml:space="preserve">New Bishass Enterprise </v>
      </c>
      <c r="E63" t="str">
        <f ca="1"/>
        <v>Mymensingh</v>
      </c>
      <c r="F63" t="str">
        <f ca="1"/>
        <v>01779-090991</v>
      </c>
      <c r="G63" t="str">
        <f ca="1"/>
        <v>Monirul Islam</v>
      </c>
      <c r="H63" t="str">
        <f ca="1"/>
        <v>Raihan Siddiqui</v>
      </c>
      <c r="I63" t="str">
        <f ca="1"/>
        <v>Bondhu Motors</v>
      </c>
      <c r="J63" t="str">
        <f ca="1"/>
        <v>Rangpur</v>
      </c>
      <c r="K63" t="str">
        <f ca="1"/>
        <v>LO00096</v>
      </c>
      <c r="L63" t="str">
        <f ca="1"/>
        <v>3000 4T PLUS 20W40</v>
      </c>
      <c r="M63">
        <f ca="1"/>
        <v>20</v>
      </c>
      <c r="N63">
        <f ca="1"/>
        <v>640</v>
      </c>
      <c r="O63">
        <f ca="1"/>
        <v>24</v>
      </c>
      <c r="P63">
        <f ca="1"/>
        <v>0</v>
      </c>
      <c r="Q63">
        <f ca="1"/>
        <v>0</v>
      </c>
      <c r="R63">
        <f ca="1"/>
        <v>640</v>
      </c>
      <c r="S63">
        <f ca="1"/>
        <v>20</v>
      </c>
      <c r="T63">
        <f ca="1"/>
        <v>24</v>
      </c>
      <c r="U63">
        <f ca="1"/>
        <v>12800</v>
      </c>
      <c r="V63">
        <f ca="1"/>
        <v>0</v>
      </c>
      <c r="W63">
        <f ca="1"/>
        <v>12800</v>
      </c>
      <c r="X63">
        <f ca="1"/>
        <v>1669.5652173913043</v>
      </c>
      <c r="Y63">
        <f ca="1"/>
        <v>11130.434782608696</v>
      </c>
      <c r="Z63" t="str">
        <f ca="1"/>
        <v>Cash</v>
      </c>
      <c r="AA63">
        <f ca="1"/>
        <v>588</v>
      </c>
      <c r="AB63" t="str">
        <f ca="1"/>
        <v>Flat Discount</v>
      </c>
      <c r="AC63">
        <f ca="1"/>
        <v>45672</v>
      </c>
      <c r="AD63" t="str">
        <f ca="1"/>
        <v/>
      </c>
      <c r="AE63" t="str">
        <f ca="1"/>
        <v>Northern</v>
      </c>
      <c r="AF63" t="str">
        <f ca="1"/>
        <v>Mineral</v>
      </c>
      <c r="AG63" t="str">
        <f ca="1"/>
        <v>MCO</v>
      </c>
      <c r="AH63" t="str">
        <f ca="1"/>
        <v>20W40</v>
      </c>
      <c r="AI63" t="str">
        <f ca="1"/>
        <v>3000</v>
      </c>
      <c r="AJ63">
        <f ca="1"/>
        <v>0</v>
      </c>
      <c r="AK63" t="str">
        <f ca="1"/>
        <v>20x1.2L</v>
      </c>
      <c r="AL63">
        <f ca="1"/>
        <v>9397.9559070121941</v>
      </c>
      <c r="AM63">
        <f ca="1"/>
        <v>1732.4788755965019</v>
      </c>
      <c r="AN63" t="str">
        <f ca="1"/>
        <v>O-45671-D-0023</v>
      </c>
      <c r="AO63" t="str">
        <f ca="1"/>
        <v>Delivered</v>
      </c>
    </row>
    <row r="64" spans="1:41" x14ac:dyDescent="0.5">
      <c r="A64" t="str">
        <f ca="1"/>
        <v>F-119</v>
      </c>
      <c r="B64" s="1">
        <f ca="1"/>
        <v>45671</v>
      </c>
      <c r="C64" t="str">
        <f ca="1"/>
        <v>D-0023</v>
      </c>
      <c r="D64" t="str">
        <f ca="1"/>
        <v xml:space="preserve">New Bishass Enterprise </v>
      </c>
      <c r="E64" t="str">
        <f ca="1"/>
        <v>Mymensingh</v>
      </c>
      <c r="F64" t="str">
        <f ca="1"/>
        <v>01779-090991</v>
      </c>
      <c r="G64" t="str">
        <f ca="1"/>
        <v>Monirul Islam</v>
      </c>
      <c r="H64" t="str">
        <f ca="1"/>
        <v>Raihan Siddiqui</v>
      </c>
      <c r="I64" t="str">
        <f ca="1"/>
        <v>Bondhu Motors</v>
      </c>
      <c r="J64" t="str">
        <f ca="1"/>
        <v>Rangpur</v>
      </c>
      <c r="K64" t="str">
        <f ca="1"/>
        <v>LO00074</v>
      </c>
      <c r="L64" t="str">
        <f ca="1"/>
        <v>7100 4T 10W30 ESTER CORE®</v>
      </c>
      <c r="M64">
        <f ca="1"/>
        <v>12</v>
      </c>
      <c r="N64">
        <f ca="1"/>
        <v>1060</v>
      </c>
      <c r="O64">
        <f ca="1"/>
        <v>12</v>
      </c>
      <c r="P64">
        <f ca="1"/>
        <v>0</v>
      </c>
      <c r="Q64">
        <f ca="1"/>
        <v>0</v>
      </c>
      <c r="R64">
        <f ca="1"/>
        <v>1060</v>
      </c>
      <c r="S64">
        <f ca="1"/>
        <v>12</v>
      </c>
      <c r="T64">
        <f ca="1"/>
        <v>12</v>
      </c>
      <c r="U64">
        <f ca="1"/>
        <v>12720</v>
      </c>
      <c r="V64">
        <f ca="1"/>
        <v>0</v>
      </c>
      <c r="W64">
        <f ca="1"/>
        <v>12720</v>
      </c>
      <c r="X64">
        <f ca="1"/>
        <v>1659.1304347826087</v>
      </c>
      <c r="Y64">
        <f ca="1"/>
        <v>11060.869565217392</v>
      </c>
      <c r="Z64" t="str">
        <f ca="1"/>
        <v>Cash</v>
      </c>
      <c r="AA64">
        <f ca="1"/>
        <v>588</v>
      </c>
      <c r="AB64" t="str">
        <f ca="1"/>
        <v>Flat Discount</v>
      </c>
      <c r="AC64">
        <f ca="1"/>
        <v>45672</v>
      </c>
      <c r="AD64" t="str">
        <f ca="1"/>
        <v/>
      </c>
      <c r="AE64" t="str">
        <f ca="1"/>
        <v>Northern</v>
      </c>
      <c r="AF64" t="str">
        <f ca="1"/>
        <v>Synthetic</v>
      </c>
      <c r="AG64" t="str">
        <f ca="1"/>
        <v>MCO</v>
      </c>
      <c r="AH64" t="str">
        <f ca="1"/>
        <v>10W30</v>
      </c>
      <c r="AI64" t="str">
        <f ca="1"/>
        <v>7100</v>
      </c>
      <c r="AJ64">
        <f ca="1"/>
        <v>0</v>
      </c>
      <c r="AK64" t="str">
        <f ca="1"/>
        <v>12x1L</v>
      </c>
      <c r="AL64">
        <f ca="1"/>
        <v>8278.32</v>
      </c>
      <c r="AM64">
        <f ca="1"/>
        <v>2782.5495652173922</v>
      </c>
      <c r="AN64" t="str">
        <f ca="1"/>
        <v>O-45671-D-0023</v>
      </c>
      <c r="AO64" t="str">
        <f ca="1"/>
        <v>Delivered</v>
      </c>
    </row>
    <row r="65" spans="1:41" x14ac:dyDescent="0.5">
      <c r="A65" t="str">
        <f ca="1"/>
        <v>F-119</v>
      </c>
      <c r="B65" s="1">
        <f ca="1"/>
        <v>45671</v>
      </c>
      <c r="C65" t="str">
        <f ca="1"/>
        <v>D-0023</v>
      </c>
      <c r="D65" t="str">
        <f ca="1"/>
        <v xml:space="preserve">New Bishass Enterprise </v>
      </c>
      <c r="E65" t="str">
        <f ca="1"/>
        <v>Mymensingh</v>
      </c>
      <c r="F65" t="str">
        <f ca="1"/>
        <v>01779-090991</v>
      </c>
      <c r="G65" t="str">
        <f ca="1"/>
        <v>Monirul Islam</v>
      </c>
      <c r="H65" t="str">
        <f ca="1"/>
        <v>Raihan Siddiqui</v>
      </c>
      <c r="I65" t="str">
        <f ca="1"/>
        <v>Bondhu Motors</v>
      </c>
      <c r="J65" t="str">
        <f ca="1"/>
        <v>Rangpur</v>
      </c>
      <c r="K65" t="str">
        <f ca="1"/>
        <v>LO00048</v>
      </c>
      <c r="L65" t="str">
        <f ca="1"/>
        <v>7100 4T 20W50 ESTER CORE®</v>
      </c>
      <c r="M65">
        <f ca="1"/>
        <v>12</v>
      </c>
      <c r="N65">
        <f ca="1"/>
        <v>1070</v>
      </c>
      <c r="O65">
        <f ca="1"/>
        <v>12</v>
      </c>
      <c r="P65">
        <f ca="1"/>
        <v>0</v>
      </c>
      <c r="Q65">
        <f ca="1"/>
        <v>0</v>
      </c>
      <c r="R65">
        <f ca="1"/>
        <v>1070</v>
      </c>
      <c r="S65">
        <f ca="1"/>
        <v>12</v>
      </c>
      <c r="T65">
        <f ca="1"/>
        <v>12</v>
      </c>
      <c r="U65">
        <f ca="1"/>
        <v>12840</v>
      </c>
      <c r="V65">
        <f ca="1"/>
        <v>0</v>
      </c>
      <c r="W65">
        <f ca="1"/>
        <v>12840</v>
      </c>
      <c r="X65">
        <f ca="1"/>
        <v>1674.7826086956522</v>
      </c>
      <c r="Y65">
        <f ca="1"/>
        <v>11165.217391304348</v>
      </c>
      <c r="Z65" t="str">
        <f ca="1"/>
        <v>Cash</v>
      </c>
      <c r="AA65">
        <f ca="1"/>
        <v>588</v>
      </c>
      <c r="AB65" t="str">
        <f ca="1"/>
        <v>Flat Discount</v>
      </c>
      <c r="AC65">
        <f ca="1"/>
        <v>45672</v>
      </c>
      <c r="AD65" t="str">
        <f ca="1"/>
        <v/>
      </c>
      <c r="AE65" t="str">
        <f ca="1"/>
        <v>Northern</v>
      </c>
      <c r="AF65" t="str">
        <f ca="1"/>
        <v>Synthetic</v>
      </c>
      <c r="AG65" t="str">
        <f ca="1"/>
        <v>MCO</v>
      </c>
      <c r="AH65" t="str">
        <f ca="1"/>
        <v>20W50</v>
      </c>
      <c r="AI65" t="str">
        <f ca="1"/>
        <v>7100</v>
      </c>
      <c r="AJ65">
        <f ca="1"/>
        <v>0</v>
      </c>
      <c r="AK65" t="str">
        <f ca="1"/>
        <v>12x1L</v>
      </c>
      <c r="AL65">
        <f ca="1"/>
        <v>9164.380799999999</v>
      </c>
      <c r="AM65">
        <f ca="1"/>
        <v>2000.836591304349</v>
      </c>
      <c r="AN65" t="str">
        <f ca="1"/>
        <v>O-45671-D-0023</v>
      </c>
      <c r="AO65" t="str">
        <f ca="1"/>
        <v>Delivered</v>
      </c>
    </row>
    <row r="66" spans="1:41" x14ac:dyDescent="0.5">
      <c r="A66" t="str">
        <f ca="1"/>
        <v>F-119</v>
      </c>
      <c r="B66" s="1">
        <f ca="1"/>
        <v>45671</v>
      </c>
      <c r="C66" t="str">
        <f ca="1"/>
        <v>D-0023</v>
      </c>
      <c r="D66" t="str">
        <f ca="1"/>
        <v xml:space="preserve">New Bishass Enterprise </v>
      </c>
      <c r="E66" t="str">
        <f ca="1"/>
        <v>Mymensingh</v>
      </c>
      <c r="F66" t="str">
        <f ca="1"/>
        <v>01779-090991</v>
      </c>
      <c r="G66" t="str">
        <f ca="1"/>
        <v>Monirul Islam</v>
      </c>
      <c r="H66" t="str">
        <f ca="1"/>
        <v>Raihan Siddiqui</v>
      </c>
      <c r="I66" t="str">
        <f ca="1"/>
        <v>Bondhu Motors</v>
      </c>
      <c r="J66" t="str">
        <f ca="1"/>
        <v>Rangpur</v>
      </c>
      <c r="K66" t="str">
        <f ca="1"/>
        <v>LO00120</v>
      </c>
      <c r="L66" t="str">
        <f ca="1"/>
        <v>3000 4T 20W50</v>
      </c>
      <c r="M66">
        <f ca="1"/>
        <v>20</v>
      </c>
      <c r="N66">
        <f ca="1"/>
        <v>595</v>
      </c>
      <c r="O66">
        <f ca="1"/>
        <v>24</v>
      </c>
      <c r="P66">
        <f ca="1"/>
        <v>0</v>
      </c>
      <c r="Q66">
        <f ca="1"/>
        <v>0</v>
      </c>
      <c r="R66">
        <f ca="1"/>
        <v>595</v>
      </c>
      <c r="S66">
        <f ca="1"/>
        <v>20</v>
      </c>
      <c r="T66">
        <f ca="1"/>
        <v>24</v>
      </c>
      <c r="U66">
        <f ca="1"/>
        <v>11900</v>
      </c>
      <c r="V66">
        <f ca="1"/>
        <v>0</v>
      </c>
      <c r="W66">
        <f ca="1"/>
        <v>11900</v>
      </c>
      <c r="X66">
        <f ca="1"/>
        <v>1552.1739130434783</v>
      </c>
      <c r="Y66">
        <f ca="1"/>
        <v>10347.826086956522</v>
      </c>
      <c r="Z66" t="str">
        <f ca="1"/>
        <v>Cash</v>
      </c>
      <c r="AA66">
        <f ca="1"/>
        <v>588</v>
      </c>
      <c r="AB66" t="str">
        <f ca="1"/>
        <v>Flat Discount</v>
      </c>
      <c r="AC66">
        <f ca="1"/>
        <v>45672</v>
      </c>
      <c r="AD66" t="str">
        <f ca="1"/>
        <v/>
      </c>
      <c r="AE66" t="str">
        <f ca="1"/>
        <v>Northern</v>
      </c>
      <c r="AF66" t="str">
        <f ca="1"/>
        <v>Mineral</v>
      </c>
      <c r="AG66" t="str">
        <f ca="1"/>
        <v>MCO</v>
      </c>
      <c r="AH66" t="str">
        <f ca="1"/>
        <v>20W50</v>
      </c>
      <c r="AI66" t="str">
        <f ca="1"/>
        <v>3000</v>
      </c>
      <c r="AJ66">
        <f ca="1"/>
        <v>0</v>
      </c>
      <c r="AK66" t="str">
        <f ca="1"/>
        <v>20x1.2L</v>
      </c>
      <c r="AL66">
        <f ca="1"/>
        <v>8692.2000000000007</v>
      </c>
      <c r="AM66">
        <f ca="1"/>
        <v>1655.6260869565212</v>
      </c>
      <c r="AN66" t="str">
        <f ca="1"/>
        <v>O-45671-D-0023</v>
      </c>
      <c r="AO66" t="str">
        <f ca="1"/>
        <v>Delivered</v>
      </c>
    </row>
    <row r="67" spans="1:41" x14ac:dyDescent="0.5">
      <c r="A67" t="str">
        <f ca="1"/>
        <v>F-120</v>
      </c>
      <c r="B67" s="1">
        <f ca="1"/>
        <v>45671</v>
      </c>
      <c r="C67" t="str">
        <f ca="1"/>
        <v>D-0023</v>
      </c>
      <c r="D67" t="str">
        <f ca="1"/>
        <v xml:space="preserve">B S Motor’s </v>
      </c>
      <c r="E67" t="str">
        <f ca="1"/>
        <v>Shapla, Station Road,Rangpur</v>
      </c>
      <c r="F67">
        <f ca="1"/>
        <v>1780903329</v>
      </c>
      <c r="G67" t="str">
        <f ca="1"/>
        <v>Monirul Islam</v>
      </c>
      <c r="H67" t="str">
        <f ca="1"/>
        <v>Raihan Siddiqui</v>
      </c>
      <c r="I67" t="str">
        <f ca="1"/>
        <v>Bondhu Motors</v>
      </c>
      <c r="J67" t="str">
        <f ca="1"/>
        <v>Rangpur</v>
      </c>
      <c r="K67" t="str">
        <f ca="1"/>
        <v>LO00041</v>
      </c>
      <c r="L67" t="str">
        <f ca="1"/>
        <v>3000 4T PLUS 10W30</v>
      </c>
      <c r="M67">
        <f ca="1"/>
        <v>60</v>
      </c>
      <c r="N67">
        <f ca="1"/>
        <v>530</v>
      </c>
      <c r="O67">
        <f ca="1"/>
        <v>60</v>
      </c>
      <c r="P67">
        <f ca="1"/>
        <v>0</v>
      </c>
      <c r="Q67">
        <f ca="1"/>
        <v>0</v>
      </c>
      <c r="R67">
        <f ca="1"/>
        <v>530</v>
      </c>
      <c r="S67">
        <f ca="1"/>
        <v>60</v>
      </c>
      <c r="T67">
        <f ca="1"/>
        <v>60</v>
      </c>
      <c r="U67">
        <f ca="1"/>
        <v>31800</v>
      </c>
      <c r="V67">
        <f ca="1"/>
        <v>0</v>
      </c>
      <c r="W67">
        <f ca="1"/>
        <v>31800</v>
      </c>
      <c r="X67">
        <f ca="1"/>
        <v>4147.826086956522</v>
      </c>
      <c r="Y67">
        <f ca="1"/>
        <v>27652.17391304348</v>
      </c>
      <c r="Z67" t="str">
        <f ca="1"/>
        <v>Cash</v>
      </c>
      <c r="AA67">
        <f ca="1"/>
        <v>589</v>
      </c>
      <c r="AB67" t="str">
        <f ca="1"/>
        <v>Flat Discount</v>
      </c>
      <c r="AC67">
        <f ca="1"/>
        <v>45672</v>
      </c>
      <c r="AD67" t="str">
        <f ca="1"/>
        <v/>
      </c>
      <c r="AE67" t="str">
        <f ca="1"/>
        <v>Northern</v>
      </c>
      <c r="AF67" t="str">
        <f ca="1"/>
        <v>Mineral</v>
      </c>
      <c r="AG67" t="str">
        <f ca="1"/>
        <v>MCO</v>
      </c>
      <c r="AH67" t="str">
        <f ca="1"/>
        <v>10W30</v>
      </c>
      <c r="AI67" t="str">
        <f ca="1"/>
        <v>3000</v>
      </c>
      <c r="AJ67">
        <f ca="1"/>
        <v>0</v>
      </c>
      <c r="AK67" t="str">
        <f ca="1"/>
        <v>20x1L</v>
      </c>
      <c r="AL67">
        <f ca="1"/>
        <v>22759.8</v>
      </c>
      <c r="AM67">
        <f ca="1"/>
        <v>4892.3739130434806</v>
      </c>
      <c r="AN67" t="str">
        <f ca="1"/>
        <v>O-45671-D-0023</v>
      </c>
      <c r="AO67" t="str">
        <f ca="1"/>
        <v>Delivered</v>
      </c>
    </row>
    <row r="68" spans="1:41" x14ac:dyDescent="0.5">
      <c r="A68" t="str">
        <f ca="1"/>
        <v>F-120</v>
      </c>
      <c r="B68" s="1">
        <f ca="1"/>
        <v>45671</v>
      </c>
      <c r="C68" t="str">
        <f ca="1"/>
        <v>D-0023</v>
      </c>
      <c r="D68" t="str">
        <f ca="1"/>
        <v xml:space="preserve">B S Motor’s </v>
      </c>
      <c r="E68" t="str">
        <f ca="1"/>
        <v>Shapla, Station Road,Rangpur</v>
      </c>
      <c r="F68">
        <f ca="1"/>
        <v>1780903329</v>
      </c>
      <c r="G68" t="str">
        <f ca="1"/>
        <v>Monirul Islam</v>
      </c>
      <c r="H68" t="str">
        <f ca="1"/>
        <v>Raihan Siddiqui</v>
      </c>
      <c r="I68" t="str">
        <f ca="1"/>
        <v>Bondhu Motors</v>
      </c>
      <c r="J68" t="str">
        <f ca="1"/>
        <v>Rangpur</v>
      </c>
      <c r="K68" t="str">
        <f ca="1"/>
        <v>LO00043</v>
      </c>
      <c r="L68" t="str">
        <f ca="1"/>
        <v>3000 4T PLUS 10W40</v>
      </c>
      <c r="M68">
        <f ca="1"/>
        <v>200</v>
      </c>
      <c r="N68">
        <f ca="1"/>
        <v>535</v>
      </c>
      <c r="O68">
        <f ca="1"/>
        <v>200</v>
      </c>
      <c r="P68">
        <f ca="1"/>
        <v>0</v>
      </c>
      <c r="Q68">
        <f ca="1"/>
        <v>0</v>
      </c>
      <c r="R68">
        <f ca="1"/>
        <v>535</v>
      </c>
      <c r="S68">
        <f ca="1"/>
        <v>200</v>
      </c>
      <c r="T68">
        <f ca="1"/>
        <v>200</v>
      </c>
      <c r="U68">
        <f ca="1"/>
        <v>107000</v>
      </c>
      <c r="V68">
        <f ca="1"/>
        <v>0</v>
      </c>
      <c r="W68">
        <f ca="1"/>
        <v>107000</v>
      </c>
      <c r="X68">
        <f ca="1"/>
        <v>13956.521739130434</v>
      </c>
      <c r="Y68">
        <f ca="1"/>
        <v>93043.478260869568</v>
      </c>
      <c r="Z68" t="str">
        <f ca="1"/>
        <v>Cash</v>
      </c>
      <c r="AA68">
        <f ca="1"/>
        <v>589</v>
      </c>
      <c r="AB68" t="str">
        <f ca="1"/>
        <v>Flat Discount</v>
      </c>
      <c r="AC68">
        <f ca="1"/>
        <v>45672</v>
      </c>
      <c r="AD68" t="str">
        <f ca="1"/>
        <v/>
      </c>
      <c r="AE68" t="str">
        <f ca="1"/>
        <v>Northern</v>
      </c>
      <c r="AF68" t="str">
        <f ca="1"/>
        <v>Mineral</v>
      </c>
      <c r="AG68" t="str">
        <f ca="1"/>
        <v>MCO</v>
      </c>
      <c r="AH68" t="str">
        <f ca="1"/>
        <v>10W40</v>
      </c>
      <c r="AI68" t="str">
        <f ca="1"/>
        <v>3000</v>
      </c>
      <c r="AJ68">
        <f ca="1"/>
        <v>0</v>
      </c>
      <c r="AK68" t="str">
        <f ca="1"/>
        <v>20x1L</v>
      </c>
      <c r="AL68">
        <f ca="1"/>
        <v>76970</v>
      </c>
      <c r="AM68">
        <f ca="1"/>
        <v>16073.478260869568</v>
      </c>
      <c r="AN68" t="str">
        <f ca="1"/>
        <v>O-45671-D-0023</v>
      </c>
      <c r="AO68" t="str">
        <f ca="1"/>
        <v>Delivered</v>
      </c>
    </row>
    <row r="69" spans="1:41" x14ac:dyDescent="0.5">
      <c r="A69" t="str">
        <f ca="1"/>
        <v>F-120</v>
      </c>
      <c r="B69" s="1">
        <f ca="1"/>
        <v>45671</v>
      </c>
      <c r="C69" t="str">
        <f ca="1"/>
        <v>D-0023</v>
      </c>
      <c r="D69" t="str">
        <f ca="1"/>
        <v xml:space="preserve">B S Motor’s </v>
      </c>
      <c r="E69" t="str">
        <f ca="1"/>
        <v>Shapla, Station Road,Rangpur</v>
      </c>
      <c r="F69">
        <f ca="1"/>
        <v>1780903329</v>
      </c>
      <c r="G69" t="str">
        <f ca="1"/>
        <v>Monirul Islam</v>
      </c>
      <c r="H69" t="str">
        <f ca="1"/>
        <v>Raihan Siddiqui</v>
      </c>
      <c r="I69" t="str">
        <f ca="1"/>
        <v>Bondhu Motors</v>
      </c>
      <c r="J69" t="str">
        <f ca="1"/>
        <v>Rangpur</v>
      </c>
      <c r="K69" t="str">
        <f ca="1"/>
        <v>LO00073</v>
      </c>
      <c r="L69" t="str">
        <f ca="1"/>
        <v>3000 4T PLUS 10W30</v>
      </c>
      <c r="M69">
        <f ca="1"/>
        <v>40</v>
      </c>
      <c r="N69">
        <f ca="1"/>
        <v>640</v>
      </c>
      <c r="O69">
        <f ca="1"/>
        <v>48</v>
      </c>
      <c r="P69">
        <f ca="1"/>
        <v>0</v>
      </c>
      <c r="Q69">
        <f ca="1"/>
        <v>0</v>
      </c>
      <c r="R69">
        <f ca="1"/>
        <v>640</v>
      </c>
      <c r="S69">
        <f ca="1"/>
        <v>40</v>
      </c>
      <c r="T69">
        <f ca="1"/>
        <v>48</v>
      </c>
      <c r="U69">
        <f ca="1"/>
        <v>25600</v>
      </c>
      <c r="V69">
        <f ca="1"/>
        <v>0</v>
      </c>
      <c r="W69">
        <f ca="1"/>
        <v>25600</v>
      </c>
      <c r="X69">
        <f ca="1"/>
        <v>3339.1304347826085</v>
      </c>
      <c r="Y69">
        <f ca="1"/>
        <v>22260.869565217392</v>
      </c>
      <c r="Z69" t="str">
        <f ca="1"/>
        <v>Cash</v>
      </c>
      <c r="AA69">
        <f ca="1"/>
        <v>589</v>
      </c>
      <c r="AB69" t="str">
        <f ca="1"/>
        <v>Flat Discount</v>
      </c>
      <c r="AC69">
        <f ca="1"/>
        <v>45672</v>
      </c>
      <c r="AD69" t="str">
        <f ca="1"/>
        <v/>
      </c>
      <c r="AE69" t="str">
        <f ca="1"/>
        <v>Northern</v>
      </c>
      <c r="AF69" t="str">
        <f ca="1"/>
        <v>Mineral</v>
      </c>
      <c r="AG69" t="str">
        <f ca="1"/>
        <v>MCO</v>
      </c>
      <c r="AH69" t="str">
        <f ca="1"/>
        <v>10W30</v>
      </c>
      <c r="AI69" t="str">
        <f ca="1"/>
        <v>3000</v>
      </c>
      <c r="AJ69">
        <f ca="1"/>
        <v>0</v>
      </c>
      <c r="AK69" t="str">
        <f ca="1"/>
        <v>20x1.2L</v>
      </c>
      <c r="AL69">
        <f ca="1"/>
        <v>17556</v>
      </c>
      <c r="AM69">
        <f ca="1"/>
        <v>4704.8695652173919</v>
      </c>
      <c r="AN69" t="str">
        <f ca="1"/>
        <v>O-45671-D-0023</v>
      </c>
      <c r="AO69" t="str">
        <f ca="1"/>
        <v>Delivered</v>
      </c>
    </row>
    <row r="70" spans="1:41" x14ac:dyDescent="0.5">
      <c r="A70" t="str">
        <f ca="1"/>
        <v>F-120</v>
      </c>
      <c r="B70" s="1">
        <f ca="1"/>
        <v>45671</v>
      </c>
      <c r="C70" t="str">
        <f ca="1"/>
        <v>D-0023</v>
      </c>
      <c r="D70" t="str">
        <f ca="1"/>
        <v xml:space="preserve">B S Motor’s </v>
      </c>
      <c r="E70" t="str">
        <f ca="1"/>
        <v>Shapla, Station Road,Rangpur</v>
      </c>
      <c r="F70">
        <f ca="1"/>
        <v>1780903329</v>
      </c>
      <c r="G70" t="str">
        <f ca="1"/>
        <v>Monirul Islam</v>
      </c>
      <c r="H70" t="str">
        <f ca="1"/>
        <v>Raihan Siddiqui</v>
      </c>
      <c r="I70" t="str">
        <f ca="1"/>
        <v>Bondhu Motors</v>
      </c>
      <c r="J70" t="str">
        <f ca="1"/>
        <v>Rangpur</v>
      </c>
      <c r="K70" t="str">
        <f ca="1"/>
        <v>LO00044</v>
      </c>
      <c r="L70" t="str">
        <f ca="1"/>
        <v>31004T GOLD 20W50</v>
      </c>
      <c r="M70">
        <f ca="1"/>
        <v>20</v>
      </c>
      <c r="N70">
        <f ca="1"/>
        <v>600</v>
      </c>
      <c r="O70">
        <f ca="1"/>
        <v>20</v>
      </c>
      <c r="P70">
        <f ca="1"/>
        <v>0</v>
      </c>
      <c r="Q70">
        <f ca="1"/>
        <v>0</v>
      </c>
      <c r="R70">
        <f ca="1"/>
        <v>600</v>
      </c>
      <c r="S70">
        <f ca="1"/>
        <v>20</v>
      </c>
      <c r="T70">
        <f ca="1"/>
        <v>20</v>
      </c>
      <c r="U70">
        <f ca="1"/>
        <v>12000</v>
      </c>
      <c r="V70">
        <f ca="1"/>
        <v>0</v>
      </c>
      <c r="W70">
        <f ca="1"/>
        <v>12000</v>
      </c>
      <c r="X70">
        <f ca="1"/>
        <v>1565.2173913043478</v>
      </c>
      <c r="Y70">
        <f ca="1"/>
        <v>10434.782608695652</v>
      </c>
      <c r="Z70" t="str">
        <f ca="1"/>
        <v>Cash</v>
      </c>
      <c r="AA70">
        <f ca="1"/>
        <v>589</v>
      </c>
      <c r="AB70" t="str">
        <f ca="1"/>
        <v>Flat Discount</v>
      </c>
      <c r="AC70">
        <f ca="1"/>
        <v>45672</v>
      </c>
      <c r="AD70" t="str">
        <f ca="1"/>
        <v/>
      </c>
      <c r="AE70" t="str">
        <f ca="1"/>
        <v>Northern</v>
      </c>
      <c r="AF70" t="str">
        <f ca="1"/>
        <v>Technosynthese</v>
      </c>
      <c r="AG70" t="str">
        <f ca="1"/>
        <v>MCO</v>
      </c>
      <c r="AH70" t="str">
        <f ca="1"/>
        <v>20W50</v>
      </c>
      <c r="AI70" t="str">
        <f ca="1"/>
        <v>3100</v>
      </c>
      <c r="AJ70">
        <f ca="1"/>
        <v>0</v>
      </c>
      <c r="AK70" t="str">
        <f ca="1"/>
        <v>20x1L</v>
      </c>
      <c r="AL70">
        <f ca="1"/>
        <v>9387.7999999999993</v>
      </c>
      <c r="AM70">
        <f ca="1"/>
        <v>1046.9826086956527</v>
      </c>
      <c r="AN70" t="str">
        <f ca="1"/>
        <v>O-45671-D-0023</v>
      </c>
      <c r="AO70" t="str">
        <f ca="1"/>
        <v>Delivered</v>
      </c>
    </row>
    <row r="71" spans="1:41" x14ac:dyDescent="0.5">
      <c r="A71" t="str">
        <f ca="1"/>
        <v>F-120</v>
      </c>
      <c r="B71" s="1">
        <f ca="1"/>
        <v>45671</v>
      </c>
      <c r="C71" t="str">
        <f ca="1"/>
        <v>D-0023</v>
      </c>
      <c r="D71" t="str">
        <f ca="1"/>
        <v xml:space="preserve">B S Motor’s </v>
      </c>
      <c r="E71" t="str">
        <f ca="1"/>
        <v>Shapla, Station Road,Rangpur</v>
      </c>
      <c r="F71">
        <f ca="1"/>
        <v>1780903329</v>
      </c>
      <c r="G71" t="str">
        <f ca="1"/>
        <v>Monirul Islam</v>
      </c>
      <c r="H71" t="str">
        <f ca="1"/>
        <v>Raihan Siddiqui</v>
      </c>
      <c r="I71" t="str">
        <f ca="1"/>
        <v>Bondhu Motors</v>
      </c>
      <c r="J71" t="str">
        <f ca="1"/>
        <v>Rangpur</v>
      </c>
      <c r="K71" t="str">
        <f ca="1"/>
        <v>LO00119</v>
      </c>
      <c r="L71" t="str">
        <f ca="1"/>
        <v>3000 4T 20W50</v>
      </c>
      <c r="M71">
        <f ca="1"/>
        <v>100</v>
      </c>
      <c r="N71">
        <f ca="1"/>
        <v>488</v>
      </c>
      <c r="O71">
        <f ca="1"/>
        <v>100</v>
      </c>
      <c r="P71">
        <f ca="1"/>
        <v>0</v>
      </c>
      <c r="Q71">
        <f ca="1"/>
        <v>0</v>
      </c>
      <c r="R71">
        <f ca="1"/>
        <v>488</v>
      </c>
      <c r="S71">
        <f ca="1"/>
        <v>100</v>
      </c>
      <c r="T71">
        <f ca="1"/>
        <v>100</v>
      </c>
      <c r="U71">
        <f ca="1"/>
        <v>48800</v>
      </c>
      <c r="V71">
        <f ca="1"/>
        <v>0</v>
      </c>
      <c r="W71">
        <f ca="1"/>
        <v>48800</v>
      </c>
      <c r="X71">
        <f ca="1"/>
        <v>6365.217391304348</v>
      </c>
      <c r="Y71">
        <f ca="1"/>
        <v>42434.782608695656</v>
      </c>
      <c r="Z71" t="str">
        <f ca="1"/>
        <v>Cash</v>
      </c>
      <c r="AA71">
        <f ca="1"/>
        <v>589</v>
      </c>
      <c r="AB71" t="str">
        <f ca="1"/>
        <v>Flat Discount</v>
      </c>
      <c r="AC71">
        <f ca="1"/>
        <v>45672</v>
      </c>
      <c r="AD71" t="str">
        <f ca="1"/>
        <v/>
      </c>
      <c r="AE71" t="str">
        <f ca="1"/>
        <v>Northern</v>
      </c>
      <c r="AF71" t="str">
        <f ca="1"/>
        <v>Mineral</v>
      </c>
      <c r="AG71" t="str">
        <f ca="1"/>
        <v>MCO</v>
      </c>
      <c r="AH71" t="str">
        <f ca="1"/>
        <v>20W50</v>
      </c>
      <c r="AI71" t="str">
        <f ca="1"/>
        <v>3000</v>
      </c>
      <c r="AJ71">
        <f ca="1"/>
        <v>0</v>
      </c>
      <c r="AK71" t="str">
        <f ca="1"/>
        <v>20x1L</v>
      </c>
      <c r="AL71">
        <f ca="1"/>
        <v>36492</v>
      </c>
      <c r="AM71">
        <f ca="1"/>
        <v>5942.7826086956557</v>
      </c>
      <c r="AN71" t="str">
        <f ca="1"/>
        <v>O-45671-D-0023</v>
      </c>
      <c r="AO71" t="str">
        <f ca="1"/>
        <v>Delivered</v>
      </c>
    </row>
    <row r="72" spans="1:41" x14ac:dyDescent="0.5">
      <c r="A72" t="str">
        <f ca="1"/>
        <v>F-121</v>
      </c>
      <c r="B72" s="1">
        <f ca="1"/>
        <v>45671</v>
      </c>
      <c r="C72" t="str">
        <f ca="1"/>
        <v>D-0023</v>
      </c>
      <c r="D72" t="str">
        <f ca="1"/>
        <v xml:space="preserve">B S Motor’s </v>
      </c>
      <c r="E72" t="str">
        <f ca="1"/>
        <v>Shapla, Station Road,Rangpur</v>
      </c>
      <c r="F72">
        <f ca="1"/>
        <v>1780903329</v>
      </c>
      <c r="G72" t="str">
        <f ca="1"/>
        <v>Monirul Islam</v>
      </c>
      <c r="H72" t="str">
        <f ca="1"/>
        <v>Raihan Siddiqui</v>
      </c>
      <c r="I72" t="str">
        <f ca="1"/>
        <v>Bondhu Motors</v>
      </c>
      <c r="J72" t="str">
        <f ca="1"/>
        <v>Rangpur</v>
      </c>
      <c r="K72" t="str">
        <f ca="1"/>
        <v>LO00116</v>
      </c>
      <c r="L72" t="str">
        <f ca="1"/>
        <v>Engine Flush</v>
      </c>
      <c r="M72">
        <f ca="1"/>
        <v>12</v>
      </c>
      <c r="N72">
        <f ca="1"/>
        <v>0</v>
      </c>
      <c r="O72">
        <f ca="1"/>
        <v>0.60000000000000009</v>
      </c>
      <c r="P72">
        <f ca="1"/>
        <v>0</v>
      </c>
      <c r="Q72">
        <f ca="1"/>
        <v>0</v>
      </c>
      <c r="R72">
        <f ca="1"/>
        <v>0</v>
      </c>
      <c r="S72">
        <f ca="1"/>
        <v>12</v>
      </c>
      <c r="T72">
        <f ca="1"/>
        <v>0.60000000000000009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 t="str">
        <f ca="1"/>
        <v>free</v>
      </c>
      <c r="AA72">
        <f ca="1"/>
        <v>590</v>
      </c>
      <c r="AB72" t="str">
        <f ca="1"/>
        <v>Flat Discount</v>
      </c>
      <c r="AC72">
        <f ca="1"/>
        <v>45672</v>
      </c>
      <c r="AD72" t="str">
        <f ca="1"/>
        <v/>
      </c>
      <c r="AE72" t="str">
        <f ca="1"/>
        <v>Northern</v>
      </c>
      <c r="AF72" t="str">
        <f ca="1"/>
        <v>Care Products</v>
      </c>
      <c r="AG72" t="str">
        <f ca="1"/>
        <v>Care Products</v>
      </c>
      <c r="AH72" t="str">
        <f ca="1"/>
        <v>Care Products</v>
      </c>
      <c r="AI72" t="str">
        <f ca="1"/>
        <v>Clean</v>
      </c>
      <c r="AJ72">
        <f ca="1"/>
        <v>0</v>
      </c>
      <c r="AK72" t="str">
        <f ca="1"/>
        <v>24x0.05L</v>
      </c>
      <c r="AL72">
        <f ca="1"/>
        <v>1561.3200000000002</v>
      </c>
      <c r="AM72">
        <f ca="1"/>
        <v>-1561.3200000000002</v>
      </c>
      <c r="AN72" t="str">
        <f ca="1"/>
        <v>O-45671-D-0023</v>
      </c>
      <c r="AO72" t="str">
        <f ca="1"/>
        <v>Delivered</v>
      </c>
    </row>
    <row r="73" spans="1:41" x14ac:dyDescent="0.5">
      <c r="A73" t="str">
        <f ca="1"/>
        <v>F-122</v>
      </c>
      <c r="B73" s="1">
        <f ca="1"/>
        <v>45672</v>
      </c>
      <c r="C73" t="str">
        <f ca="1"/>
        <v>D-0001</v>
      </c>
      <c r="D73" t="str">
        <f ca="1"/>
        <v xml:space="preserve">Hasan Traders </v>
      </c>
      <c r="E73" t="str">
        <f ca="1"/>
        <v>Pangsha, Rajbari.</v>
      </c>
      <c r="F73" t="str">
        <f ca="1"/>
        <v>01711-154387</v>
      </c>
      <c r="G73" t="str">
        <f ca="1"/>
        <v>Md.Mahfuzur Rahman</v>
      </c>
      <c r="H73" t="str">
        <f ca="1"/>
        <v>Abdul Matin</v>
      </c>
      <c r="I73" t="str">
        <f ca="1"/>
        <v>M/S Hasan Traders</v>
      </c>
      <c r="J73" t="str">
        <f ca="1"/>
        <v>Pangsha</v>
      </c>
      <c r="K73" t="str">
        <f ca="1"/>
        <v>LO00043</v>
      </c>
      <c r="L73" t="str">
        <f ca="1"/>
        <v>3000 4T PLUS 10W40</v>
      </c>
      <c r="M73">
        <f ca="1"/>
        <v>1800</v>
      </c>
      <c r="N73">
        <f ca="1"/>
        <v>525</v>
      </c>
      <c r="O73">
        <f ca="1"/>
        <v>1800</v>
      </c>
      <c r="P73">
        <f ca="1"/>
        <v>0</v>
      </c>
      <c r="Q73">
        <f ca="1"/>
        <v>0</v>
      </c>
      <c r="R73">
        <f ca="1"/>
        <v>525</v>
      </c>
      <c r="S73">
        <f ca="1"/>
        <v>1800</v>
      </c>
      <c r="T73">
        <f ca="1"/>
        <v>1800</v>
      </c>
      <c r="U73">
        <f ca="1"/>
        <v>945000</v>
      </c>
      <c r="V73">
        <f ca="1"/>
        <v>0</v>
      </c>
      <c r="W73">
        <f ca="1"/>
        <v>945000</v>
      </c>
      <c r="X73">
        <f ca="1"/>
        <v>123260.86956521739</v>
      </c>
      <c r="Y73">
        <f ca="1"/>
        <v>821739.13043478259</v>
      </c>
      <c r="Z73" t="str">
        <f ca="1"/>
        <v>Cash</v>
      </c>
      <c r="AA73">
        <f ca="1"/>
        <v>591</v>
      </c>
      <c r="AB73" t="str">
        <f ca="1"/>
        <v>Flat Discount</v>
      </c>
      <c r="AC73">
        <f ca="1"/>
        <v>45673</v>
      </c>
      <c r="AD73" t="str">
        <f ca="1"/>
        <v>Discounted Price</v>
      </c>
      <c r="AE73" t="str">
        <f ca="1"/>
        <v>Central</v>
      </c>
      <c r="AF73" t="str">
        <f ca="1"/>
        <v>Mineral</v>
      </c>
      <c r="AG73" t="str">
        <f ca="1"/>
        <v>MCO</v>
      </c>
      <c r="AH73" t="str">
        <f ca="1"/>
        <v>10W40</v>
      </c>
      <c r="AI73" t="str">
        <f ca="1"/>
        <v>3000</v>
      </c>
      <c r="AJ73">
        <f ca="1"/>
        <v>0</v>
      </c>
      <c r="AK73" t="str">
        <f ca="1"/>
        <v>20x1L</v>
      </c>
      <c r="AL73">
        <f ca="1"/>
        <v>692730</v>
      </c>
      <c r="AM73">
        <f ca="1"/>
        <v>129009.13043478259</v>
      </c>
      <c r="AN73" t="str">
        <f ca="1"/>
        <v>O-45672-D-0001</v>
      </c>
      <c r="AO73" t="str">
        <f ca="1"/>
        <v>Delivered</v>
      </c>
    </row>
    <row r="74" spans="1:41" x14ac:dyDescent="0.5">
      <c r="A74" t="str">
        <f ca="1"/>
        <v>F-122</v>
      </c>
      <c r="B74" s="1">
        <f ca="1"/>
        <v>45672</v>
      </c>
      <c r="C74" t="str">
        <f ca="1"/>
        <v>D-0001</v>
      </c>
      <c r="D74" t="str">
        <f ca="1"/>
        <v xml:space="preserve">Hasan Traders </v>
      </c>
      <c r="E74" t="str">
        <f ca="1"/>
        <v>Pangsha, Rajbari.</v>
      </c>
      <c r="F74" t="str">
        <f ca="1"/>
        <v>01711-154387</v>
      </c>
      <c r="G74" t="str">
        <f ca="1"/>
        <v>Md.Mahfuzur Rahman</v>
      </c>
      <c r="H74" t="str">
        <f ca="1"/>
        <v>Abdul Matin</v>
      </c>
      <c r="I74" t="str">
        <f ca="1"/>
        <v>M/S Hasan Traders</v>
      </c>
      <c r="J74" t="str">
        <f ca="1"/>
        <v>Pangsha</v>
      </c>
      <c r="K74" t="str">
        <f ca="1"/>
        <v>LO00044</v>
      </c>
      <c r="L74" t="str">
        <f ca="1"/>
        <v>31004T GOLD 20W50</v>
      </c>
      <c r="M74">
        <f ca="1"/>
        <v>200</v>
      </c>
      <c r="N74">
        <f ca="1"/>
        <v>590</v>
      </c>
      <c r="O74">
        <f ca="1"/>
        <v>200</v>
      </c>
      <c r="P74">
        <f ca="1"/>
        <v>0</v>
      </c>
      <c r="Q74">
        <f ca="1"/>
        <v>0</v>
      </c>
      <c r="R74">
        <f ca="1"/>
        <v>590</v>
      </c>
      <c r="S74">
        <f ca="1"/>
        <v>200</v>
      </c>
      <c r="T74">
        <f ca="1"/>
        <v>200</v>
      </c>
      <c r="U74">
        <f ca="1"/>
        <v>118000</v>
      </c>
      <c r="V74">
        <f ca="1"/>
        <v>0</v>
      </c>
      <c r="W74">
        <f ca="1"/>
        <v>118000</v>
      </c>
      <c r="X74">
        <f ca="1"/>
        <v>15391.304347826086</v>
      </c>
      <c r="Y74">
        <f ca="1"/>
        <v>102608.69565217392</v>
      </c>
      <c r="Z74" t="str">
        <f ca="1"/>
        <v>Cash</v>
      </c>
      <c r="AA74">
        <f ca="1"/>
        <v>591</v>
      </c>
      <c r="AB74" t="str">
        <f ca="1"/>
        <v>Flat Discount</v>
      </c>
      <c r="AC74">
        <f ca="1"/>
        <v>45673</v>
      </c>
      <c r="AD74" t="str">
        <f ca="1"/>
        <v>Discounted Price</v>
      </c>
      <c r="AE74" t="str">
        <f ca="1"/>
        <v>Central</v>
      </c>
      <c r="AF74" t="str">
        <f ca="1"/>
        <v>Technosynthese</v>
      </c>
      <c r="AG74" t="str">
        <f ca="1"/>
        <v>MCO</v>
      </c>
      <c r="AH74" t="str">
        <f ca="1"/>
        <v>20W50</v>
      </c>
      <c r="AI74" t="str">
        <f ca="1"/>
        <v>3100</v>
      </c>
      <c r="AJ74">
        <f ca="1"/>
        <v>0</v>
      </c>
      <c r="AK74" t="str">
        <f ca="1"/>
        <v>20x1L</v>
      </c>
      <c r="AL74">
        <f ca="1"/>
        <v>93878</v>
      </c>
      <c r="AM74">
        <f ca="1"/>
        <v>8730.6956521739194</v>
      </c>
      <c r="AN74" t="str">
        <f ca="1"/>
        <v>O-45672-D-0001</v>
      </c>
      <c r="AO74" t="str">
        <f ca="1"/>
        <v>Delivered</v>
      </c>
    </row>
    <row r="75" spans="1:41" x14ac:dyDescent="0.5">
      <c r="A75" t="str">
        <f ca="1"/>
        <v>F-123</v>
      </c>
      <c r="B75" s="1">
        <f ca="1"/>
        <v>45670</v>
      </c>
      <c r="C75" t="str">
        <f ca="1"/>
        <v>D-0006</v>
      </c>
      <c r="D75" t="str">
        <f ca="1"/>
        <v>Maliha Enterprise</v>
      </c>
      <c r="E75" t="str">
        <f ca="1"/>
        <v>C/25/5, Thana Road Bus stand, Savar, Dhaka.</v>
      </c>
      <c r="F75" t="str">
        <f ca="1"/>
        <v>01715414646</v>
      </c>
      <c r="G75" t="str">
        <f ca="1"/>
        <v>Sayed Al Amin Apu</v>
      </c>
      <c r="H75" t="str">
        <f ca="1"/>
        <v>Abdul Matin</v>
      </c>
      <c r="I75" t="str">
        <f ca="1"/>
        <v>Maliha Enterprise</v>
      </c>
      <c r="J75" t="str">
        <f ca="1"/>
        <v>Savar</v>
      </c>
      <c r="K75" t="str">
        <f ca="1"/>
        <v>LO00041</v>
      </c>
      <c r="L75" t="str">
        <f ca="1"/>
        <v>3000 4T PLUS 10W30</v>
      </c>
      <c r="M75">
        <f ca="1"/>
        <v>100</v>
      </c>
      <c r="N75">
        <f ca="1"/>
        <v>528</v>
      </c>
      <c r="O75">
        <f ca="1"/>
        <v>100</v>
      </c>
      <c r="P75">
        <f ca="1"/>
        <v>0</v>
      </c>
      <c r="Q75">
        <f ca="1"/>
        <v>0</v>
      </c>
      <c r="R75">
        <f ca="1"/>
        <v>528</v>
      </c>
      <c r="S75">
        <f ca="1"/>
        <v>100</v>
      </c>
      <c r="T75">
        <f ca="1"/>
        <v>100</v>
      </c>
      <c r="U75">
        <f ca="1"/>
        <v>52800</v>
      </c>
      <c r="V75">
        <f ca="1"/>
        <v>0</v>
      </c>
      <c r="W75">
        <f ca="1"/>
        <v>52800</v>
      </c>
      <c r="X75">
        <f ca="1"/>
        <v>6886.95652173913</v>
      </c>
      <c r="Y75">
        <f ca="1"/>
        <v>45913.043478260872</v>
      </c>
      <c r="Z75" t="str">
        <f ca="1"/>
        <v>Cash</v>
      </c>
      <c r="AA75">
        <f ca="1"/>
        <v>592</v>
      </c>
      <c r="AB75" t="str">
        <f ca="1"/>
        <v>Flat Discount</v>
      </c>
      <c r="AC75">
        <f ca="1"/>
        <v>45673</v>
      </c>
      <c r="AD75" t="str">
        <f ca="1"/>
        <v>Special Discount 2 Taka Per Liter will be provided.</v>
      </c>
      <c r="AE75" t="str">
        <f ca="1"/>
        <v>Central</v>
      </c>
      <c r="AF75" t="str">
        <f ca="1"/>
        <v>Mineral</v>
      </c>
      <c r="AG75" t="str">
        <f ca="1"/>
        <v>MCO</v>
      </c>
      <c r="AH75" t="str">
        <f ca="1"/>
        <v>10W30</v>
      </c>
      <c r="AI75" t="str">
        <f ca="1"/>
        <v>3000</v>
      </c>
      <c r="AJ75">
        <f ca="1"/>
        <v>0</v>
      </c>
      <c r="AK75" t="str">
        <f ca="1"/>
        <v>20x1L</v>
      </c>
      <c r="AL75">
        <f ca="1"/>
        <v>37933</v>
      </c>
      <c r="AM75">
        <f ca="1"/>
        <v>7980.0434782608718</v>
      </c>
      <c r="AN75" t="str">
        <f ca="1"/>
        <v>O-45670-D-0006</v>
      </c>
      <c r="AO75" t="str">
        <f ca="1"/>
        <v>Delivered</v>
      </c>
    </row>
    <row r="76" spans="1:41" x14ac:dyDescent="0.5">
      <c r="A76" t="str">
        <f ca="1"/>
        <v>F-123</v>
      </c>
      <c r="B76" s="1">
        <f ca="1"/>
        <v>45670</v>
      </c>
      <c r="C76" t="str">
        <f ca="1"/>
        <v>D-0006</v>
      </c>
      <c r="D76" t="str">
        <f ca="1"/>
        <v>Maliha Enterprise</v>
      </c>
      <c r="E76" t="str">
        <f ca="1"/>
        <v>C/25/5, Thana Road Bus stand, Savar, Dhaka.</v>
      </c>
      <c r="F76" t="str">
        <f ca="1"/>
        <v>01715414646</v>
      </c>
      <c r="G76" t="str">
        <f ca="1"/>
        <v>Sayed Al Amin Apu</v>
      </c>
      <c r="H76" t="str">
        <f ca="1"/>
        <v>Abdul Matin</v>
      </c>
      <c r="I76" t="str">
        <f ca="1"/>
        <v>Maliha Enterprise</v>
      </c>
      <c r="J76" t="str">
        <f ca="1"/>
        <v>Savar</v>
      </c>
      <c r="K76" t="str">
        <f ca="1"/>
        <v>LO00042</v>
      </c>
      <c r="L76" t="str">
        <f ca="1"/>
        <v>3000 4T PLUS 20W40</v>
      </c>
      <c r="M76">
        <f ca="1"/>
        <v>100</v>
      </c>
      <c r="N76">
        <f ca="1"/>
        <v>528</v>
      </c>
      <c r="O76">
        <f ca="1"/>
        <v>100</v>
      </c>
      <c r="P76">
        <f ca="1"/>
        <v>0</v>
      </c>
      <c r="Q76">
        <f ca="1"/>
        <v>0</v>
      </c>
      <c r="R76">
        <f ca="1"/>
        <v>528</v>
      </c>
      <c r="S76">
        <f ca="1"/>
        <v>100</v>
      </c>
      <c r="T76">
        <f ca="1"/>
        <v>100</v>
      </c>
      <c r="U76">
        <f ca="1"/>
        <v>52800</v>
      </c>
      <c r="V76">
        <f ca="1"/>
        <v>0</v>
      </c>
      <c r="W76">
        <f ca="1"/>
        <v>52800</v>
      </c>
      <c r="X76">
        <f ca="1"/>
        <v>6886.95652173913</v>
      </c>
      <c r="Y76">
        <f ca="1"/>
        <v>45913.043478260872</v>
      </c>
      <c r="Z76" t="str">
        <f ca="1"/>
        <v>Cash</v>
      </c>
      <c r="AA76">
        <f ca="1"/>
        <v>592</v>
      </c>
      <c r="AB76" t="str">
        <f ca="1"/>
        <v>Flat Discount</v>
      </c>
      <c r="AC76">
        <f ca="1"/>
        <v>45673</v>
      </c>
      <c r="AD76" t="str">
        <f ca="1"/>
        <v>Special Discount 2 Taka Per Liter will be provided.</v>
      </c>
      <c r="AE76" t="str">
        <f ca="1"/>
        <v>Central</v>
      </c>
      <c r="AF76" t="str">
        <f ca="1"/>
        <v>Mineral</v>
      </c>
      <c r="AG76" t="str">
        <f ca="1"/>
        <v>MCO</v>
      </c>
      <c r="AH76" t="str">
        <f ca="1"/>
        <v>20W40</v>
      </c>
      <c r="AI76" t="str">
        <f ca="1"/>
        <v>3000</v>
      </c>
      <c r="AJ76">
        <f ca="1"/>
        <v>0</v>
      </c>
      <c r="AK76" t="str">
        <f ca="1"/>
        <v>20x1L</v>
      </c>
      <c r="AL76">
        <f ca="1"/>
        <v>41276</v>
      </c>
      <c r="AM76">
        <f ca="1"/>
        <v>4637.0434782608718</v>
      </c>
      <c r="AN76" t="str">
        <f ca="1"/>
        <v>O-45670-D-0006</v>
      </c>
      <c r="AO76" t="str">
        <f ca="1"/>
        <v>Delivered</v>
      </c>
    </row>
    <row r="77" spans="1:41" x14ac:dyDescent="0.5">
      <c r="A77" t="str">
        <f ca="1"/>
        <v>F-123</v>
      </c>
      <c r="B77" s="1">
        <f ca="1"/>
        <v>45670</v>
      </c>
      <c r="C77" t="str">
        <f ca="1"/>
        <v>D-0006</v>
      </c>
      <c r="D77" t="str">
        <f ca="1"/>
        <v>Maliha Enterprise</v>
      </c>
      <c r="E77" t="str">
        <f ca="1"/>
        <v>C/25/5, Thana Road Bus stand, Savar, Dhaka.</v>
      </c>
      <c r="F77" t="str">
        <f ca="1"/>
        <v>01715414646</v>
      </c>
      <c r="G77" t="str">
        <f ca="1"/>
        <v>Sayed Al Amin Apu</v>
      </c>
      <c r="H77" t="str">
        <f ca="1"/>
        <v>Abdul Matin</v>
      </c>
      <c r="I77" t="str">
        <f ca="1"/>
        <v>Maliha Enterprise</v>
      </c>
      <c r="J77" t="str">
        <f ca="1"/>
        <v>Savar</v>
      </c>
      <c r="K77" t="str">
        <f ca="1"/>
        <v>LO00043</v>
      </c>
      <c r="L77" t="str">
        <f ca="1"/>
        <v>3000 4T PLUS 10W40</v>
      </c>
      <c r="M77">
        <f ca="1"/>
        <v>800</v>
      </c>
      <c r="N77">
        <f ca="1"/>
        <v>533</v>
      </c>
      <c r="O77">
        <f ca="1"/>
        <v>800</v>
      </c>
      <c r="P77">
        <f ca="1"/>
        <v>0</v>
      </c>
      <c r="Q77">
        <f ca="1"/>
        <v>0</v>
      </c>
      <c r="R77">
        <f ca="1"/>
        <v>533</v>
      </c>
      <c r="S77">
        <f ca="1"/>
        <v>800</v>
      </c>
      <c r="T77">
        <f ca="1"/>
        <v>800</v>
      </c>
      <c r="U77">
        <f ca="1"/>
        <v>426400</v>
      </c>
      <c r="V77">
        <f ca="1"/>
        <v>0</v>
      </c>
      <c r="W77">
        <f ca="1"/>
        <v>426400</v>
      </c>
      <c r="X77">
        <f ca="1"/>
        <v>55617.391304347824</v>
      </c>
      <c r="Y77">
        <f ca="1"/>
        <v>370782.60869565216</v>
      </c>
      <c r="Z77" t="str">
        <f ca="1"/>
        <v>Cash</v>
      </c>
      <c r="AA77">
        <f ca="1"/>
        <v>592</v>
      </c>
      <c r="AB77" t="str">
        <f ca="1"/>
        <v>Flat Discount</v>
      </c>
      <c r="AC77">
        <f ca="1"/>
        <v>45673</v>
      </c>
      <c r="AD77" t="str">
        <f ca="1"/>
        <v>Special Discount 2 Taka Per Liter will be provided.</v>
      </c>
      <c r="AE77" t="str">
        <f ca="1"/>
        <v>Central</v>
      </c>
      <c r="AF77" t="str">
        <f ca="1"/>
        <v>Mineral</v>
      </c>
      <c r="AG77" t="str">
        <f ca="1"/>
        <v>MCO</v>
      </c>
      <c r="AH77" t="str">
        <f ca="1"/>
        <v>10W40</v>
      </c>
      <c r="AI77" t="str">
        <f ca="1"/>
        <v>3000</v>
      </c>
      <c r="AJ77">
        <f ca="1"/>
        <v>0</v>
      </c>
      <c r="AK77" t="str">
        <f ca="1"/>
        <v>20x1L</v>
      </c>
      <c r="AL77">
        <f ca="1"/>
        <v>307880</v>
      </c>
      <c r="AM77">
        <f ca="1"/>
        <v>62902.608695652161</v>
      </c>
      <c r="AN77" t="str">
        <f ca="1"/>
        <v>O-45670-D-0006</v>
      </c>
      <c r="AO77" t="str">
        <f ca="1"/>
        <v>Delivered</v>
      </c>
    </row>
    <row r="78" spans="1:41" x14ac:dyDescent="0.5">
      <c r="A78" t="str">
        <f ca="1"/>
        <v>F-123</v>
      </c>
      <c r="B78" s="1">
        <f ca="1"/>
        <v>45670</v>
      </c>
      <c r="C78" t="str">
        <f ca="1"/>
        <v>D-0006</v>
      </c>
      <c r="D78" t="str">
        <f ca="1"/>
        <v>Maliha Enterprise</v>
      </c>
      <c r="E78" t="str">
        <f ca="1"/>
        <v>C/25/5, Thana Road Bus stand, Savar, Dhaka.</v>
      </c>
      <c r="F78" t="str">
        <f ca="1"/>
        <v>01715414646</v>
      </c>
      <c r="G78" t="str">
        <f ca="1"/>
        <v>Sayed Al Amin Apu</v>
      </c>
      <c r="H78" t="str">
        <f ca="1"/>
        <v>Abdul Matin</v>
      </c>
      <c r="I78" t="str">
        <f ca="1"/>
        <v>Maliha Enterprise</v>
      </c>
      <c r="J78" t="str">
        <f ca="1"/>
        <v>Savar</v>
      </c>
      <c r="K78" t="str">
        <f ca="1"/>
        <v>LO00119</v>
      </c>
      <c r="L78" t="str">
        <f ca="1"/>
        <v>3000 4T 20W50</v>
      </c>
      <c r="M78">
        <f ca="1"/>
        <v>100</v>
      </c>
      <c r="N78">
        <f ca="1"/>
        <v>493</v>
      </c>
      <c r="O78">
        <f ca="1"/>
        <v>100</v>
      </c>
      <c r="P78">
        <f ca="1"/>
        <v>0</v>
      </c>
      <c r="Q78">
        <f ca="1"/>
        <v>0</v>
      </c>
      <c r="R78">
        <f ca="1"/>
        <v>493</v>
      </c>
      <c r="S78">
        <f ca="1"/>
        <v>100</v>
      </c>
      <c r="T78">
        <f ca="1"/>
        <v>100</v>
      </c>
      <c r="U78">
        <f ca="1"/>
        <v>49300</v>
      </c>
      <c r="V78">
        <f ca="1"/>
        <v>0</v>
      </c>
      <c r="W78">
        <f ca="1"/>
        <v>49300</v>
      </c>
      <c r="X78">
        <f ca="1"/>
        <v>6430.434782608696</v>
      </c>
      <c r="Y78">
        <f ca="1"/>
        <v>42869.565217391304</v>
      </c>
      <c r="Z78" t="str">
        <f ca="1"/>
        <v>Cash</v>
      </c>
      <c r="AA78">
        <f ca="1"/>
        <v>592</v>
      </c>
      <c r="AB78" t="str">
        <f ca="1"/>
        <v>Flat Discount</v>
      </c>
      <c r="AC78">
        <f ca="1"/>
        <v>45673</v>
      </c>
      <c r="AD78" t="str">
        <f ca="1"/>
        <v>Special Discount 2 Taka Per Liter will be provided.</v>
      </c>
      <c r="AE78" t="str">
        <f ca="1"/>
        <v>Central</v>
      </c>
      <c r="AF78" t="str">
        <f ca="1"/>
        <v>Mineral</v>
      </c>
      <c r="AG78" t="str">
        <f ca="1"/>
        <v>MCO</v>
      </c>
      <c r="AH78" t="str">
        <f ca="1"/>
        <v>20W50</v>
      </c>
      <c r="AI78" t="str">
        <f ca="1"/>
        <v>3000</v>
      </c>
      <c r="AJ78">
        <f ca="1"/>
        <v>0</v>
      </c>
      <c r="AK78" t="str">
        <f ca="1"/>
        <v>20x1L</v>
      </c>
      <c r="AL78">
        <f ca="1"/>
        <v>36492</v>
      </c>
      <c r="AM78">
        <f ca="1"/>
        <v>6377.565217391304</v>
      </c>
      <c r="AN78" t="str">
        <f ca="1"/>
        <v>O-45670-D-0006</v>
      </c>
      <c r="AO78" t="str">
        <f ca="1"/>
        <v>Delivered</v>
      </c>
    </row>
    <row r="79" spans="1:41" x14ac:dyDescent="0.5">
      <c r="A79" t="str">
        <f ca="1"/>
        <v>F-124</v>
      </c>
      <c r="B79" s="1">
        <f ca="1"/>
        <v>45673</v>
      </c>
      <c r="C79" t="str">
        <f ca="1"/>
        <v>D-0006</v>
      </c>
      <c r="D79" t="str">
        <f ca="1"/>
        <v>Fair Auto</v>
      </c>
      <c r="E79" t="str">
        <f ca="1"/>
        <v>Mirpur 10</v>
      </c>
      <c r="F79" t="str">
        <f ca="1"/>
        <v>01670845815</v>
      </c>
      <c r="G79" t="str">
        <f ca="1"/>
        <v>Sayed Al Amin Apu</v>
      </c>
      <c r="H79" t="str">
        <f ca="1"/>
        <v>Abdul Matin</v>
      </c>
      <c r="I79" t="str">
        <f ca="1"/>
        <v>Maliha Enterprise</v>
      </c>
      <c r="J79" t="str">
        <f ca="1"/>
        <v>Savar</v>
      </c>
      <c r="K79" t="str">
        <f ca="1"/>
        <v>LO00041</v>
      </c>
      <c r="L79" t="str">
        <f ca="1"/>
        <v>3000 4T PLUS 10W30</v>
      </c>
      <c r="M79">
        <f ca="1"/>
        <v>60</v>
      </c>
      <c r="N79">
        <f ca="1"/>
        <v>530</v>
      </c>
      <c r="O79">
        <f ca="1"/>
        <v>60</v>
      </c>
      <c r="P79">
        <f ca="1"/>
        <v>0</v>
      </c>
      <c r="Q79">
        <f ca="1"/>
        <v>0</v>
      </c>
      <c r="R79">
        <f ca="1"/>
        <v>530</v>
      </c>
      <c r="S79">
        <f ca="1"/>
        <v>60</v>
      </c>
      <c r="T79">
        <f ca="1"/>
        <v>60</v>
      </c>
      <c r="U79">
        <f ca="1"/>
        <v>31800</v>
      </c>
      <c r="V79">
        <f ca="1"/>
        <v>0</v>
      </c>
      <c r="W79">
        <f ca="1"/>
        <v>31800</v>
      </c>
      <c r="X79">
        <f ca="1"/>
        <v>4147.826086956522</v>
      </c>
      <c r="Y79">
        <f ca="1"/>
        <v>27652.17391304348</v>
      </c>
      <c r="Z79" t="str">
        <f ca="1"/>
        <v>Cash</v>
      </c>
      <c r="AA79">
        <f ca="1"/>
        <v>593</v>
      </c>
      <c r="AB79" t="str">
        <f ca="1"/>
        <v>Flat Discount</v>
      </c>
      <c r="AC79">
        <f ca="1"/>
        <v>45676</v>
      </c>
      <c r="AD79" t="str">
        <f ca="1"/>
        <v/>
      </c>
      <c r="AE79" t="str">
        <f ca="1"/>
        <v>Central</v>
      </c>
      <c r="AF79" t="str">
        <f ca="1"/>
        <v>Mineral</v>
      </c>
      <c r="AG79" t="str">
        <f ca="1"/>
        <v>MCO</v>
      </c>
      <c r="AH79" t="str">
        <f ca="1"/>
        <v>10W30</v>
      </c>
      <c r="AI79" t="str">
        <f ca="1"/>
        <v>3000</v>
      </c>
      <c r="AJ79">
        <f ca="1"/>
        <v>0</v>
      </c>
      <c r="AK79" t="str">
        <f ca="1"/>
        <v>20x1L</v>
      </c>
      <c r="AL79">
        <f ca="1"/>
        <v>22759.8</v>
      </c>
      <c r="AM79">
        <f ca="1"/>
        <v>4892.3739130434806</v>
      </c>
      <c r="AN79" t="str">
        <f ca="1"/>
        <v>O-45673-D-0006</v>
      </c>
      <c r="AO79" t="str">
        <f ca="1"/>
        <v>Delivered</v>
      </c>
    </row>
    <row r="80" spans="1:41" x14ac:dyDescent="0.5">
      <c r="A80" t="str">
        <f ca="1"/>
        <v>F-124</v>
      </c>
      <c r="B80" s="1">
        <f ca="1"/>
        <v>45673</v>
      </c>
      <c r="C80" t="str">
        <f ca="1"/>
        <v>D-0006</v>
      </c>
      <c r="D80" t="str">
        <f ca="1"/>
        <v>Fair Auto</v>
      </c>
      <c r="E80" t="str">
        <f ca="1"/>
        <v>Mirpur 10</v>
      </c>
      <c r="F80" t="str">
        <f ca="1"/>
        <v>01670845815</v>
      </c>
      <c r="G80" t="str">
        <f ca="1"/>
        <v>Sayed Al Amin Apu</v>
      </c>
      <c r="H80" t="str">
        <f ca="1"/>
        <v>Abdul Matin</v>
      </c>
      <c r="I80" t="str">
        <f ca="1"/>
        <v>Maliha Enterprise</v>
      </c>
      <c r="J80" t="str">
        <f ca="1"/>
        <v>Savar</v>
      </c>
      <c r="K80" t="str">
        <f ca="1"/>
        <v>LO00043</v>
      </c>
      <c r="L80" t="str">
        <f ca="1"/>
        <v>3000 4T PLUS 10W40</v>
      </c>
      <c r="M80">
        <f ca="1"/>
        <v>140</v>
      </c>
      <c r="N80">
        <f ca="1"/>
        <v>535</v>
      </c>
      <c r="O80">
        <f ca="1"/>
        <v>140</v>
      </c>
      <c r="P80">
        <f ca="1"/>
        <v>0</v>
      </c>
      <c r="Q80">
        <f ca="1"/>
        <v>0</v>
      </c>
      <c r="R80">
        <f ca="1"/>
        <v>535</v>
      </c>
      <c r="S80">
        <f ca="1"/>
        <v>140</v>
      </c>
      <c r="T80">
        <f ca="1"/>
        <v>140</v>
      </c>
      <c r="U80">
        <f ca="1"/>
        <v>74900</v>
      </c>
      <c r="V80">
        <f ca="1"/>
        <v>0</v>
      </c>
      <c r="W80">
        <f ca="1"/>
        <v>74900</v>
      </c>
      <c r="X80">
        <f ca="1"/>
        <v>9769.565217391304</v>
      </c>
      <c r="Y80">
        <f ca="1"/>
        <v>65130.434782608696</v>
      </c>
      <c r="Z80" t="str">
        <f ca="1"/>
        <v>Cash</v>
      </c>
      <c r="AA80">
        <f ca="1"/>
        <v>593</v>
      </c>
      <c r="AB80" t="str">
        <f ca="1"/>
        <v>Flat Discount</v>
      </c>
      <c r="AC80">
        <f ca="1"/>
        <v>45676</v>
      </c>
      <c r="AD80" t="str">
        <f ca="1"/>
        <v/>
      </c>
      <c r="AE80" t="str">
        <f ca="1"/>
        <v>Central</v>
      </c>
      <c r="AF80" t="str">
        <f ca="1"/>
        <v>Mineral</v>
      </c>
      <c r="AG80" t="str">
        <f ca="1"/>
        <v>MCO</v>
      </c>
      <c r="AH80" t="str">
        <f ca="1"/>
        <v>10W40</v>
      </c>
      <c r="AI80" t="str">
        <f ca="1"/>
        <v>3000</v>
      </c>
      <c r="AJ80">
        <f ca="1"/>
        <v>0</v>
      </c>
      <c r="AK80" t="str">
        <f ca="1"/>
        <v>20x1L</v>
      </c>
      <c r="AL80">
        <f ca="1"/>
        <v>53879</v>
      </c>
      <c r="AM80">
        <f ca="1"/>
        <v>11251.434782608696</v>
      </c>
      <c r="AN80" t="str">
        <f ca="1"/>
        <v>O-45673-D-0006</v>
      </c>
      <c r="AO80" t="str">
        <f ca="1"/>
        <v>Delivered</v>
      </c>
    </row>
    <row r="81" spans="1:41" x14ac:dyDescent="0.5">
      <c r="A81" t="str">
        <f ca="1"/>
        <v>F-124</v>
      </c>
      <c r="B81" s="1">
        <f ca="1"/>
        <v>45673</v>
      </c>
      <c r="C81" t="str">
        <f ca="1"/>
        <v>D-0006</v>
      </c>
      <c r="D81" t="str">
        <f ca="1"/>
        <v>Fair Auto</v>
      </c>
      <c r="E81" t="str">
        <f ca="1"/>
        <v>Mirpur 10</v>
      </c>
      <c r="F81" t="str">
        <f ca="1"/>
        <v>01670845815</v>
      </c>
      <c r="G81" t="str">
        <f ca="1"/>
        <v>Sayed Al Amin Apu</v>
      </c>
      <c r="H81" t="str">
        <f ca="1"/>
        <v>Abdul Matin</v>
      </c>
      <c r="I81" t="str">
        <f ca="1"/>
        <v>Maliha Enterprise</v>
      </c>
      <c r="J81" t="str">
        <f ca="1"/>
        <v>Savar</v>
      </c>
      <c r="K81" t="str">
        <f ca="1"/>
        <v>LO00073</v>
      </c>
      <c r="L81" t="str">
        <f ca="1"/>
        <v>3000 4T PLUS 10W30</v>
      </c>
      <c r="M81">
        <f ca="1"/>
        <v>40</v>
      </c>
      <c r="N81">
        <f ca="1"/>
        <v>640</v>
      </c>
      <c r="O81">
        <f ca="1"/>
        <v>48</v>
      </c>
      <c r="P81">
        <f ca="1"/>
        <v>0</v>
      </c>
      <c r="Q81">
        <f ca="1"/>
        <v>0</v>
      </c>
      <c r="R81">
        <f ca="1"/>
        <v>640</v>
      </c>
      <c r="S81">
        <f ca="1"/>
        <v>40</v>
      </c>
      <c r="T81">
        <f ca="1"/>
        <v>48</v>
      </c>
      <c r="U81">
        <f ca="1"/>
        <v>25600</v>
      </c>
      <c r="V81">
        <f ca="1"/>
        <v>0</v>
      </c>
      <c r="W81">
        <f ca="1"/>
        <v>25600</v>
      </c>
      <c r="X81">
        <f ca="1"/>
        <v>3339.1304347826085</v>
      </c>
      <c r="Y81">
        <f ca="1"/>
        <v>22260.869565217392</v>
      </c>
      <c r="Z81" t="str">
        <f ca="1"/>
        <v>Cash</v>
      </c>
      <c r="AA81">
        <f ca="1"/>
        <v>593</v>
      </c>
      <c r="AB81" t="str">
        <f ca="1"/>
        <v>Flat Discount</v>
      </c>
      <c r="AC81">
        <f ca="1"/>
        <v>45676</v>
      </c>
      <c r="AD81" t="str">
        <f ca="1"/>
        <v/>
      </c>
      <c r="AE81" t="str">
        <f ca="1"/>
        <v>Central</v>
      </c>
      <c r="AF81" t="str">
        <f ca="1"/>
        <v>Mineral</v>
      </c>
      <c r="AG81" t="str">
        <f ca="1"/>
        <v>MCO</v>
      </c>
      <c r="AH81" t="str">
        <f ca="1"/>
        <v>10W30</v>
      </c>
      <c r="AI81" t="str">
        <f ca="1"/>
        <v>3000</v>
      </c>
      <c r="AJ81">
        <f ca="1"/>
        <v>0</v>
      </c>
      <c r="AK81" t="str">
        <f ca="1"/>
        <v>20x1.2L</v>
      </c>
      <c r="AL81">
        <f ca="1"/>
        <v>17556</v>
      </c>
      <c r="AM81">
        <f ca="1"/>
        <v>4704.8695652173919</v>
      </c>
      <c r="AN81" t="str">
        <f ca="1"/>
        <v>O-45673-D-0006</v>
      </c>
      <c r="AO81" t="str">
        <f ca="1"/>
        <v>Delivered</v>
      </c>
    </row>
    <row r="82" spans="1:41" x14ac:dyDescent="0.5">
      <c r="A82" t="str">
        <f ca="1"/>
        <v>F-124</v>
      </c>
      <c r="B82" s="1">
        <f ca="1"/>
        <v>45673</v>
      </c>
      <c r="C82" t="str">
        <f ca="1"/>
        <v>D-0006</v>
      </c>
      <c r="D82" t="str">
        <f ca="1"/>
        <v>Fair Auto</v>
      </c>
      <c r="E82" t="str">
        <f ca="1"/>
        <v>Mirpur 10</v>
      </c>
      <c r="F82" t="str">
        <f ca="1"/>
        <v>01670845815</v>
      </c>
      <c r="G82" t="str">
        <f ca="1"/>
        <v>Sayed Al Amin Apu</v>
      </c>
      <c r="H82" t="str">
        <f ca="1"/>
        <v>Abdul Matin</v>
      </c>
      <c r="I82" t="str">
        <f ca="1"/>
        <v>Maliha Enterprise</v>
      </c>
      <c r="J82" t="str">
        <f ca="1"/>
        <v>Savar</v>
      </c>
      <c r="K82" t="str">
        <f ca="1"/>
        <v>LO00096</v>
      </c>
      <c r="L82" t="str">
        <f ca="1"/>
        <v>3000 4T PLUS 20W40</v>
      </c>
      <c r="M82">
        <f ca="1"/>
        <v>20</v>
      </c>
      <c r="N82">
        <f ca="1"/>
        <v>640</v>
      </c>
      <c r="O82">
        <f ca="1"/>
        <v>24</v>
      </c>
      <c r="P82">
        <f ca="1"/>
        <v>0</v>
      </c>
      <c r="Q82">
        <f ca="1"/>
        <v>0</v>
      </c>
      <c r="R82">
        <f ca="1"/>
        <v>640</v>
      </c>
      <c r="S82">
        <f ca="1"/>
        <v>20</v>
      </c>
      <c r="T82">
        <f ca="1"/>
        <v>24</v>
      </c>
      <c r="U82">
        <f ca="1"/>
        <v>12800</v>
      </c>
      <c r="V82">
        <f ca="1"/>
        <v>0</v>
      </c>
      <c r="W82">
        <f ca="1"/>
        <v>12800</v>
      </c>
      <c r="X82">
        <f ca="1"/>
        <v>1669.5652173913043</v>
      </c>
      <c r="Y82">
        <f ca="1"/>
        <v>11130.434782608696</v>
      </c>
      <c r="Z82" t="str">
        <f ca="1"/>
        <v>Cash</v>
      </c>
      <c r="AA82">
        <f ca="1"/>
        <v>593</v>
      </c>
      <c r="AB82" t="str">
        <f ca="1"/>
        <v>Flat Discount</v>
      </c>
      <c r="AC82">
        <f ca="1"/>
        <v>45676</v>
      </c>
      <c r="AD82" t="str">
        <f ca="1"/>
        <v/>
      </c>
      <c r="AE82" t="str">
        <f ca="1"/>
        <v>Central</v>
      </c>
      <c r="AF82" t="str">
        <f ca="1"/>
        <v>Mineral</v>
      </c>
      <c r="AG82" t="str">
        <f ca="1"/>
        <v>MCO</v>
      </c>
      <c r="AH82" t="str">
        <f ca="1"/>
        <v>20W40</v>
      </c>
      <c r="AI82" t="str">
        <f ca="1"/>
        <v>3000</v>
      </c>
      <c r="AJ82">
        <f ca="1"/>
        <v>0</v>
      </c>
      <c r="AK82" t="str">
        <f ca="1"/>
        <v>20x1.2L</v>
      </c>
      <c r="AL82">
        <f ca="1"/>
        <v>9397.9559070121941</v>
      </c>
      <c r="AM82">
        <f ca="1"/>
        <v>1732.4788755965019</v>
      </c>
      <c r="AN82" t="str">
        <f ca="1"/>
        <v>O-45673-D-0006</v>
      </c>
      <c r="AO82" t="str">
        <f ca="1"/>
        <v>Delivered</v>
      </c>
    </row>
    <row r="83" spans="1:41" x14ac:dyDescent="0.5">
      <c r="A83" t="str">
        <f ca="1"/>
        <v>F-124</v>
      </c>
      <c r="B83" s="1">
        <f ca="1"/>
        <v>45673</v>
      </c>
      <c r="C83" t="str">
        <f ca="1"/>
        <v>D-0006</v>
      </c>
      <c r="D83" t="str">
        <f ca="1"/>
        <v>Fair Auto</v>
      </c>
      <c r="E83" t="str">
        <f ca="1"/>
        <v>Mirpur 10</v>
      </c>
      <c r="F83" t="str">
        <f ca="1"/>
        <v>01670845815</v>
      </c>
      <c r="G83" t="str">
        <f ca="1"/>
        <v>Sayed Al Amin Apu</v>
      </c>
      <c r="H83" t="str">
        <f ca="1"/>
        <v>Abdul Matin</v>
      </c>
      <c r="I83" t="str">
        <f ca="1"/>
        <v>Maliha Enterprise</v>
      </c>
      <c r="J83" t="str">
        <f ca="1"/>
        <v>Savar</v>
      </c>
      <c r="K83" t="str">
        <f ca="1"/>
        <v>LO00044</v>
      </c>
      <c r="L83" t="str">
        <f ca="1"/>
        <v>31004T GOLD 20W50</v>
      </c>
      <c r="M83">
        <f ca="1"/>
        <v>60</v>
      </c>
      <c r="N83">
        <f ca="1"/>
        <v>600</v>
      </c>
      <c r="O83">
        <f ca="1"/>
        <v>60</v>
      </c>
      <c r="P83">
        <f ca="1"/>
        <v>0</v>
      </c>
      <c r="Q83">
        <f ca="1"/>
        <v>0</v>
      </c>
      <c r="R83">
        <f ca="1"/>
        <v>600</v>
      </c>
      <c r="S83">
        <f ca="1"/>
        <v>60</v>
      </c>
      <c r="T83">
        <f ca="1"/>
        <v>60</v>
      </c>
      <c r="U83">
        <f ca="1"/>
        <v>36000</v>
      </c>
      <c r="V83">
        <f ca="1"/>
        <v>0</v>
      </c>
      <c r="W83">
        <f ca="1"/>
        <v>36000</v>
      </c>
      <c r="X83">
        <f ca="1"/>
        <v>4695.652173913043</v>
      </c>
      <c r="Y83">
        <f ca="1"/>
        <v>31304.347826086956</v>
      </c>
      <c r="Z83" t="str">
        <f ca="1"/>
        <v>Cash</v>
      </c>
      <c r="AA83">
        <f ca="1"/>
        <v>593</v>
      </c>
      <c r="AB83" t="str">
        <f ca="1"/>
        <v>Flat Discount</v>
      </c>
      <c r="AC83">
        <f ca="1"/>
        <v>45676</v>
      </c>
      <c r="AD83" t="str">
        <f ca="1"/>
        <v/>
      </c>
      <c r="AE83" t="str">
        <f ca="1"/>
        <v>Central</v>
      </c>
      <c r="AF83" t="str">
        <f ca="1"/>
        <v>Technosynthese</v>
      </c>
      <c r="AG83" t="str">
        <f ca="1"/>
        <v>MCO</v>
      </c>
      <c r="AH83" t="str">
        <f ca="1"/>
        <v>20W50</v>
      </c>
      <c r="AI83" t="str">
        <f ca="1"/>
        <v>3100</v>
      </c>
      <c r="AJ83">
        <f ca="1"/>
        <v>0</v>
      </c>
      <c r="AK83" t="str">
        <f ca="1"/>
        <v>20x1L</v>
      </c>
      <c r="AL83">
        <f ca="1"/>
        <v>28163.399999999998</v>
      </c>
      <c r="AM83">
        <f ca="1"/>
        <v>3140.9478260869582</v>
      </c>
      <c r="AN83" t="str">
        <f ca="1"/>
        <v>O-45673-D-0006</v>
      </c>
      <c r="AO83" t="str">
        <f ca="1"/>
        <v>Delivered</v>
      </c>
    </row>
    <row r="84" spans="1:41" x14ac:dyDescent="0.5">
      <c r="A84" t="str">
        <f ca="1"/>
        <v>F-124</v>
      </c>
      <c r="B84" s="1">
        <f ca="1"/>
        <v>45673</v>
      </c>
      <c r="C84" t="str">
        <f ca="1"/>
        <v>D-0006</v>
      </c>
      <c r="D84" t="str">
        <f ca="1"/>
        <v>Fair Auto</v>
      </c>
      <c r="E84" t="str">
        <f ca="1"/>
        <v>Mirpur 10</v>
      </c>
      <c r="F84" t="str">
        <f ca="1"/>
        <v>01670845815</v>
      </c>
      <c r="G84" t="str">
        <f ca="1"/>
        <v>Sayed Al Amin Apu</v>
      </c>
      <c r="H84" t="str">
        <f ca="1"/>
        <v>Abdul Matin</v>
      </c>
      <c r="I84" t="str">
        <f ca="1"/>
        <v>Maliha Enterprise</v>
      </c>
      <c r="J84" t="str">
        <f ca="1"/>
        <v>Savar</v>
      </c>
      <c r="K84" t="str">
        <f ca="1"/>
        <v>LO00046</v>
      </c>
      <c r="L84" t="str">
        <f ca="1"/>
        <v>51004T 10W40 ESTER</v>
      </c>
      <c r="M84">
        <f ca="1"/>
        <v>60</v>
      </c>
      <c r="N84">
        <f ca="1"/>
        <v>860</v>
      </c>
      <c r="O84">
        <f ca="1"/>
        <v>60</v>
      </c>
      <c r="P84">
        <f ca="1"/>
        <v>0</v>
      </c>
      <c r="Q84">
        <f ca="1"/>
        <v>0</v>
      </c>
      <c r="R84">
        <f ca="1"/>
        <v>860</v>
      </c>
      <c r="S84">
        <f ca="1"/>
        <v>60</v>
      </c>
      <c r="T84">
        <f ca="1"/>
        <v>60</v>
      </c>
      <c r="U84">
        <f ca="1"/>
        <v>51600</v>
      </c>
      <c r="V84">
        <f ca="1"/>
        <v>0</v>
      </c>
      <c r="W84">
        <f ca="1"/>
        <v>51600</v>
      </c>
      <c r="X84">
        <f ca="1"/>
        <v>6730.434782608696</v>
      </c>
      <c r="Y84">
        <f ca="1"/>
        <v>44869.565217391304</v>
      </c>
      <c r="Z84" t="str">
        <f ca="1"/>
        <v>Cash</v>
      </c>
      <c r="AA84">
        <f ca="1"/>
        <v>593</v>
      </c>
      <c r="AB84" t="str">
        <f ca="1"/>
        <v>Flat Discount</v>
      </c>
      <c r="AC84">
        <f ca="1"/>
        <v>45676</v>
      </c>
      <c r="AD84" t="str">
        <f ca="1"/>
        <v/>
      </c>
      <c r="AE84" t="str">
        <f ca="1"/>
        <v>Central</v>
      </c>
      <c r="AF84" t="str">
        <f ca="1"/>
        <v>Technosynthese</v>
      </c>
      <c r="AG84" t="str">
        <f ca="1"/>
        <v>MCO</v>
      </c>
      <c r="AH84" t="str">
        <f ca="1"/>
        <v>10W40</v>
      </c>
      <c r="AI84" t="str">
        <f ca="1"/>
        <v>5100</v>
      </c>
      <c r="AJ84">
        <f ca="1"/>
        <v>0</v>
      </c>
      <c r="AK84" t="str">
        <f ca="1"/>
        <v>12x1L</v>
      </c>
      <c r="AL84">
        <f ca="1"/>
        <v>36499.800000000003</v>
      </c>
      <c r="AM84">
        <f ca="1"/>
        <v>8369.7652173913011</v>
      </c>
      <c r="AN84" t="str">
        <f ca="1"/>
        <v>O-45673-D-0006</v>
      </c>
      <c r="AO84" t="str">
        <f ca="1"/>
        <v>Delivered</v>
      </c>
    </row>
    <row r="85" spans="1:41" x14ac:dyDescent="0.5">
      <c r="A85" t="str">
        <f ca="1"/>
        <v>F-124</v>
      </c>
      <c r="B85" s="1">
        <f ca="1"/>
        <v>45673</v>
      </c>
      <c r="C85" t="str">
        <f ca="1"/>
        <v>D-0006</v>
      </c>
      <c r="D85" t="str">
        <f ca="1"/>
        <v>Fair Auto</v>
      </c>
      <c r="E85" t="str">
        <f ca="1"/>
        <v>Mirpur 10</v>
      </c>
      <c r="F85" t="str">
        <f ca="1"/>
        <v>01670845815</v>
      </c>
      <c r="G85" t="str">
        <f ca="1"/>
        <v>Sayed Al Amin Apu</v>
      </c>
      <c r="H85" t="str">
        <f ca="1"/>
        <v>Abdul Matin</v>
      </c>
      <c r="I85" t="str">
        <f ca="1"/>
        <v>Maliha Enterprise</v>
      </c>
      <c r="J85" t="str">
        <f ca="1"/>
        <v>Savar</v>
      </c>
      <c r="K85" t="str">
        <f ca="1"/>
        <v>LO00074</v>
      </c>
      <c r="L85" t="str">
        <f ca="1"/>
        <v>7100 4T 10W30 ESTER CORE®</v>
      </c>
      <c r="M85">
        <f ca="1"/>
        <v>36</v>
      </c>
      <c r="N85">
        <f ca="1"/>
        <v>1060</v>
      </c>
      <c r="O85">
        <f ca="1"/>
        <v>36</v>
      </c>
      <c r="P85">
        <f ca="1"/>
        <v>0</v>
      </c>
      <c r="Q85">
        <f ca="1"/>
        <v>0</v>
      </c>
      <c r="R85">
        <f ca="1"/>
        <v>1060</v>
      </c>
      <c r="S85">
        <f ca="1"/>
        <v>36</v>
      </c>
      <c r="T85">
        <f ca="1"/>
        <v>36</v>
      </c>
      <c r="U85">
        <f ca="1"/>
        <v>38160</v>
      </c>
      <c r="V85">
        <f ca="1"/>
        <v>0</v>
      </c>
      <c r="W85">
        <f ca="1"/>
        <v>38160</v>
      </c>
      <c r="X85">
        <f ca="1"/>
        <v>4977.391304347826</v>
      </c>
      <c r="Y85">
        <f ca="1"/>
        <v>33182.608695652176</v>
      </c>
      <c r="Z85" t="str">
        <f ca="1"/>
        <v>Cash</v>
      </c>
      <c r="AA85">
        <f ca="1"/>
        <v>593</v>
      </c>
      <c r="AB85" t="str">
        <f ca="1"/>
        <v>Flat Discount</v>
      </c>
      <c r="AC85">
        <f ca="1"/>
        <v>45676</v>
      </c>
      <c r="AD85" t="str">
        <f ca="1"/>
        <v/>
      </c>
      <c r="AE85" t="str">
        <f ca="1"/>
        <v>Central</v>
      </c>
      <c r="AF85" t="str">
        <f ca="1"/>
        <v>Synthetic</v>
      </c>
      <c r="AG85" t="str">
        <f ca="1"/>
        <v>MCO</v>
      </c>
      <c r="AH85" t="str">
        <f ca="1"/>
        <v>10W30</v>
      </c>
      <c r="AI85" t="str">
        <f ca="1"/>
        <v>7100</v>
      </c>
      <c r="AJ85">
        <f ca="1"/>
        <v>0</v>
      </c>
      <c r="AK85" t="str">
        <f ca="1"/>
        <v>12x1L</v>
      </c>
      <c r="AL85">
        <f ca="1"/>
        <v>24834.959999999999</v>
      </c>
      <c r="AM85">
        <f ca="1"/>
        <v>8347.6486956521767</v>
      </c>
      <c r="AN85" t="str">
        <f ca="1"/>
        <v>O-45673-D-0006</v>
      </c>
      <c r="AO85" t="str">
        <f ca="1"/>
        <v>Delivered</v>
      </c>
    </row>
    <row r="86" spans="1:41" x14ac:dyDescent="0.5">
      <c r="A86" t="str">
        <f ca="1"/>
        <v>F-124</v>
      </c>
      <c r="B86" s="1">
        <f ca="1"/>
        <v>45673</v>
      </c>
      <c r="C86" t="str">
        <f ca="1"/>
        <v>D-0006</v>
      </c>
      <c r="D86" t="str">
        <f ca="1"/>
        <v>Fair Auto</v>
      </c>
      <c r="E86" t="str">
        <f ca="1"/>
        <v>Mirpur 10</v>
      </c>
      <c r="F86" t="str">
        <f ca="1"/>
        <v>01670845815</v>
      </c>
      <c r="G86" t="str">
        <f ca="1"/>
        <v>Sayed Al Amin Apu</v>
      </c>
      <c r="H86" t="str">
        <f ca="1"/>
        <v>Abdul Matin</v>
      </c>
      <c r="I86" t="str">
        <f ca="1"/>
        <v>Maliha Enterprise</v>
      </c>
      <c r="J86" t="str">
        <f ca="1"/>
        <v>Savar</v>
      </c>
      <c r="K86" t="str">
        <f ca="1"/>
        <v>LO00104</v>
      </c>
      <c r="L86" t="str">
        <f ca="1"/>
        <v>7100 4T 10W30 ESTER CORE®</v>
      </c>
      <c r="M86">
        <f ca="1"/>
        <v>40</v>
      </c>
      <c r="N86">
        <f ca="1"/>
        <v>1260</v>
      </c>
      <c r="O86">
        <f ca="1"/>
        <v>48</v>
      </c>
      <c r="P86">
        <f ca="1"/>
        <v>0</v>
      </c>
      <c r="Q86">
        <f ca="1"/>
        <v>0</v>
      </c>
      <c r="R86">
        <f ca="1"/>
        <v>1260</v>
      </c>
      <c r="S86">
        <f ca="1"/>
        <v>40</v>
      </c>
      <c r="T86">
        <f ca="1"/>
        <v>48</v>
      </c>
      <c r="U86">
        <f ca="1"/>
        <v>50400</v>
      </c>
      <c r="V86">
        <f ca="1"/>
        <v>0</v>
      </c>
      <c r="W86">
        <f ca="1"/>
        <v>50400</v>
      </c>
      <c r="X86">
        <f ca="1"/>
        <v>6573.913043478261</v>
      </c>
      <c r="Y86">
        <f ca="1"/>
        <v>43826.086956521736</v>
      </c>
      <c r="Z86" t="str">
        <f ca="1"/>
        <v>Cash</v>
      </c>
      <c r="AA86">
        <f ca="1"/>
        <v>593</v>
      </c>
      <c r="AB86" t="str">
        <f ca="1"/>
        <v>Flat Discount</v>
      </c>
      <c r="AC86">
        <f ca="1"/>
        <v>45676</v>
      </c>
      <c r="AD86" t="str">
        <f ca="1"/>
        <v/>
      </c>
      <c r="AE86" t="str">
        <f ca="1"/>
        <v>Central</v>
      </c>
      <c r="AF86" t="str">
        <f ca="1"/>
        <v>Synthetic</v>
      </c>
      <c r="AG86" t="str">
        <f ca="1"/>
        <v>MCO</v>
      </c>
      <c r="AH86" t="str">
        <f ca="1"/>
        <v>10W30</v>
      </c>
      <c r="AI86" t="str">
        <f ca="1"/>
        <v>7100</v>
      </c>
      <c r="AJ86">
        <f ca="1"/>
        <v>0</v>
      </c>
      <c r="AK86" t="str">
        <f ca="1"/>
        <v>20x1.2L</v>
      </c>
      <c r="AL86">
        <f ca="1"/>
        <v>31092</v>
      </c>
      <c r="AM86">
        <f ca="1"/>
        <v>12734.086956521736</v>
      </c>
      <c r="AN86" t="str">
        <f ca="1"/>
        <v>O-45673-D-0006</v>
      </c>
      <c r="AO86" t="str">
        <f ca="1"/>
        <v>Delivered</v>
      </c>
    </row>
    <row r="87" spans="1:41" x14ac:dyDescent="0.5">
      <c r="A87" t="str">
        <f ca="1"/>
        <v>F-124</v>
      </c>
      <c r="B87" s="1">
        <f ca="1"/>
        <v>45673</v>
      </c>
      <c r="C87" t="str">
        <f ca="1"/>
        <v>D-0006</v>
      </c>
      <c r="D87" t="str">
        <f ca="1"/>
        <v>Fair Auto</v>
      </c>
      <c r="E87" t="str">
        <f ca="1"/>
        <v>Mirpur 10</v>
      </c>
      <c r="F87" t="str">
        <f ca="1"/>
        <v>01670845815</v>
      </c>
      <c r="G87" t="str">
        <f ca="1"/>
        <v>Sayed Al Amin Apu</v>
      </c>
      <c r="H87" t="str">
        <f ca="1"/>
        <v>Abdul Matin</v>
      </c>
      <c r="I87" t="str">
        <f ca="1"/>
        <v>Maliha Enterprise</v>
      </c>
      <c r="J87" t="str">
        <f ca="1"/>
        <v>Savar</v>
      </c>
      <c r="K87" t="str">
        <f ca="1"/>
        <v>LO00119</v>
      </c>
      <c r="L87" t="str">
        <f ca="1"/>
        <v>3000 4T 20W50</v>
      </c>
      <c r="M87">
        <f ca="1"/>
        <v>20</v>
      </c>
      <c r="N87">
        <f ca="1"/>
        <v>495</v>
      </c>
      <c r="O87">
        <f ca="1"/>
        <v>20</v>
      </c>
      <c r="P87">
        <f ca="1"/>
        <v>0</v>
      </c>
      <c r="Q87">
        <f ca="1"/>
        <v>0</v>
      </c>
      <c r="R87">
        <f ca="1"/>
        <v>495</v>
      </c>
      <c r="S87">
        <f ca="1"/>
        <v>20</v>
      </c>
      <c r="T87">
        <f ca="1"/>
        <v>20</v>
      </c>
      <c r="U87">
        <f ca="1"/>
        <v>9900</v>
      </c>
      <c r="V87">
        <f ca="1"/>
        <v>0</v>
      </c>
      <c r="W87">
        <f ca="1"/>
        <v>9900</v>
      </c>
      <c r="X87">
        <f ca="1"/>
        <v>1291.304347826087</v>
      </c>
      <c r="Y87">
        <f ca="1"/>
        <v>8608.6956521739139</v>
      </c>
      <c r="Z87" t="str">
        <f ca="1"/>
        <v>Cash</v>
      </c>
      <c r="AA87">
        <f ca="1"/>
        <v>593</v>
      </c>
      <c r="AB87" t="str">
        <f ca="1"/>
        <v>Flat Discount</v>
      </c>
      <c r="AC87">
        <f ca="1"/>
        <v>45676</v>
      </c>
      <c r="AD87" t="str">
        <f ca="1"/>
        <v/>
      </c>
      <c r="AE87" t="str">
        <f ca="1"/>
        <v>Central</v>
      </c>
      <c r="AF87" t="str">
        <f ca="1"/>
        <v>Mineral</v>
      </c>
      <c r="AG87" t="str">
        <f ca="1"/>
        <v>MCO</v>
      </c>
      <c r="AH87" t="str">
        <f ca="1"/>
        <v>20W50</v>
      </c>
      <c r="AI87" t="str">
        <f ca="1"/>
        <v>3000</v>
      </c>
      <c r="AJ87">
        <f ca="1"/>
        <v>0</v>
      </c>
      <c r="AK87" t="str">
        <f ca="1"/>
        <v>20x1L</v>
      </c>
      <c r="AL87">
        <f ca="1"/>
        <v>7298.4000000000005</v>
      </c>
      <c r="AM87">
        <f ca="1"/>
        <v>1310.2956521739134</v>
      </c>
      <c r="AN87" t="str">
        <f ca="1"/>
        <v>O-45673-D-0006</v>
      </c>
      <c r="AO87" t="str">
        <f ca="1"/>
        <v>Delivered</v>
      </c>
    </row>
    <row r="88" spans="1:41" x14ac:dyDescent="0.5">
      <c r="A88" t="str">
        <f ca="1"/>
        <v>F-124</v>
      </c>
      <c r="B88" s="1">
        <f ca="1"/>
        <v>45673</v>
      </c>
      <c r="C88" t="str">
        <f ca="1"/>
        <v>D-0006</v>
      </c>
      <c r="D88" t="str">
        <f ca="1"/>
        <v>Fair Auto</v>
      </c>
      <c r="E88" t="str">
        <f ca="1"/>
        <v>Mirpur 10</v>
      </c>
      <c r="F88" t="str">
        <f ca="1"/>
        <v>01670845815</v>
      </c>
      <c r="G88" t="str">
        <f ca="1"/>
        <v>Sayed Al Amin Apu</v>
      </c>
      <c r="H88" t="str">
        <f ca="1"/>
        <v>Abdul Matin</v>
      </c>
      <c r="I88" t="str">
        <f ca="1"/>
        <v>Maliha Enterprise</v>
      </c>
      <c r="J88" t="str">
        <f ca="1"/>
        <v>Savar</v>
      </c>
      <c r="K88" t="str">
        <f ca="1"/>
        <v>LO00120</v>
      </c>
      <c r="L88" t="str">
        <f ca="1"/>
        <v>3000 4T 20W50</v>
      </c>
      <c r="M88">
        <f ca="1"/>
        <v>20</v>
      </c>
      <c r="N88">
        <f ca="1"/>
        <v>595</v>
      </c>
      <c r="O88">
        <f ca="1"/>
        <v>24</v>
      </c>
      <c r="P88">
        <f ca="1"/>
        <v>0</v>
      </c>
      <c r="Q88">
        <f ca="1"/>
        <v>0</v>
      </c>
      <c r="R88">
        <f ca="1"/>
        <v>595</v>
      </c>
      <c r="S88">
        <f ca="1"/>
        <v>20</v>
      </c>
      <c r="T88">
        <f ca="1"/>
        <v>24</v>
      </c>
      <c r="U88">
        <f ca="1"/>
        <v>11900</v>
      </c>
      <c r="V88">
        <f ca="1"/>
        <v>0</v>
      </c>
      <c r="W88">
        <f ca="1"/>
        <v>11900</v>
      </c>
      <c r="X88">
        <f ca="1"/>
        <v>1552.1739130434783</v>
      </c>
      <c r="Y88">
        <f ca="1"/>
        <v>10347.826086956522</v>
      </c>
      <c r="Z88" t="str">
        <f ca="1"/>
        <v>Cash</v>
      </c>
      <c r="AA88">
        <f ca="1"/>
        <v>593</v>
      </c>
      <c r="AB88" t="str">
        <f ca="1"/>
        <v>Flat Discount</v>
      </c>
      <c r="AC88">
        <f ca="1"/>
        <v>45676</v>
      </c>
      <c r="AD88" t="str">
        <f ca="1"/>
        <v/>
      </c>
      <c r="AE88" t="str">
        <f ca="1"/>
        <v>Central</v>
      </c>
      <c r="AF88" t="str">
        <f ca="1"/>
        <v>Mineral</v>
      </c>
      <c r="AG88" t="str">
        <f ca="1"/>
        <v>MCO</v>
      </c>
      <c r="AH88" t="str">
        <f ca="1"/>
        <v>20W50</v>
      </c>
      <c r="AI88" t="str">
        <f ca="1"/>
        <v>3000</v>
      </c>
      <c r="AJ88">
        <f ca="1"/>
        <v>0</v>
      </c>
      <c r="AK88" t="str">
        <f ca="1"/>
        <v>20x1.2L</v>
      </c>
      <c r="AL88">
        <f ca="1"/>
        <v>8692.2000000000007</v>
      </c>
      <c r="AM88">
        <f ca="1"/>
        <v>1655.6260869565212</v>
      </c>
      <c r="AN88" t="str">
        <f ca="1"/>
        <v>O-45673-D-0006</v>
      </c>
      <c r="AO88" t="str">
        <f ca="1"/>
        <v>Delivered</v>
      </c>
    </row>
    <row r="89" spans="1:41" x14ac:dyDescent="0.5">
      <c r="A89" t="str">
        <f ca="1"/>
        <v>F-125</v>
      </c>
      <c r="B89" s="1">
        <f ca="1"/>
        <v>45673</v>
      </c>
      <c r="C89" t="str">
        <f ca="1"/>
        <v>D-0003</v>
      </c>
      <c r="D89" t="str">
        <f ca="1"/>
        <v>Bajaj Parts Center</v>
      </c>
      <c r="E89" t="str">
        <f ca="1"/>
        <v>Taltola, Sylhet</v>
      </c>
      <c r="F89" t="str">
        <f ca="1"/>
        <v>01711-700652</v>
      </c>
      <c r="G89" t="str">
        <f ca="1"/>
        <v>Md. Robin Sheikh</v>
      </c>
      <c r="H89" t="str">
        <f ca="1"/>
        <v>Razur Rahman (Bipul)</v>
      </c>
      <c r="I89" t="str">
        <f ca="1"/>
        <v>Bajaj Parts Center</v>
      </c>
      <c r="J89" t="str">
        <f ca="1"/>
        <v>Taltola</v>
      </c>
      <c r="K89" t="str">
        <f ca="1"/>
        <v>LO00076</v>
      </c>
      <c r="L89" t="str">
        <f ca="1"/>
        <v>Inugel Expert Coolant</v>
      </c>
      <c r="M89">
        <f ca="1"/>
        <v>40</v>
      </c>
      <c r="N89">
        <f ca="1"/>
        <v>425</v>
      </c>
      <c r="O89">
        <f ca="1"/>
        <v>40</v>
      </c>
      <c r="P89">
        <f ca="1"/>
        <v>0</v>
      </c>
      <c r="Q89">
        <f ca="1"/>
        <v>0</v>
      </c>
      <c r="R89">
        <f ca="1"/>
        <v>425</v>
      </c>
      <c r="S89">
        <f ca="1"/>
        <v>40</v>
      </c>
      <c r="T89">
        <f ca="1"/>
        <v>40</v>
      </c>
      <c r="U89">
        <f ca="1"/>
        <v>17000</v>
      </c>
      <c r="V89">
        <f ca="1"/>
        <v>0</v>
      </c>
      <c r="W89">
        <f ca="1"/>
        <v>17000</v>
      </c>
      <c r="X89">
        <f ca="1"/>
        <v>2217.391304347826</v>
      </c>
      <c r="Y89">
        <f ca="1"/>
        <v>14782.608695652174</v>
      </c>
      <c r="Z89" t="str">
        <f ca="1"/>
        <v>Cash</v>
      </c>
      <c r="AA89">
        <f ca="1"/>
        <v>594</v>
      </c>
      <c r="AB89" t="str">
        <f ca="1"/>
        <v>Flat Discount</v>
      </c>
      <c r="AC89">
        <f ca="1"/>
        <v>45676</v>
      </c>
      <c r="AD89" t="str">
        <f ca="1"/>
        <v/>
      </c>
      <c r="AE89" t="str">
        <f ca="1"/>
        <v>Eastern</v>
      </c>
      <c r="AF89" t="str">
        <f ca="1"/>
        <v>Care Products</v>
      </c>
      <c r="AG89" t="str">
        <f ca="1"/>
        <v>Care Products</v>
      </c>
      <c r="AH89" t="str">
        <f ca="1"/>
        <v>Care Products</v>
      </c>
      <c r="AI89" t="str">
        <f ca="1"/>
        <v>Coolant</v>
      </c>
      <c r="AJ89">
        <f ca="1"/>
        <v>0</v>
      </c>
      <c r="AK89" t="str">
        <f ca="1"/>
        <v>20x1L</v>
      </c>
      <c r="AL89">
        <f ca="1"/>
        <v>9225.5999999999985</v>
      </c>
      <c r="AM89">
        <f ca="1"/>
        <v>5557.0086956521754</v>
      </c>
      <c r="AN89" t="str">
        <f ca="1"/>
        <v>O-45673-D-0003</v>
      </c>
      <c r="AO89" t="str">
        <f ca="1"/>
        <v>Delivered</v>
      </c>
    </row>
    <row r="90" spans="1:41" x14ac:dyDescent="0.5">
      <c r="A90" t="str">
        <f ca="1"/>
        <v>F-125</v>
      </c>
      <c r="B90" s="1">
        <f ca="1"/>
        <v>45673</v>
      </c>
      <c r="C90" t="str">
        <f ca="1"/>
        <v>D-0003</v>
      </c>
      <c r="D90" t="str">
        <f ca="1"/>
        <v>Bajaj Parts Center</v>
      </c>
      <c r="E90" t="str">
        <f ca="1"/>
        <v>Taltola, Sylhet</v>
      </c>
      <c r="F90" t="str">
        <f ca="1"/>
        <v>01711-700652</v>
      </c>
      <c r="G90" t="str">
        <f ca="1"/>
        <v>Md. Robin Sheikh</v>
      </c>
      <c r="H90" t="str">
        <f ca="1"/>
        <v>Razur Rahman (Bipul)</v>
      </c>
      <c r="I90" t="str">
        <f ca="1"/>
        <v>Bajaj Parts Center</v>
      </c>
      <c r="J90" t="str">
        <f ca="1"/>
        <v>Taltola</v>
      </c>
      <c r="K90" t="str">
        <f ca="1"/>
        <v>LO00119</v>
      </c>
      <c r="L90" t="str">
        <f ca="1"/>
        <v>3000 4T 20W50</v>
      </c>
      <c r="M90">
        <f ca="1"/>
        <v>500</v>
      </c>
      <c r="N90">
        <f ca="1"/>
        <v>485</v>
      </c>
      <c r="O90">
        <f ca="1"/>
        <v>500</v>
      </c>
      <c r="P90">
        <f ca="1"/>
        <v>0</v>
      </c>
      <c r="Q90">
        <f ca="1"/>
        <v>0</v>
      </c>
      <c r="R90">
        <f ca="1"/>
        <v>485</v>
      </c>
      <c r="S90">
        <f ca="1"/>
        <v>500</v>
      </c>
      <c r="T90">
        <f ca="1"/>
        <v>500</v>
      </c>
      <c r="U90">
        <f ca="1"/>
        <v>242500</v>
      </c>
      <c r="V90">
        <f ca="1"/>
        <v>0</v>
      </c>
      <c r="W90">
        <f ca="1"/>
        <v>242500</v>
      </c>
      <c r="X90">
        <f ca="1"/>
        <v>31630.434782608696</v>
      </c>
      <c r="Y90">
        <f ca="1"/>
        <v>210869.5652173913</v>
      </c>
      <c r="Z90" t="str">
        <f ca="1"/>
        <v>Cash</v>
      </c>
      <c r="AA90">
        <f ca="1"/>
        <v>594</v>
      </c>
      <c r="AB90" t="str">
        <f ca="1"/>
        <v>Flat Discount</v>
      </c>
      <c r="AC90">
        <f ca="1"/>
        <v>45676</v>
      </c>
      <c r="AD90" t="str">
        <f ca="1"/>
        <v/>
      </c>
      <c r="AE90" t="str">
        <f ca="1"/>
        <v>Eastern</v>
      </c>
      <c r="AF90" t="str">
        <f ca="1"/>
        <v>Mineral</v>
      </c>
      <c r="AG90" t="str">
        <f ca="1"/>
        <v>MCO</v>
      </c>
      <c r="AH90" t="str">
        <f ca="1"/>
        <v>20W50</v>
      </c>
      <c r="AI90" t="str">
        <f ca="1"/>
        <v>3000</v>
      </c>
      <c r="AJ90">
        <f ca="1"/>
        <v>0</v>
      </c>
      <c r="AK90" t="str">
        <f ca="1"/>
        <v>20x1L</v>
      </c>
      <c r="AL90">
        <f ca="1"/>
        <v>182460</v>
      </c>
      <c r="AM90">
        <f ca="1"/>
        <v>28409.565217391297</v>
      </c>
      <c r="AN90" t="str">
        <f ca="1"/>
        <v>O-45673-D-0003</v>
      </c>
      <c r="AO90" t="str">
        <f ca="1"/>
        <v>Delivered</v>
      </c>
    </row>
    <row r="91" spans="1:41" x14ac:dyDescent="0.5">
      <c r="A91" t="str">
        <f ca="1"/>
        <v>F-126</v>
      </c>
      <c r="B91" s="1">
        <f ca="1"/>
        <v>45673</v>
      </c>
      <c r="C91" t="str">
        <f ca="1"/>
        <v>D-0011</v>
      </c>
      <c r="D91" t="str">
        <f ca="1"/>
        <v xml:space="preserve">R. Hossain Motors </v>
      </c>
      <c r="E91" t="str">
        <f ca="1"/>
        <v>Registry Para, Tangail Sadar</v>
      </c>
      <c r="F91" t="str">
        <f ca="1"/>
        <v>01521-308494</v>
      </c>
      <c r="G91" t="str">
        <f ca="1"/>
        <v>Md. Hasemi Rafsan</v>
      </c>
      <c r="H91" t="str">
        <f ca="1"/>
        <v>Raihan Siddiqui</v>
      </c>
      <c r="I91" t="str">
        <f ca="1"/>
        <v>Tuba Motors</v>
      </c>
      <c r="J91" t="str">
        <f ca="1"/>
        <v>Bogura Sadar</v>
      </c>
      <c r="K91" t="str">
        <f ca="1"/>
        <v>LO00041</v>
      </c>
      <c r="L91" t="str">
        <f ca="1"/>
        <v>3000 4T PLUS 10W30</v>
      </c>
      <c r="M91">
        <f ca="1"/>
        <v>60</v>
      </c>
      <c r="N91">
        <f ca="1"/>
        <v>530</v>
      </c>
      <c r="O91">
        <f ca="1"/>
        <v>60</v>
      </c>
      <c r="P91">
        <f ca="1"/>
        <v>0</v>
      </c>
      <c r="Q91">
        <f ca="1"/>
        <v>0</v>
      </c>
      <c r="R91">
        <f ca="1"/>
        <v>530</v>
      </c>
      <c r="S91">
        <f ca="1"/>
        <v>60</v>
      </c>
      <c r="T91">
        <f ca="1"/>
        <v>60</v>
      </c>
      <c r="U91">
        <f ca="1"/>
        <v>31800</v>
      </c>
      <c r="V91">
        <f ca="1"/>
        <v>0</v>
      </c>
      <c r="W91">
        <f ca="1"/>
        <v>31800</v>
      </c>
      <c r="X91">
        <f ca="1"/>
        <v>4147.826086956522</v>
      </c>
      <c r="Y91">
        <f ca="1"/>
        <v>27652.17391304348</v>
      </c>
      <c r="Z91" t="str">
        <f ca="1"/>
        <v>Cash</v>
      </c>
      <c r="AA91">
        <f ca="1"/>
        <v>595</v>
      </c>
      <c r="AB91" t="str">
        <f ca="1"/>
        <v>Flat Discount</v>
      </c>
      <c r="AC91">
        <f ca="1"/>
        <v>45676</v>
      </c>
      <c r="AD91" t="str">
        <f ca="1"/>
        <v/>
      </c>
      <c r="AE91" t="str">
        <f ca="1"/>
        <v>Northern</v>
      </c>
      <c r="AF91" t="str">
        <f ca="1"/>
        <v>Mineral</v>
      </c>
      <c r="AG91" t="str">
        <f ca="1"/>
        <v>MCO</v>
      </c>
      <c r="AH91" t="str">
        <f ca="1"/>
        <v>10W30</v>
      </c>
      <c r="AI91" t="str">
        <f ca="1"/>
        <v>3000</v>
      </c>
      <c r="AJ91">
        <f ca="1"/>
        <v>0</v>
      </c>
      <c r="AK91" t="str">
        <f ca="1"/>
        <v>20x1L</v>
      </c>
      <c r="AL91">
        <f ca="1"/>
        <v>22759.8</v>
      </c>
      <c r="AM91">
        <f ca="1"/>
        <v>4892.3739130434806</v>
      </c>
      <c r="AN91" t="str">
        <f ca="1"/>
        <v>O-45673-D-0011</v>
      </c>
      <c r="AO91" t="str">
        <f ca="1"/>
        <v>Delivered</v>
      </c>
    </row>
    <row r="92" spans="1:41" x14ac:dyDescent="0.5">
      <c r="A92" t="str">
        <f ca="1"/>
        <v>F-126</v>
      </c>
      <c r="B92" s="1">
        <f ca="1"/>
        <v>45673</v>
      </c>
      <c r="C92" t="str">
        <f ca="1"/>
        <v>D-0011</v>
      </c>
      <c r="D92" t="str">
        <f ca="1"/>
        <v xml:space="preserve">R. Hossain Motors </v>
      </c>
      <c r="E92" t="str">
        <f ca="1"/>
        <v>Registry Para, Tangail Sadar</v>
      </c>
      <c r="F92" t="str">
        <f ca="1"/>
        <v>01521-308494</v>
      </c>
      <c r="G92" t="str">
        <f ca="1"/>
        <v>Md. Hasemi Rafsan</v>
      </c>
      <c r="H92" t="str">
        <f ca="1"/>
        <v>Raihan Siddiqui</v>
      </c>
      <c r="I92" t="str">
        <f ca="1"/>
        <v>Tuba Motors</v>
      </c>
      <c r="J92" t="str">
        <f ca="1"/>
        <v>Bogura Sadar</v>
      </c>
      <c r="K92" t="str">
        <f ca="1"/>
        <v>LO00042</v>
      </c>
      <c r="L92" t="str">
        <f ca="1"/>
        <v>3000 4T PLUS 20W40</v>
      </c>
      <c r="M92">
        <f ca="1"/>
        <v>40</v>
      </c>
      <c r="N92">
        <f ca="1"/>
        <v>530</v>
      </c>
      <c r="O92">
        <f ca="1"/>
        <v>40</v>
      </c>
      <c r="P92">
        <f ca="1"/>
        <v>0</v>
      </c>
      <c r="Q92">
        <f ca="1"/>
        <v>0</v>
      </c>
      <c r="R92">
        <f ca="1"/>
        <v>530</v>
      </c>
      <c r="S92">
        <f ca="1"/>
        <v>40</v>
      </c>
      <c r="T92">
        <f ca="1"/>
        <v>40</v>
      </c>
      <c r="U92">
        <f ca="1"/>
        <v>21200</v>
      </c>
      <c r="V92">
        <f ca="1"/>
        <v>0</v>
      </c>
      <c r="W92">
        <f ca="1"/>
        <v>21200</v>
      </c>
      <c r="X92">
        <f ca="1"/>
        <v>2765.217391304348</v>
      </c>
      <c r="Y92">
        <f ca="1"/>
        <v>18434.782608695652</v>
      </c>
      <c r="Z92" t="str">
        <f ca="1"/>
        <v>Cash</v>
      </c>
      <c r="AA92">
        <f ca="1"/>
        <v>595</v>
      </c>
      <c r="AB92" t="str">
        <f ca="1"/>
        <v>Flat Discount</v>
      </c>
      <c r="AC92">
        <f ca="1"/>
        <v>45676</v>
      </c>
      <c r="AD92" t="str">
        <f ca="1"/>
        <v/>
      </c>
      <c r="AE92" t="str">
        <f ca="1"/>
        <v>Northern</v>
      </c>
      <c r="AF92" t="str">
        <f ca="1"/>
        <v>Mineral</v>
      </c>
      <c r="AG92" t="str">
        <f ca="1"/>
        <v>MCO</v>
      </c>
      <c r="AH92" t="str">
        <f ca="1"/>
        <v>20W40</v>
      </c>
      <c r="AI92" t="str">
        <f ca="1"/>
        <v>3000</v>
      </c>
      <c r="AJ92">
        <f ca="1"/>
        <v>0</v>
      </c>
      <c r="AK92" t="str">
        <f ca="1"/>
        <v>20x1L</v>
      </c>
      <c r="AL92">
        <f ca="1"/>
        <v>16510.400000000001</v>
      </c>
      <c r="AM92">
        <f ca="1"/>
        <v>1924.3826086956506</v>
      </c>
      <c r="AN92" t="str">
        <f ca="1"/>
        <v>O-45673-D-0011</v>
      </c>
      <c r="AO92" t="str">
        <f ca="1"/>
        <v>Delivered</v>
      </c>
    </row>
    <row r="93" spans="1:41" x14ac:dyDescent="0.5">
      <c r="A93" t="str">
        <f ca="1"/>
        <v>F-126</v>
      </c>
      <c r="B93" s="1">
        <f ca="1"/>
        <v>45673</v>
      </c>
      <c r="C93" t="str">
        <f ca="1"/>
        <v>D-0011</v>
      </c>
      <c r="D93" t="str">
        <f ca="1"/>
        <v xml:space="preserve">R. Hossain Motors </v>
      </c>
      <c r="E93" t="str">
        <f ca="1"/>
        <v>Registry Para, Tangail Sadar</v>
      </c>
      <c r="F93" t="str">
        <f ca="1"/>
        <v>01521-308494</v>
      </c>
      <c r="G93" t="str">
        <f ca="1"/>
        <v>Md. Hasemi Rafsan</v>
      </c>
      <c r="H93" t="str">
        <f ca="1"/>
        <v>Raihan Siddiqui</v>
      </c>
      <c r="I93" t="str">
        <f ca="1"/>
        <v>Tuba Motors</v>
      </c>
      <c r="J93" t="str">
        <f ca="1"/>
        <v>Bogura Sadar</v>
      </c>
      <c r="K93" t="str">
        <f ca="1"/>
        <v>LO00043</v>
      </c>
      <c r="L93" t="str">
        <f ca="1"/>
        <v>3000 4T PLUS 10W40</v>
      </c>
      <c r="M93">
        <f ca="1"/>
        <v>100</v>
      </c>
      <c r="N93">
        <f ca="1"/>
        <v>535</v>
      </c>
      <c r="O93">
        <f ca="1"/>
        <v>100</v>
      </c>
      <c r="P93">
        <f ca="1"/>
        <v>0</v>
      </c>
      <c r="Q93">
        <f ca="1"/>
        <v>0</v>
      </c>
      <c r="R93">
        <f ca="1"/>
        <v>535</v>
      </c>
      <c r="S93">
        <f ca="1"/>
        <v>100</v>
      </c>
      <c r="T93">
        <f ca="1"/>
        <v>100</v>
      </c>
      <c r="U93">
        <f ca="1"/>
        <v>53500</v>
      </c>
      <c r="V93">
        <f ca="1"/>
        <v>0</v>
      </c>
      <c r="W93">
        <f ca="1"/>
        <v>53500</v>
      </c>
      <c r="X93">
        <f ca="1"/>
        <v>6978.260869565217</v>
      </c>
      <c r="Y93">
        <f ca="1"/>
        <v>46521.739130434784</v>
      </c>
      <c r="Z93" t="str">
        <f ca="1"/>
        <v>Cash</v>
      </c>
      <c r="AA93">
        <f ca="1"/>
        <v>595</v>
      </c>
      <c r="AB93" t="str">
        <f ca="1"/>
        <v>Flat Discount</v>
      </c>
      <c r="AC93">
        <f ca="1"/>
        <v>45676</v>
      </c>
      <c r="AD93" t="str">
        <f ca="1"/>
        <v/>
      </c>
      <c r="AE93" t="str">
        <f ca="1"/>
        <v>Northern</v>
      </c>
      <c r="AF93" t="str">
        <f ca="1"/>
        <v>Mineral</v>
      </c>
      <c r="AG93" t="str">
        <f ca="1"/>
        <v>MCO</v>
      </c>
      <c r="AH93" t="str">
        <f ca="1"/>
        <v>10W40</v>
      </c>
      <c r="AI93" t="str">
        <f ca="1"/>
        <v>3000</v>
      </c>
      <c r="AJ93">
        <f ca="1"/>
        <v>0</v>
      </c>
      <c r="AK93" t="str">
        <f ca="1"/>
        <v>20x1L</v>
      </c>
      <c r="AL93">
        <f ca="1"/>
        <v>38485</v>
      </c>
      <c r="AM93">
        <f ca="1"/>
        <v>8036.7391304347839</v>
      </c>
      <c r="AN93" t="str">
        <f ca="1"/>
        <v>O-45673-D-0011</v>
      </c>
      <c r="AO93" t="str">
        <f ca="1"/>
        <v>Delivered</v>
      </c>
    </row>
    <row r="94" spans="1:41" x14ac:dyDescent="0.5">
      <c r="A94" t="str">
        <f ca="1"/>
        <v>F-126</v>
      </c>
      <c r="B94" s="1">
        <f ca="1"/>
        <v>45673</v>
      </c>
      <c r="C94" t="str">
        <f ca="1"/>
        <v>D-0011</v>
      </c>
      <c r="D94" t="str">
        <f ca="1"/>
        <v xml:space="preserve">R. Hossain Motors </v>
      </c>
      <c r="E94" t="str">
        <f ca="1"/>
        <v>Registry Para, Tangail Sadar</v>
      </c>
      <c r="F94" t="str">
        <f ca="1"/>
        <v>01521-308494</v>
      </c>
      <c r="G94" t="str">
        <f ca="1"/>
        <v>Md. Hasemi Rafsan</v>
      </c>
      <c r="H94" t="str">
        <f ca="1"/>
        <v>Raihan Siddiqui</v>
      </c>
      <c r="I94" t="str">
        <f ca="1"/>
        <v>Tuba Motors</v>
      </c>
      <c r="J94" t="str">
        <f ca="1"/>
        <v>Bogura Sadar</v>
      </c>
      <c r="K94" t="str">
        <f ca="1"/>
        <v>LO00073</v>
      </c>
      <c r="L94" t="str">
        <f ca="1"/>
        <v>3000 4T PLUS 10W30</v>
      </c>
      <c r="M94">
        <f ca="1"/>
        <v>40</v>
      </c>
      <c r="N94">
        <f ca="1"/>
        <v>640</v>
      </c>
      <c r="O94">
        <f ca="1"/>
        <v>48</v>
      </c>
      <c r="P94">
        <f ca="1"/>
        <v>0</v>
      </c>
      <c r="Q94">
        <f ca="1"/>
        <v>0</v>
      </c>
      <c r="R94">
        <f ca="1"/>
        <v>640</v>
      </c>
      <c r="S94">
        <f ca="1"/>
        <v>40</v>
      </c>
      <c r="T94">
        <f ca="1"/>
        <v>48</v>
      </c>
      <c r="U94">
        <f ca="1"/>
        <v>25600</v>
      </c>
      <c r="V94">
        <f ca="1"/>
        <v>0</v>
      </c>
      <c r="W94">
        <f ca="1"/>
        <v>25600</v>
      </c>
      <c r="X94">
        <f ca="1"/>
        <v>3339.1304347826085</v>
      </c>
      <c r="Y94">
        <f ca="1"/>
        <v>22260.869565217392</v>
      </c>
      <c r="Z94" t="str">
        <f ca="1"/>
        <v>Cash</v>
      </c>
      <c r="AA94">
        <f ca="1"/>
        <v>595</v>
      </c>
      <c r="AB94" t="str">
        <f ca="1"/>
        <v>Flat Discount</v>
      </c>
      <c r="AC94">
        <f ca="1"/>
        <v>45676</v>
      </c>
      <c r="AD94" t="str">
        <f ca="1"/>
        <v/>
      </c>
      <c r="AE94" t="str">
        <f ca="1"/>
        <v>Northern</v>
      </c>
      <c r="AF94" t="str">
        <f ca="1"/>
        <v>Mineral</v>
      </c>
      <c r="AG94" t="str">
        <f ca="1"/>
        <v>MCO</v>
      </c>
      <c r="AH94" t="str">
        <f ca="1"/>
        <v>10W30</v>
      </c>
      <c r="AI94" t="str">
        <f ca="1"/>
        <v>3000</v>
      </c>
      <c r="AJ94">
        <f ca="1"/>
        <v>0</v>
      </c>
      <c r="AK94" t="str">
        <f ca="1"/>
        <v>20x1.2L</v>
      </c>
      <c r="AL94">
        <f ca="1"/>
        <v>17556</v>
      </c>
      <c r="AM94">
        <f ca="1"/>
        <v>4704.8695652173919</v>
      </c>
      <c r="AN94" t="str">
        <f ca="1"/>
        <v>O-45673-D-0011</v>
      </c>
      <c r="AO94" t="str">
        <f ca="1"/>
        <v>Delivered</v>
      </c>
    </row>
    <row r="95" spans="1:41" x14ac:dyDescent="0.5">
      <c r="A95" t="str">
        <f ca="1"/>
        <v>F-126</v>
      </c>
      <c r="B95" s="1">
        <f ca="1"/>
        <v>45673</v>
      </c>
      <c r="C95" t="str">
        <f ca="1"/>
        <v>D-0011</v>
      </c>
      <c r="D95" t="str">
        <f ca="1"/>
        <v xml:space="preserve">R. Hossain Motors </v>
      </c>
      <c r="E95" t="str">
        <f ca="1"/>
        <v>Registry Para, Tangail Sadar</v>
      </c>
      <c r="F95" t="str">
        <f ca="1"/>
        <v>01521-308494</v>
      </c>
      <c r="G95" t="str">
        <f ca="1"/>
        <v>Md. Hasemi Rafsan</v>
      </c>
      <c r="H95" t="str">
        <f ca="1"/>
        <v>Raihan Siddiqui</v>
      </c>
      <c r="I95" t="str">
        <f ca="1"/>
        <v>Tuba Motors</v>
      </c>
      <c r="J95" t="str">
        <f ca="1"/>
        <v>Bogura Sadar</v>
      </c>
      <c r="K95" t="str">
        <f ca="1"/>
        <v>LO00096</v>
      </c>
      <c r="L95" t="str">
        <f ca="1"/>
        <v>3000 4T PLUS 20W40</v>
      </c>
      <c r="M95">
        <f ca="1"/>
        <v>20</v>
      </c>
      <c r="N95">
        <f ca="1"/>
        <v>640</v>
      </c>
      <c r="O95">
        <f ca="1"/>
        <v>24</v>
      </c>
      <c r="P95">
        <f ca="1"/>
        <v>0</v>
      </c>
      <c r="Q95">
        <f ca="1"/>
        <v>0</v>
      </c>
      <c r="R95">
        <f ca="1"/>
        <v>640</v>
      </c>
      <c r="S95">
        <f ca="1"/>
        <v>20</v>
      </c>
      <c r="T95">
        <f ca="1"/>
        <v>24</v>
      </c>
      <c r="U95">
        <f ca="1"/>
        <v>12800</v>
      </c>
      <c r="V95">
        <f ca="1"/>
        <v>0</v>
      </c>
      <c r="W95">
        <f ca="1"/>
        <v>12800</v>
      </c>
      <c r="X95">
        <f ca="1"/>
        <v>1669.5652173913043</v>
      </c>
      <c r="Y95">
        <f ca="1"/>
        <v>11130.434782608696</v>
      </c>
      <c r="Z95" t="str">
        <f ca="1"/>
        <v>Cash</v>
      </c>
      <c r="AA95">
        <f ca="1"/>
        <v>595</v>
      </c>
      <c r="AB95" t="str">
        <f ca="1"/>
        <v>Flat Discount</v>
      </c>
      <c r="AC95">
        <f ca="1"/>
        <v>45676</v>
      </c>
      <c r="AD95" t="str">
        <f ca="1"/>
        <v/>
      </c>
      <c r="AE95" t="str">
        <f ca="1"/>
        <v>Northern</v>
      </c>
      <c r="AF95" t="str">
        <f ca="1"/>
        <v>Mineral</v>
      </c>
      <c r="AG95" t="str">
        <f ca="1"/>
        <v>MCO</v>
      </c>
      <c r="AH95" t="str">
        <f ca="1"/>
        <v>20W40</v>
      </c>
      <c r="AI95" t="str">
        <f ca="1"/>
        <v>3000</v>
      </c>
      <c r="AJ95">
        <f ca="1"/>
        <v>0</v>
      </c>
      <c r="AK95" t="str">
        <f ca="1"/>
        <v>20x1.2L</v>
      </c>
      <c r="AL95">
        <f ca="1"/>
        <v>9397.9559070121941</v>
      </c>
      <c r="AM95">
        <f ca="1"/>
        <v>1732.4788755965019</v>
      </c>
      <c r="AN95" t="str">
        <f ca="1"/>
        <v>O-45673-D-0011</v>
      </c>
      <c r="AO95" t="str">
        <f ca="1"/>
        <v>Delivered</v>
      </c>
    </row>
    <row r="96" spans="1:41" x14ac:dyDescent="0.5">
      <c r="A96" t="str">
        <f ca="1"/>
        <v>F-126</v>
      </c>
      <c r="B96" s="1">
        <f ca="1"/>
        <v>45673</v>
      </c>
      <c r="C96" t="str">
        <f ca="1"/>
        <v>D-0011</v>
      </c>
      <c r="D96" t="str">
        <f ca="1"/>
        <v xml:space="preserve">R. Hossain Motors </v>
      </c>
      <c r="E96" t="str">
        <f ca="1"/>
        <v>Registry Para, Tangail Sadar</v>
      </c>
      <c r="F96" t="str">
        <f ca="1"/>
        <v>01521-308494</v>
      </c>
      <c r="G96" t="str">
        <f ca="1"/>
        <v>Md. Hasemi Rafsan</v>
      </c>
      <c r="H96" t="str">
        <f ca="1"/>
        <v>Raihan Siddiqui</v>
      </c>
      <c r="I96" t="str">
        <f ca="1"/>
        <v>Tuba Motors</v>
      </c>
      <c r="J96" t="str">
        <f ca="1"/>
        <v>Bogura Sadar</v>
      </c>
      <c r="K96" t="str">
        <f ca="1"/>
        <v>LO00044</v>
      </c>
      <c r="L96" t="str">
        <f ca="1"/>
        <v>31004T GOLD 20W50</v>
      </c>
      <c r="M96">
        <f ca="1"/>
        <v>20</v>
      </c>
      <c r="N96">
        <f ca="1"/>
        <v>600</v>
      </c>
      <c r="O96">
        <f ca="1"/>
        <v>20</v>
      </c>
      <c r="P96">
        <f ca="1"/>
        <v>0</v>
      </c>
      <c r="Q96">
        <f ca="1"/>
        <v>0</v>
      </c>
      <c r="R96">
        <f ca="1"/>
        <v>600</v>
      </c>
      <c r="S96">
        <f ca="1"/>
        <v>20</v>
      </c>
      <c r="T96">
        <f ca="1"/>
        <v>20</v>
      </c>
      <c r="U96">
        <f ca="1"/>
        <v>12000</v>
      </c>
      <c r="V96">
        <f ca="1"/>
        <v>0</v>
      </c>
      <c r="W96">
        <f ca="1"/>
        <v>12000</v>
      </c>
      <c r="X96">
        <f ca="1"/>
        <v>1565.2173913043478</v>
      </c>
      <c r="Y96">
        <f ca="1"/>
        <v>10434.782608695652</v>
      </c>
      <c r="Z96" t="str">
        <f ca="1"/>
        <v>Cash</v>
      </c>
      <c r="AA96">
        <f ca="1"/>
        <v>595</v>
      </c>
      <c r="AB96" t="str">
        <f ca="1"/>
        <v>Flat Discount</v>
      </c>
      <c r="AC96">
        <f ca="1"/>
        <v>45676</v>
      </c>
      <c r="AD96" t="str">
        <f ca="1"/>
        <v/>
      </c>
      <c r="AE96" t="str">
        <f ca="1"/>
        <v>Northern</v>
      </c>
      <c r="AF96" t="str">
        <f ca="1"/>
        <v>Technosynthese</v>
      </c>
      <c r="AG96" t="str">
        <f ca="1"/>
        <v>MCO</v>
      </c>
      <c r="AH96" t="str">
        <f ca="1"/>
        <v>20W50</v>
      </c>
      <c r="AI96" t="str">
        <f ca="1"/>
        <v>3100</v>
      </c>
      <c r="AJ96">
        <f ca="1"/>
        <v>0</v>
      </c>
      <c r="AK96" t="str">
        <f ca="1"/>
        <v>20x1L</v>
      </c>
      <c r="AL96">
        <f ca="1"/>
        <v>9387.7999999999993</v>
      </c>
      <c r="AM96">
        <f ca="1"/>
        <v>1046.9826086956527</v>
      </c>
      <c r="AN96" t="str">
        <f ca="1"/>
        <v>O-45673-D-0011</v>
      </c>
      <c r="AO96" t="str">
        <f ca="1"/>
        <v>Delivered</v>
      </c>
    </row>
    <row r="97" spans="1:41" x14ac:dyDescent="0.5">
      <c r="A97" t="str">
        <f ca="1"/>
        <v>F-126</v>
      </c>
      <c r="B97" s="1">
        <f ca="1"/>
        <v>45673</v>
      </c>
      <c r="C97" t="str">
        <f ca="1"/>
        <v>D-0011</v>
      </c>
      <c r="D97" t="str">
        <f ca="1"/>
        <v xml:space="preserve">R. Hossain Motors </v>
      </c>
      <c r="E97" t="str">
        <f ca="1"/>
        <v>Registry Para, Tangail Sadar</v>
      </c>
      <c r="F97" t="str">
        <f ca="1"/>
        <v>01521-308494</v>
      </c>
      <c r="G97" t="str">
        <f ca="1"/>
        <v>Md. Hasemi Rafsan</v>
      </c>
      <c r="H97" t="str">
        <f ca="1"/>
        <v>Raihan Siddiqui</v>
      </c>
      <c r="I97" t="str">
        <f ca="1"/>
        <v>Tuba Motors</v>
      </c>
      <c r="J97" t="str">
        <f ca="1"/>
        <v>Bogura Sadar</v>
      </c>
      <c r="K97" t="str">
        <f ca="1"/>
        <v>LO00045</v>
      </c>
      <c r="L97" t="str">
        <f ca="1"/>
        <v>51004T 10W30 ESTER</v>
      </c>
      <c r="M97">
        <f ca="1"/>
        <v>12</v>
      </c>
      <c r="N97">
        <f ca="1"/>
        <v>860</v>
      </c>
      <c r="O97">
        <f ca="1"/>
        <v>12</v>
      </c>
      <c r="P97">
        <f ca="1"/>
        <v>0</v>
      </c>
      <c r="Q97">
        <f ca="1"/>
        <v>0</v>
      </c>
      <c r="R97">
        <f ca="1"/>
        <v>860</v>
      </c>
      <c r="S97">
        <f ca="1"/>
        <v>12</v>
      </c>
      <c r="T97">
        <f ca="1"/>
        <v>12</v>
      </c>
      <c r="U97">
        <f ca="1"/>
        <v>10320</v>
      </c>
      <c r="V97">
        <f ca="1"/>
        <v>0</v>
      </c>
      <c r="W97">
        <f ca="1"/>
        <v>10320</v>
      </c>
      <c r="X97">
        <f ca="1"/>
        <v>1346.0869565217392</v>
      </c>
      <c r="Y97">
        <f ca="1"/>
        <v>8973.9130434782601</v>
      </c>
      <c r="Z97" t="str">
        <f ca="1"/>
        <v>Cash</v>
      </c>
      <c r="AA97">
        <f ca="1"/>
        <v>595</v>
      </c>
      <c r="AB97" t="str">
        <f ca="1"/>
        <v>Flat Discount</v>
      </c>
      <c r="AC97">
        <f ca="1"/>
        <v>45676</v>
      </c>
      <c r="AD97" t="str">
        <f ca="1"/>
        <v/>
      </c>
      <c r="AE97" t="str">
        <f ca="1"/>
        <v>Northern</v>
      </c>
      <c r="AF97" t="str">
        <f ca="1"/>
        <v>Technosynthese</v>
      </c>
      <c r="AG97" t="str">
        <f ca="1"/>
        <v>MCO</v>
      </c>
      <c r="AH97" t="str">
        <f ca="1"/>
        <v>10W30</v>
      </c>
      <c r="AI97" t="str">
        <f ca="1"/>
        <v>5100</v>
      </c>
      <c r="AJ97">
        <f ca="1"/>
        <v>0</v>
      </c>
      <c r="AK97" t="str">
        <f ca="1"/>
        <v>12x1L</v>
      </c>
      <c r="AL97">
        <f ca="1"/>
        <v>7231.68</v>
      </c>
      <c r="AM97">
        <f ca="1"/>
        <v>1742.2330434782598</v>
      </c>
      <c r="AN97" t="str">
        <f ca="1"/>
        <v>O-45673-D-0011</v>
      </c>
      <c r="AO97" t="str">
        <f ca="1"/>
        <v>Delivered</v>
      </c>
    </row>
    <row r="98" spans="1:41" x14ac:dyDescent="0.5">
      <c r="A98" t="str">
        <f ca="1"/>
        <v>F-126</v>
      </c>
      <c r="B98" s="1">
        <f ca="1"/>
        <v>45673</v>
      </c>
      <c r="C98" t="str">
        <f ca="1"/>
        <v>D-0011</v>
      </c>
      <c r="D98" t="str">
        <f ca="1"/>
        <v xml:space="preserve">R. Hossain Motors </v>
      </c>
      <c r="E98" t="str">
        <f ca="1"/>
        <v>Registry Para, Tangail Sadar</v>
      </c>
      <c r="F98" t="str">
        <f ca="1"/>
        <v>01521-308494</v>
      </c>
      <c r="G98" t="str">
        <f ca="1"/>
        <v>Md. Hasemi Rafsan</v>
      </c>
      <c r="H98" t="str">
        <f ca="1"/>
        <v>Raihan Siddiqui</v>
      </c>
      <c r="I98" t="str">
        <f ca="1"/>
        <v>Tuba Motors</v>
      </c>
      <c r="J98" t="str">
        <f ca="1"/>
        <v>Bogura Sadar</v>
      </c>
      <c r="K98" t="str">
        <f ca="1"/>
        <v>LO00046</v>
      </c>
      <c r="L98" t="str">
        <f ca="1"/>
        <v>51004T 10W40 ESTER</v>
      </c>
      <c r="M98">
        <f ca="1"/>
        <v>12</v>
      </c>
      <c r="N98">
        <f ca="1"/>
        <v>860</v>
      </c>
      <c r="O98">
        <f ca="1"/>
        <v>12</v>
      </c>
      <c r="P98">
        <f ca="1"/>
        <v>0</v>
      </c>
      <c r="Q98">
        <f ca="1"/>
        <v>0</v>
      </c>
      <c r="R98">
        <f ca="1"/>
        <v>860</v>
      </c>
      <c r="S98">
        <f ca="1"/>
        <v>12</v>
      </c>
      <c r="T98">
        <f ca="1"/>
        <v>12</v>
      </c>
      <c r="U98">
        <f ca="1"/>
        <v>10320</v>
      </c>
      <c r="V98">
        <f ca="1"/>
        <v>0</v>
      </c>
      <c r="W98">
        <f ca="1"/>
        <v>10320</v>
      </c>
      <c r="X98">
        <f ca="1"/>
        <v>1346.0869565217392</v>
      </c>
      <c r="Y98">
        <f ca="1"/>
        <v>8973.9130434782601</v>
      </c>
      <c r="Z98" t="str">
        <f ca="1"/>
        <v>Cash</v>
      </c>
      <c r="AA98">
        <f ca="1"/>
        <v>595</v>
      </c>
      <c r="AB98" t="str">
        <f ca="1"/>
        <v>Flat Discount</v>
      </c>
      <c r="AC98">
        <f ca="1"/>
        <v>45676</v>
      </c>
      <c r="AD98" t="str">
        <f ca="1"/>
        <v/>
      </c>
      <c r="AE98" t="str">
        <f ca="1"/>
        <v>Northern</v>
      </c>
      <c r="AF98" t="str">
        <f ca="1"/>
        <v>Technosynthese</v>
      </c>
      <c r="AG98" t="str">
        <f ca="1"/>
        <v>MCO</v>
      </c>
      <c r="AH98" t="str">
        <f ca="1"/>
        <v>10W40</v>
      </c>
      <c r="AI98" t="str">
        <f ca="1"/>
        <v>5100</v>
      </c>
      <c r="AJ98">
        <f ca="1"/>
        <v>0</v>
      </c>
      <c r="AK98" t="str">
        <f ca="1"/>
        <v>12x1L</v>
      </c>
      <c r="AL98">
        <f ca="1"/>
        <v>7299.9600000000009</v>
      </c>
      <c r="AM98">
        <f ca="1"/>
        <v>1673.9530434782591</v>
      </c>
      <c r="AN98" t="str">
        <f ca="1"/>
        <v>O-45673-D-0011</v>
      </c>
      <c r="AO98" t="str">
        <f ca="1"/>
        <v>Delivered</v>
      </c>
    </row>
    <row r="99" spans="1:41" x14ac:dyDescent="0.5">
      <c r="A99" t="str">
        <f ca="1"/>
        <v>F-126</v>
      </c>
      <c r="B99" s="1">
        <f ca="1"/>
        <v>45673</v>
      </c>
      <c r="C99" t="str">
        <f ca="1"/>
        <v>D-0011</v>
      </c>
      <c r="D99" t="str">
        <f ca="1"/>
        <v xml:space="preserve">R. Hossain Motors </v>
      </c>
      <c r="E99" t="str">
        <f ca="1"/>
        <v>Registry Para, Tangail Sadar</v>
      </c>
      <c r="F99" t="str">
        <f ca="1"/>
        <v>01521-308494</v>
      </c>
      <c r="G99" t="str">
        <f ca="1"/>
        <v>Md. Hasemi Rafsan</v>
      </c>
      <c r="H99" t="str">
        <f ca="1"/>
        <v>Raihan Siddiqui</v>
      </c>
      <c r="I99" t="str">
        <f ca="1"/>
        <v>Tuba Motors</v>
      </c>
      <c r="J99" t="str">
        <f ca="1"/>
        <v>Bogura Sadar</v>
      </c>
      <c r="K99" t="str">
        <f ca="1"/>
        <v>LO00074</v>
      </c>
      <c r="L99" t="str">
        <f ca="1"/>
        <v>7100 4T 10W30 ESTER CORE®</v>
      </c>
      <c r="M99">
        <f ca="1"/>
        <v>12</v>
      </c>
      <c r="N99">
        <f ca="1"/>
        <v>1060</v>
      </c>
      <c r="O99">
        <f ca="1"/>
        <v>12</v>
      </c>
      <c r="P99">
        <f ca="1"/>
        <v>0</v>
      </c>
      <c r="Q99">
        <f ca="1"/>
        <v>0</v>
      </c>
      <c r="R99">
        <f ca="1"/>
        <v>1060</v>
      </c>
      <c r="S99">
        <f ca="1"/>
        <v>12</v>
      </c>
      <c r="T99">
        <f ca="1"/>
        <v>12</v>
      </c>
      <c r="U99">
        <f ca="1"/>
        <v>12720</v>
      </c>
      <c r="V99">
        <f ca="1"/>
        <v>0</v>
      </c>
      <c r="W99">
        <f ca="1"/>
        <v>12720</v>
      </c>
      <c r="X99">
        <f ca="1"/>
        <v>1659.1304347826087</v>
      </c>
      <c r="Y99">
        <f ca="1"/>
        <v>11060.869565217392</v>
      </c>
      <c r="Z99" t="str">
        <f ca="1"/>
        <v>Cash</v>
      </c>
      <c r="AA99">
        <f ca="1"/>
        <v>595</v>
      </c>
      <c r="AB99" t="str">
        <f ca="1"/>
        <v>Flat Discount</v>
      </c>
      <c r="AC99">
        <f ca="1"/>
        <v>45676</v>
      </c>
      <c r="AD99" t="str">
        <f ca="1"/>
        <v/>
      </c>
      <c r="AE99" t="str">
        <f ca="1"/>
        <v>Northern</v>
      </c>
      <c r="AF99" t="str">
        <f ca="1"/>
        <v>Synthetic</v>
      </c>
      <c r="AG99" t="str">
        <f ca="1"/>
        <v>MCO</v>
      </c>
      <c r="AH99" t="str">
        <f ca="1"/>
        <v>10W30</v>
      </c>
      <c r="AI99" t="str">
        <f ca="1"/>
        <v>7100</v>
      </c>
      <c r="AJ99">
        <f ca="1"/>
        <v>0</v>
      </c>
      <c r="AK99" t="str">
        <f ca="1"/>
        <v>12x1L</v>
      </c>
      <c r="AL99">
        <f ca="1"/>
        <v>8278.32</v>
      </c>
      <c r="AM99">
        <f ca="1"/>
        <v>2782.5495652173922</v>
      </c>
      <c r="AN99" t="str">
        <f ca="1"/>
        <v>O-45673-D-0011</v>
      </c>
      <c r="AO99" t="str">
        <f ca="1"/>
        <v>Delivered</v>
      </c>
    </row>
    <row r="100" spans="1:41" x14ac:dyDescent="0.5">
      <c r="A100" t="str">
        <f ca="1"/>
        <v>F-126</v>
      </c>
      <c r="B100" s="1">
        <f ca="1"/>
        <v>45673</v>
      </c>
      <c r="C100" t="str">
        <f ca="1"/>
        <v>D-0011</v>
      </c>
      <c r="D100" t="str">
        <f ca="1"/>
        <v xml:space="preserve">R. Hossain Motors </v>
      </c>
      <c r="E100" t="str">
        <f ca="1"/>
        <v>Registry Para, Tangail Sadar</v>
      </c>
      <c r="F100" t="str">
        <f ca="1"/>
        <v>01521-308494</v>
      </c>
      <c r="G100" t="str">
        <f ca="1"/>
        <v>Md. Hasemi Rafsan</v>
      </c>
      <c r="H100" t="str">
        <f ca="1"/>
        <v>Raihan Siddiqui</v>
      </c>
      <c r="I100" t="str">
        <f ca="1"/>
        <v>Tuba Motors</v>
      </c>
      <c r="J100" t="str">
        <f ca="1"/>
        <v>Bogura Sadar</v>
      </c>
      <c r="K100" t="str">
        <f ca="1"/>
        <v>LO00048</v>
      </c>
      <c r="L100" t="str">
        <f ca="1"/>
        <v>7100 4T 20W50 ESTER CORE®</v>
      </c>
      <c r="M100">
        <f ca="1"/>
        <v>12</v>
      </c>
      <c r="N100">
        <f ca="1"/>
        <v>1070</v>
      </c>
      <c r="O100">
        <f ca="1"/>
        <v>12</v>
      </c>
      <c r="P100">
        <f ca="1"/>
        <v>0</v>
      </c>
      <c r="Q100">
        <f ca="1"/>
        <v>0</v>
      </c>
      <c r="R100">
        <f ca="1"/>
        <v>1070</v>
      </c>
      <c r="S100">
        <f ca="1"/>
        <v>12</v>
      </c>
      <c r="T100">
        <f ca="1"/>
        <v>12</v>
      </c>
      <c r="U100">
        <f ca="1"/>
        <v>12840</v>
      </c>
      <c r="V100">
        <f ca="1"/>
        <v>0</v>
      </c>
      <c r="W100">
        <f ca="1"/>
        <v>12840</v>
      </c>
      <c r="X100">
        <f ca="1"/>
        <v>1674.7826086956522</v>
      </c>
      <c r="Y100">
        <f ca="1"/>
        <v>11165.217391304348</v>
      </c>
      <c r="Z100" t="str">
        <f ca="1"/>
        <v>Cash</v>
      </c>
      <c r="AA100">
        <f ca="1"/>
        <v>595</v>
      </c>
      <c r="AB100" t="str">
        <f ca="1"/>
        <v>Flat Discount</v>
      </c>
      <c r="AC100">
        <f ca="1"/>
        <v>45676</v>
      </c>
      <c r="AD100" t="str">
        <f ca="1"/>
        <v/>
      </c>
      <c r="AE100" t="str">
        <f ca="1"/>
        <v>Northern</v>
      </c>
      <c r="AF100" t="str">
        <f ca="1"/>
        <v>Synthetic</v>
      </c>
      <c r="AG100" t="str">
        <f ca="1"/>
        <v>MCO</v>
      </c>
      <c r="AH100" t="str">
        <f ca="1"/>
        <v>20W50</v>
      </c>
      <c r="AI100" t="str">
        <f ca="1"/>
        <v>7100</v>
      </c>
      <c r="AJ100">
        <f ca="1"/>
        <v>0</v>
      </c>
      <c r="AK100" t="str">
        <f ca="1"/>
        <v>12x1L</v>
      </c>
      <c r="AL100">
        <f ca="1"/>
        <v>9164.380799999999</v>
      </c>
      <c r="AM100">
        <f ca="1"/>
        <v>2000.836591304349</v>
      </c>
      <c r="AN100" t="str">
        <f ca="1"/>
        <v>O-45673-D-0011</v>
      </c>
      <c r="AO100" t="str">
        <f ca="1"/>
        <v>Delivered</v>
      </c>
    </row>
    <row r="101" spans="1:41" x14ac:dyDescent="0.5">
      <c r="A101" t="str">
        <f ca="1"/>
        <v>F-126</v>
      </c>
      <c r="B101" s="1">
        <f ca="1"/>
        <v>45673</v>
      </c>
      <c r="C101" t="str">
        <f ca="1"/>
        <v>D-0011</v>
      </c>
      <c r="D101" t="str">
        <f ca="1"/>
        <v xml:space="preserve">R. Hossain Motors </v>
      </c>
      <c r="E101" t="str">
        <f ca="1"/>
        <v>Registry Para, Tangail Sadar</v>
      </c>
      <c r="F101" t="str">
        <f ca="1"/>
        <v>01521-308494</v>
      </c>
      <c r="G101" t="str">
        <f ca="1"/>
        <v>Md. Hasemi Rafsan</v>
      </c>
      <c r="H101" t="str">
        <f ca="1"/>
        <v>Raihan Siddiqui</v>
      </c>
      <c r="I101" t="str">
        <f ca="1"/>
        <v>Tuba Motors</v>
      </c>
      <c r="J101" t="str">
        <f ca="1"/>
        <v>Bogura Sadar</v>
      </c>
      <c r="K101" t="str">
        <f ca="1"/>
        <v>LO00104</v>
      </c>
      <c r="L101" t="str">
        <f ca="1"/>
        <v>7100 4T 10W30 ESTER CORE®</v>
      </c>
      <c r="M101">
        <f ca="1"/>
        <v>20</v>
      </c>
      <c r="N101">
        <f ca="1"/>
        <v>1260</v>
      </c>
      <c r="O101">
        <f ca="1"/>
        <v>24</v>
      </c>
      <c r="P101">
        <f ca="1"/>
        <v>0</v>
      </c>
      <c r="Q101">
        <f ca="1"/>
        <v>0</v>
      </c>
      <c r="R101">
        <f ca="1"/>
        <v>1260</v>
      </c>
      <c r="S101">
        <f ca="1"/>
        <v>20</v>
      </c>
      <c r="T101">
        <f ca="1"/>
        <v>24</v>
      </c>
      <c r="U101">
        <f ca="1"/>
        <v>25200</v>
      </c>
      <c r="V101">
        <f ca="1"/>
        <v>0</v>
      </c>
      <c r="W101">
        <f ca="1"/>
        <v>25200</v>
      </c>
      <c r="X101">
        <f ca="1"/>
        <v>3286.9565217391305</v>
      </c>
      <c r="Y101">
        <f ca="1"/>
        <v>21913.043478260868</v>
      </c>
      <c r="Z101" t="str">
        <f ca="1"/>
        <v>Cash</v>
      </c>
      <c r="AA101">
        <f ca="1"/>
        <v>595</v>
      </c>
      <c r="AB101" t="str">
        <f ca="1"/>
        <v>Flat Discount</v>
      </c>
      <c r="AC101">
        <f ca="1"/>
        <v>45676</v>
      </c>
      <c r="AD101" t="str">
        <f ca="1"/>
        <v/>
      </c>
      <c r="AE101" t="str">
        <f ca="1"/>
        <v>Northern</v>
      </c>
      <c r="AF101" t="str">
        <f ca="1"/>
        <v>Synthetic</v>
      </c>
      <c r="AG101" t="str">
        <f ca="1"/>
        <v>MCO</v>
      </c>
      <c r="AH101" t="str">
        <f ca="1"/>
        <v>10W30</v>
      </c>
      <c r="AI101" t="str">
        <f ca="1"/>
        <v>7100</v>
      </c>
      <c r="AJ101">
        <f ca="1"/>
        <v>0</v>
      </c>
      <c r="AK101" t="str">
        <f ca="1"/>
        <v>20x1.2L</v>
      </c>
      <c r="AL101">
        <f ca="1"/>
        <v>15546</v>
      </c>
      <c r="AM101">
        <f ca="1"/>
        <v>6367.0434782608681</v>
      </c>
      <c r="AN101" t="str">
        <f ca="1"/>
        <v>O-45673-D-0011</v>
      </c>
      <c r="AO101" t="str">
        <f ca="1"/>
        <v>Delivered</v>
      </c>
    </row>
    <row r="102" spans="1:41" x14ac:dyDescent="0.5">
      <c r="A102" t="str">
        <f ca="1"/>
        <v>F-126</v>
      </c>
      <c r="B102" s="1">
        <f ca="1"/>
        <v>45673</v>
      </c>
      <c r="C102" t="str">
        <f ca="1"/>
        <v>D-0011</v>
      </c>
      <c r="D102" t="str">
        <f ca="1"/>
        <v xml:space="preserve">R. Hossain Motors </v>
      </c>
      <c r="E102" t="str">
        <f ca="1"/>
        <v>Registry Para, Tangail Sadar</v>
      </c>
      <c r="F102" t="str">
        <f ca="1"/>
        <v>01521-308494</v>
      </c>
      <c r="G102" t="str">
        <f ca="1"/>
        <v>Md. Hasemi Rafsan</v>
      </c>
      <c r="H102" t="str">
        <f ca="1"/>
        <v>Raihan Siddiqui</v>
      </c>
      <c r="I102" t="str">
        <f ca="1"/>
        <v>Tuba Motors</v>
      </c>
      <c r="J102" t="str">
        <f ca="1"/>
        <v>Bogura Sadar</v>
      </c>
      <c r="K102" t="str">
        <f ca="1"/>
        <v>LO00119</v>
      </c>
      <c r="L102" t="str">
        <f ca="1"/>
        <v>3000 4T 20W50</v>
      </c>
      <c r="M102">
        <f ca="1"/>
        <v>80</v>
      </c>
      <c r="N102">
        <f ca="1"/>
        <v>487.72</v>
      </c>
      <c r="O102">
        <f ca="1"/>
        <v>80</v>
      </c>
      <c r="P102">
        <f ca="1"/>
        <v>0</v>
      </c>
      <c r="Q102">
        <f ca="1"/>
        <v>0</v>
      </c>
      <c r="R102">
        <f ca="1"/>
        <v>487.72</v>
      </c>
      <c r="S102">
        <f ca="1"/>
        <v>80</v>
      </c>
      <c r="T102">
        <f ca="1"/>
        <v>80</v>
      </c>
      <c r="U102">
        <f ca="1"/>
        <v>39017.600000000006</v>
      </c>
      <c r="V102">
        <f ca="1"/>
        <v>0</v>
      </c>
      <c r="W102">
        <f ca="1"/>
        <v>39017.600000000006</v>
      </c>
      <c r="X102">
        <f ca="1"/>
        <v>5089.2521739130443</v>
      </c>
      <c r="Y102">
        <f ca="1"/>
        <v>33928.34782608696</v>
      </c>
      <c r="Z102" t="str">
        <f ca="1"/>
        <v>Cash</v>
      </c>
      <c r="AA102">
        <f ca="1"/>
        <v>595</v>
      </c>
      <c r="AB102" t="str">
        <f ca="1"/>
        <v>Flat Discount</v>
      </c>
      <c r="AC102">
        <f ca="1"/>
        <v>45676</v>
      </c>
      <c r="AD102" t="str">
        <f ca="1"/>
        <v/>
      </c>
      <c r="AE102" t="str">
        <f ca="1"/>
        <v>Northern</v>
      </c>
      <c r="AF102" t="str">
        <f ca="1"/>
        <v>Mineral</v>
      </c>
      <c r="AG102" t="str">
        <f ca="1"/>
        <v>MCO</v>
      </c>
      <c r="AH102" t="str">
        <f ca="1"/>
        <v>20W50</v>
      </c>
      <c r="AI102" t="str">
        <f ca="1"/>
        <v>3000</v>
      </c>
      <c r="AJ102">
        <f ca="1"/>
        <v>0</v>
      </c>
      <c r="AK102" t="str">
        <f ca="1"/>
        <v>20x1L</v>
      </c>
      <c r="AL102">
        <f ca="1"/>
        <v>29193.600000000002</v>
      </c>
      <c r="AM102">
        <f ca="1"/>
        <v>4734.7478260869575</v>
      </c>
      <c r="AN102" t="str">
        <f ca="1"/>
        <v>O-45673-D-0011</v>
      </c>
      <c r="AO102" t="str">
        <f ca="1"/>
        <v>Delivered</v>
      </c>
    </row>
    <row r="103" spans="1:41" x14ac:dyDescent="0.5">
      <c r="A103" t="str">
        <f ca="1"/>
        <v>F-126</v>
      </c>
      <c r="B103" s="1">
        <f ca="1"/>
        <v>45673</v>
      </c>
      <c r="C103" t="str">
        <f ca="1"/>
        <v>D-0011</v>
      </c>
      <c r="D103" t="str">
        <f ca="1"/>
        <v xml:space="preserve">R. Hossain Motors </v>
      </c>
      <c r="E103" t="str">
        <f ca="1"/>
        <v>Registry Para, Tangail Sadar</v>
      </c>
      <c r="F103" t="str">
        <f ca="1"/>
        <v>01521-308494</v>
      </c>
      <c r="G103" t="str">
        <f ca="1"/>
        <v>Md. Hasemi Rafsan</v>
      </c>
      <c r="H103" t="str">
        <f ca="1"/>
        <v>Raihan Siddiqui</v>
      </c>
      <c r="I103" t="str">
        <f ca="1"/>
        <v>Tuba Motors</v>
      </c>
      <c r="J103" t="str">
        <f ca="1"/>
        <v>Bogura Sadar</v>
      </c>
      <c r="K103" t="str">
        <f ca="1"/>
        <v>LO00120</v>
      </c>
      <c r="L103" t="str">
        <f ca="1"/>
        <v>3000 4T 20W50</v>
      </c>
      <c r="M103">
        <f ca="1"/>
        <v>20</v>
      </c>
      <c r="N103">
        <f ca="1"/>
        <v>587.72</v>
      </c>
      <c r="O103">
        <f ca="1"/>
        <v>24</v>
      </c>
      <c r="P103">
        <f ca="1"/>
        <v>0</v>
      </c>
      <c r="Q103">
        <f ca="1"/>
        <v>0</v>
      </c>
      <c r="R103">
        <f ca="1"/>
        <v>587.72</v>
      </c>
      <c r="S103">
        <f ca="1"/>
        <v>20</v>
      </c>
      <c r="T103">
        <f ca="1"/>
        <v>24</v>
      </c>
      <c r="U103">
        <f ca="1"/>
        <v>11754.400000000001</v>
      </c>
      <c r="V103">
        <f ca="1"/>
        <v>0</v>
      </c>
      <c r="W103">
        <f ca="1"/>
        <v>11754.400000000001</v>
      </c>
      <c r="X103">
        <f ca="1"/>
        <v>1533.1826086956523</v>
      </c>
      <c r="Y103">
        <f ca="1"/>
        <v>10221.21739130435</v>
      </c>
      <c r="Z103" t="str">
        <f ca="1"/>
        <v>Cash</v>
      </c>
      <c r="AA103">
        <f ca="1"/>
        <v>595</v>
      </c>
      <c r="AB103" t="str">
        <f ca="1"/>
        <v>Flat Discount</v>
      </c>
      <c r="AC103">
        <f ca="1"/>
        <v>45676</v>
      </c>
      <c r="AD103" t="str">
        <f ca="1"/>
        <v/>
      </c>
      <c r="AE103" t="str">
        <f ca="1"/>
        <v>Northern</v>
      </c>
      <c r="AF103" t="str">
        <f ca="1"/>
        <v>Mineral</v>
      </c>
      <c r="AG103" t="str">
        <f ca="1"/>
        <v>MCO</v>
      </c>
      <c r="AH103" t="str">
        <f ca="1"/>
        <v>20W50</v>
      </c>
      <c r="AI103" t="str">
        <f ca="1"/>
        <v>3000</v>
      </c>
      <c r="AJ103">
        <f ca="1"/>
        <v>0</v>
      </c>
      <c r="AK103" t="str">
        <f ca="1"/>
        <v>20x1.2L</v>
      </c>
      <c r="AL103">
        <f ca="1"/>
        <v>8692.2000000000007</v>
      </c>
      <c r="AM103">
        <f ca="1"/>
        <v>1529.0173913043491</v>
      </c>
      <c r="AN103" t="str">
        <f ca="1"/>
        <v>O-45673-D-0011</v>
      </c>
      <c r="AO103" t="str">
        <f ca="1"/>
        <v>Delivered</v>
      </c>
    </row>
    <row r="104" spans="1:41" x14ac:dyDescent="0.5">
      <c r="A104" t="str">
        <f ca="1"/>
        <v>F-127</v>
      </c>
      <c r="B104" s="1">
        <f ca="1"/>
        <v>45672</v>
      </c>
      <c r="C104" t="str">
        <f ca="1"/>
        <v>D-0023</v>
      </c>
      <c r="D104" t="str">
        <f ca="1"/>
        <v xml:space="preserve">Probir Auto Mobile </v>
      </c>
      <c r="E104" t="str">
        <f ca="1"/>
        <v>Choto Bazar, Mymensingh Sadar</v>
      </c>
      <c r="F104">
        <f ca="1"/>
        <v>1712284667</v>
      </c>
      <c r="G104" t="str">
        <f ca="1"/>
        <v>Monirul Islam</v>
      </c>
      <c r="H104" t="str">
        <f ca="1"/>
        <v>Raihan Siddiqui</v>
      </c>
      <c r="I104" t="str">
        <f ca="1"/>
        <v>Bondhu Motors</v>
      </c>
      <c r="J104" t="str">
        <f ca="1"/>
        <v>Rangpur</v>
      </c>
      <c r="K104" t="str">
        <f ca="1"/>
        <v>LO00041</v>
      </c>
      <c r="L104" t="str">
        <f ca="1"/>
        <v>3000 4T PLUS 10W30</v>
      </c>
      <c r="M104">
        <f ca="1"/>
        <v>20</v>
      </c>
      <c r="N104">
        <f ca="1"/>
        <v>530</v>
      </c>
      <c r="O104">
        <f ca="1"/>
        <v>20</v>
      </c>
      <c r="P104">
        <f ca="1"/>
        <v>0</v>
      </c>
      <c r="Q104">
        <f ca="1"/>
        <v>0</v>
      </c>
      <c r="R104">
        <f ca="1"/>
        <v>530</v>
      </c>
      <c r="S104">
        <f ca="1"/>
        <v>20</v>
      </c>
      <c r="T104">
        <f ca="1"/>
        <v>20</v>
      </c>
      <c r="U104">
        <f ca="1"/>
        <v>10600</v>
      </c>
      <c r="V104">
        <f ca="1"/>
        <v>0</v>
      </c>
      <c r="W104">
        <f ca="1"/>
        <v>10600</v>
      </c>
      <c r="X104">
        <f ca="1"/>
        <v>1382.608695652174</v>
      </c>
      <c r="Y104">
        <f ca="1"/>
        <v>9217.391304347826</v>
      </c>
      <c r="Z104" t="str">
        <f ca="1"/>
        <v>Cash</v>
      </c>
      <c r="AA104">
        <f ca="1"/>
        <v>596</v>
      </c>
      <c r="AB104" t="str">
        <f ca="1"/>
        <v>Flat Discount</v>
      </c>
      <c r="AC104">
        <f ca="1"/>
        <v>45676</v>
      </c>
      <c r="AD104" t="str">
        <f ca="1"/>
        <v/>
      </c>
      <c r="AE104" t="str">
        <f ca="1"/>
        <v>Northern</v>
      </c>
      <c r="AF104" t="str">
        <f ca="1"/>
        <v>Mineral</v>
      </c>
      <c r="AG104" t="str">
        <f ca="1"/>
        <v>MCO</v>
      </c>
      <c r="AH104" t="str">
        <f ca="1"/>
        <v>10W30</v>
      </c>
      <c r="AI104" t="str">
        <f ca="1"/>
        <v>3000</v>
      </c>
      <c r="AJ104">
        <f ca="1"/>
        <v>0</v>
      </c>
      <c r="AK104" t="str">
        <f ca="1"/>
        <v>20x1L</v>
      </c>
      <c r="AL104">
        <f ca="1"/>
        <v>7586.5999999999995</v>
      </c>
      <c r="AM104">
        <f ca="1"/>
        <v>1630.7913043478266</v>
      </c>
      <c r="AN104" t="str">
        <f ca="1"/>
        <v>O-45672-D-0023</v>
      </c>
      <c r="AO104" t="str">
        <f ca="1"/>
        <v>Delivered</v>
      </c>
    </row>
    <row r="105" spans="1:41" x14ac:dyDescent="0.5">
      <c r="A105" t="str">
        <f ca="1"/>
        <v>F-127</v>
      </c>
      <c r="B105" s="1">
        <f ca="1"/>
        <v>45672</v>
      </c>
      <c r="C105" t="str">
        <f ca="1"/>
        <v>D-0023</v>
      </c>
      <c r="D105" t="str">
        <f ca="1"/>
        <v xml:space="preserve">Probir Auto Mobile </v>
      </c>
      <c r="E105" t="str">
        <f ca="1"/>
        <v>Choto Bazar, Mymensingh Sadar</v>
      </c>
      <c r="F105">
        <f ca="1"/>
        <v>1712284667</v>
      </c>
      <c r="G105" t="str">
        <f ca="1"/>
        <v>Monirul Islam</v>
      </c>
      <c r="H105" t="str">
        <f ca="1"/>
        <v>Raihan Siddiqui</v>
      </c>
      <c r="I105" t="str">
        <f ca="1"/>
        <v>Bondhu Motors</v>
      </c>
      <c r="J105" t="str">
        <f ca="1"/>
        <v>Rangpur</v>
      </c>
      <c r="K105" t="str">
        <f ca="1"/>
        <v>LO00042</v>
      </c>
      <c r="L105" t="str">
        <f ca="1"/>
        <v>3000 4T PLUS 20W40</v>
      </c>
      <c r="M105">
        <f ca="1"/>
        <v>60</v>
      </c>
      <c r="N105">
        <f ca="1"/>
        <v>530</v>
      </c>
      <c r="O105">
        <f ca="1"/>
        <v>60</v>
      </c>
      <c r="P105">
        <f ca="1"/>
        <v>0</v>
      </c>
      <c r="Q105">
        <f ca="1"/>
        <v>0</v>
      </c>
      <c r="R105">
        <f ca="1"/>
        <v>530</v>
      </c>
      <c r="S105">
        <f ca="1"/>
        <v>60</v>
      </c>
      <c r="T105">
        <f ca="1"/>
        <v>60</v>
      </c>
      <c r="U105">
        <f ca="1"/>
        <v>31800</v>
      </c>
      <c r="V105">
        <f ca="1"/>
        <v>0</v>
      </c>
      <c r="W105">
        <f ca="1"/>
        <v>31800</v>
      </c>
      <c r="X105">
        <f ca="1"/>
        <v>4147.826086956522</v>
      </c>
      <c r="Y105">
        <f ca="1"/>
        <v>27652.17391304348</v>
      </c>
      <c r="Z105" t="str">
        <f ca="1"/>
        <v>Cash</v>
      </c>
      <c r="AA105">
        <f ca="1"/>
        <v>596</v>
      </c>
      <c r="AB105" t="str">
        <f ca="1"/>
        <v>Flat Discount</v>
      </c>
      <c r="AC105">
        <f ca="1"/>
        <v>45676</v>
      </c>
      <c r="AD105" t="str">
        <f ca="1"/>
        <v/>
      </c>
      <c r="AE105" t="str">
        <f ca="1"/>
        <v>Northern</v>
      </c>
      <c r="AF105" t="str">
        <f ca="1"/>
        <v>Mineral</v>
      </c>
      <c r="AG105" t="str">
        <f ca="1"/>
        <v>MCO</v>
      </c>
      <c r="AH105" t="str">
        <f ca="1"/>
        <v>20W40</v>
      </c>
      <c r="AI105" t="str">
        <f ca="1"/>
        <v>3000</v>
      </c>
      <c r="AJ105">
        <f ca="1"/>
        <v>0</v>
      </c>
      <c r="AK105" t="str">
        <f ca="1"/>
        <v>20x1L</v>
      </c>
      <c r="AL105">
        <f ca="1"/>
        <v>24765.599999999999</v>
      </c>
      <c r="AM105">
        <f ca="1"/>
        <v>2886.5739130434813</v>
      </c>
      <c r="AN105" t="str">
        <f ca="1"/>
        <v>O-45672-D-0023</v>
      </c>
      <c r="AO105" t="str">
        <f ca="1"/>
        <v>Delivered</v>
      </c>
    </row>
    <row r="106" spans="1:41" x14ac:dyDescent="0.5">
      <c r="A106" t="str">
        <f ca="1"/>
        <v>F-127</v>
      </c>
      <c r="B106" s="1">
        <f ca="1"/>
        <v>45672</v>
      </c>
      <c r="C106" t="str">
        <f ca="1"/>
        <v>D-0023</v>
      </c>
      <c r="D106" t="str">
        <f ca="1"/>
        <v xml:space="preserve">Probir Auto Mobile </v>
      </c>
      <c r="E106" t="str">
        <f ca="1"/>
        <v>Choto Bazar, Mymensingh Sadar</v>
      </c>
      <c r="F106">
        <f ca="1"/>
        <v>1712284667</v>
      </c>
      <c r="G106" t="str">
        <f ca="1"/>
        <v>Monirul Islam</v>
      </c>
      <c r="H106" t="str">
        <f ca="1"/>
        <v>Raihan Siddiqui</v>
      </c>
      <c r="I106" t="str">
        <f ca="1"/>
        <v>Bondhu Motors</v>
      </c>
      <c r="J106" t="str">
        <f ca="1"/>
        <v>Rangpur</v>
      </c>
      <c r="K106" t="str">
        <f ca="1"/>
        <v>LO00043</v>
      </c>
      <c r="L106" t="str">
        <f ca="1"/>
        <v>3000 4T PLUS 10W40</v>
      </c>
      <c r="M106">
        <f ca="1"/>
        <v>60</v>
      </c>
      <c r="N106">
        <f ca="1"/>
        <v>535</v>
      </c>
      <c r="O106">
        <f ca="1"/>
        <v>60</v>
      </c>
      <c r="P106">
        <f ca="1"/>
        <v>0</v>
      </c>
      <c r="Q106">
        <f ca="1"/>
        <v>0</v>
      </c>
      <c r="R106">
        <f ca="1"/>
        <v>535</v>
      </c>
      <c r="S106">
        <f ca="1"/>
        <v>60</v>
      </c>
      <c r="T106">
        <f ca="1"/>
        <v>60</v>
      </c>
      <c r="U106">
        <f ca="1"/>
        <v>32100</v>
      </c>
      <c r="V106">
        <f ca="1"/>
        <v>0</v>
      </c>
      <c r="W106">
        <f ca="1"/>
        <v>32100</v>
      </c>
      <c r="X106">
        <f ca="1"/>
        <v>4186.95652173913</v>
      </c>
      <c r="Y106">
        <f ca="1"/>
        <v>27913.043478260868</v>
      </c>
      <c r="Z106" t="str">
        <f ca="1"/>
        <v>Cash</v>
      </c>
      <c r="AA106">
        <f ca="1"/>
        <v>596</v>
      </c>
      <c r="AB106" t="str">
        <f ca="1"/>
        <v>Flat Discount</v>
      </c>
      <c r="AC106">
        <f ca="1"/>
        <v>45676</v>
      </c>
      <c r="AD106" t="str">
        <f ca="1"/>
        <v/>
      </c>
      <c r="AE106" t="str">
        <f ca="1"/>
        <v>Northern</v>
      </c>
      <c r="AF106" t="str">
        <f ca="1"/>
        <v>Mineral</v>
      </c>
      <c r="AG106" t="str">
        <f ca="1"/>
        <v>MCO</v>
      </c>
      <c r="AH106" t="str">
        <f ca="1"/>
        <v>10W40</v>
      </c>
      <c r="AI106" t="str">
        <f ca="1"/>
        <v>3000</v>
      </c>
      <c r="AJ106">
        <f ca="1"/>
        <v>0</v>
      </c>
      <c r="AK106" t="str">
        <f ca="1"/>
        <v>20x1L</v>
      </c>
      <c r="AL106">
        <f ca="1"/>
        <v>23091</v>
      </c>
      <c r="AM106">
        <f ca="1"/>
        <v>4822.0434782608681</v>
      </c>
      <c r="AN106" t="str">
        <f ca="1"/>
        <v>O-45672-D-0023</v>
      </c>
      <c r="AO106" t="str">
        <f ca="1"/>
        <v>Delivered</v>
      </c>
    </row>
    <row r="107" spans="1:41" x14ac:dyDescent="0.5">
      <c r="A107" t="str">
        <f ca="1"/>
        <v>F-128</v>
      </c>
      <c r="B107" s="1">
        <f ca="1"/>
        <v>45670</v>
      </c>
      <c r="C107" t="str">
        <f ca="1"/>
        <v>D-0009</v>
      </c>
      <c r="D107" t="str">
        <f ca="1"/>
        <v>Surma Trading Agency</v>
      </c>
      <c r="E107" t="str">
        <f ca="1"/>
        <v>4/4, Saidabad, Dhaka-1100.</v>
      </c>
      <c r="F107" t="str">
        <f ca="1"/>
        <v>01784398413</v>
      </c>
      <c r="G107" t="str">
        <f ca="1"/>
        <v>Mahamudul Hasan Milon</v>
      </c>
      <c r="H107" t="str">
        <f ca="1"/>
        <v>Abdul Matin</v>
      </c>
      <c r="I107" t="str">
        <f ca="1"/>
        <v>Surma trading</v>
      </c>
      <c r="J107" t="str">
        <f ca="1"/>
        <v>Saydabad</v>
      </c>
      <c r="K107" t="str">
        <f ca="1"/>
        <v>LO00043</v>
      </c>
      <c r="L107" t="str">
        <f ca="1"/>
        <v>3000 4T PLUS 10W40</v>
      </c>
      <c r="M107">
        <f ca="1"/>
        <v>3000</v>
      </c>
      <c r="N107">
        <f ca="1"/>
        <v>535</v>
      </c>
      <c r="O107">
        <f ca="1"/>
        <v>3000</v>
      </c>
      <c r="P107">
        <f ca="1"/>
        <v>0</v>
      </c>
      <c r="Q107">
        <f ca="1"/>
        <v>0</v>
      </c>
      <c r="R107">
        <f ca="1"/>
        <v>535</v>
      </c>
      <c r="S107">
        <f ca="1"/>
        <v>3000</v>
      </c>
      <c r="T107">
        <f ca="1"/>
        <v>3000</v>
      </c>
      <c r="U107">
        <f ca="1"/>
        <v>1605000</v>
      </c>
      <c r="V107">
        <f ca="1"/>
        <v>0</v>
      </c>
      <c r="W107">
        <f ca="1"/>
        <v>1605000</v>
      </c>
      <c r="X107">
        <f ca="1"/>
        <v>209347.82608695651</v>
      </c>
      <c r="Y107">
        <f ca="1"/>
        <v>1395652.1739130435</v>
      </c>
      <c r="Z107" t="str">
        <f ca="1"/>
        <v>Cash</v>
      </c>
      <c r="AA107">
        <f ca="1"/>
        <v>597</v>
      </c>
      <c r="AB107" t="str">
        <f ca="1"/>
        <v>Flat Discount</v>
      </c>
      <c r="AC107">
        <f ca="1"/>
        <v>45676</v>
      </c>
      <c r="AD107" t="str">
        <f ca="1"/>
        <v>18% discount on care products has been given.</v>
      </c>
      <c r="AE107" t="str">
        <f ca="1"/>
        <v>Central</v>
      </c>
      <c r="AF107" t="str">
        <f ca="1"/>
        <v>Mineral</v>
      </c>
      <c r="AG107" t="str">
        <f ca="1"/>
        <v>MCO</v>
      </c>
      <c r="AH107" t="str">
        <f ca="1"/>
        <v>10W40</v>
      </c>
      <c r="AI107" t="str">
        <f ca="1"/>
        <v>3000</v>
      </c>
      <c r="AJ107">
        <f ca="1"/>
        <v>0</v>
      </c>
      <c r="AK107" t="str">
        <f ca="1"/>
        <v>20x1L</v>
      </c>
      <c r="AL107">
        <f ca="1"/>
        <v>1154550</v>
      </c>
      <c r="AM107">
        <f ca="1"/>
        <v>241102.17391304346</v>
      </c>
      <c r="AN107" t="str">
        <f ca="1"/>
        <v>O-45670-D-0009</v>
      </c>
      <c r="AO107" t="str">
        <f ca="1"/>
        <v>Delivered</v>
      </c>
    </row>
    <row r="108" spans="1:41" x14ac:dyDescent="0.5">
      <c r="A108" t="str">
        <f ca="1"/>
        <v>F-128</v>
      </c>
      <c r="B108" s="1">
        <f ca="1"/>
        <v>45670</v>
      </c>
      <c r="C108" t="str">
        <f ca="1"/>
        <v>D-0009</v>
      </c>
      <c r="D108" t="str">
        <f ca="1"/>
        <v>Surma Trading Agency</v>
      </c>
      <c r="E108" t="str">
        <f ca="1"/>
        <v>4/4, Saidabad, Dhaka-1100.</v>
      </c>
      <c r="F108" t="str">
        <f ca="1"/>
        <v>01784398413</v>
      </c>
      <c r="G108" t="str">
        <f ca="1"/>
        <v>Mahamudul Hasan Milon</v>
      </c>
      <c r="H108" t="str">
        <f ca="1"/>
        <v>Abdul Matin</v>
      </c>
      <c r="I108" t="str">
        <f ca="1"/>
        <v>Surma trading</v>
      </c>
      <c r="J108" t="str">
        <f ca="1"/>
        <v>Saydabad</v>
      </c>
      <c r="K108" t="str">
        <f ca="1"/>
        <v>LO00073</v>
      </c>
      <c r="L108" t="str">
        <f ca="1"/>
        <v>3000 4T PLUS 10W30</v>
      </c>
      <c r="M108">
        <f ca="1"/>
        <v>500</v>
      </c>
      <c r="N108">
        <f ca="1"/>
        <v>640</v>
      </c>
      <c r="O108">
        <f ca="1"/>
        <v>600</v>
      </c>
      <c r="P108">
        <f ca="1"/>
        <v>0</v>
      </c>
      <c r="Q108">
        <f ca="1"/>
        <v>0</v>
      </c>
      <c r="R108">
        <f ca="1"/>
        <v>640</v>
      </c>
      <c r="S108">
        <f ca="1"/>
        <v>500</v>
      </c>
      <c r="T108">
        <f ca="1"/>
        <v>600</v>
      </c>
      <c r="U108">
        <f ca="1"/>
        <v>320000</v>
      </c>
      <c r="V108">
        <f ca="1"/>
        <v>0</v>
      </c>
      <c r="W108">
        <f ca="1"/>
        <v>320000</v>
      </c>
      <c r="X108">
        <f ca="1"/>
        <v>41739.130434782608</v>
      </c>
      <c r="Y108">
        <f ca="1"/>
        <v>278260.86956521741</v>
      </c>
      <c r="Z108" t="str">
        <f ca="1"/>
        <v>Cash</v>
      </c>
      <c r="AA108">
        <f ca="1"/>
        <v>597</v>
      </c>
      <c r="AB108" t="str">
        <f ca="1"/>
        <v>Flat Discount</v>
      </c>
      <c r="AC108">
        <f ca="1"/>
        <v>45676</v>
      </c>
      <c r="AD108" t="str">
        <f ca="1"/>
        <v>18% discount on care products has been given.</v>
      </c>
      <c r="AE108" t="str">
        <f ca="1"/>
        <v>Central</v>
      </c>
      <c r="AF108" t="str">
        <f ca="1"/>
        <v>Mineral</v>
      </c>
      <c r="AG108" t="str">
        <f ca="1"/>
        <v>MCO</v>
      </c>
      <c r="AH108" t="str">
        <f ca="1"/>
        <v>10W30</v>
      </c>
      <c r="AI108" t="str">
        <f ca="1"/>
        <v>3000</v>
      </c>
      <c r="AJ108">
        <f ca="1"/>
        <v>0</v>
      </c>
      <c r="AK108" t="str">
        <f ca="1"/>
        <v>20x1.2L</v>
      </c>
      <c r="AL108">
        <f ca="1"/>
        <v>219450</v>
      </c>
      <c r="AM108">
        <f ca="1"/>
        <v>58810.869565217406</v>
      </c>
      <c r="AN108" t="str">
        <f ca="1"/>
        <v>O-45670-D-0009</v>
      </c>
      <c r="AO108" t="str">
        <f ca="1"/>
        <v>Delivered</v>
      </c>
    </row>
    <row r="109" spans="1:41" x14ac:dyDescent="0.5">
      <c r="A109" t="str">
        <f ca="1"/>
        <v>F-128</v>
      </c>
      <c r="B109" s="1">
        <f ca="1"/>
        <v>45670</v>
      </c>
      <c r="C109" t="str">
        <f ca="1"/>
        <v>D-0009</v>
      </c>
      <c r="D109" t="str">
        <f ca="1"/>
        <v>Surma Trading Agency</v>
      </c>
      <c r="E109" t="str">
        <f ca="1"/>
        <v>4/4, Saidabad, Dhaka-1100.</v>
      </c>
      <c r="F109" t="str">
        <f ca="1"/>
        <v>01784398413</v>
      </c>
      <c r="G109" t="str">
        <f ca="1"/>
        <v>Mahamudul Hasan Milon</v>
      </c>
      <c r="H109" t="str">
        <f ca="1"/>
        <v>Abdul Matin</v>
      </c>
      <c r="I109" t="str">
        <f ca="1"/>
        <v>Surma trading</v>
      </c>
      <c r="J109" t="str">
        <f ca="1"/>
        <v>Saydabad</v>
      </c>
      <c r="K109" t="str">
        <f ca="1"/>
        <v>LO00096</v>
      </c>
      <c r="L109" t="str">
        <f ca="1"/>
        <v>3000 4T PLUS 20W40</v>
      </c>
      <c r="M109">
        <f ca="1"/>
        <v>300</v>
      </c>
      <c r="N109">
        <f ca="1"/>
        <v>640</v>
      </c>
      <c r="O109">
        <f ca="1"/>
        <v>360</v>
      </c>
      <c r="P109">
        <f ca="1"/>
        <v>0</v>
      </c>
      <c r="Q109">
        <f ca="1"/>
        <v>0</v>
      </c>
      <c r="R109">
        <f ca="1"/>
        <v>640</v>
      </c>
      <c r="S109">
        <f ca="1"/>
        <v>300</v>
      </c>
      <c r="T109">
        <f ca="1"/>
        <v>360</v>
      </c>
      <c r="U109">
        <f ca="1"/>
        <v>192000</v>
      </c>
      <c r="V109">
        <f ca="1"/>
        <v>0</v>
      </c>
      <c r="W109">
        <f ca="1"/>
        <v>192000</v>
      </c>
      <c r="X109">
        <f ca="1"/>
        <v>25043.478260869564</v>
      </c>
      <c r="Y109">
        <f ca="1"/>
        <v>166956.52173913043</v>
      </c>
      <c r="Z109" t="str">
        <f ca="1"/>
        <v>Cash</v>
      </c>
      <c r="AA109">
        <f ca="1"/>
        <v>597</v>
      </c>
      <c r="AB109" t="str">
        <f ca="1"/>
        <v>Flat Discount</v>
      </c>
      <c r="AC109">
        <f ca="1"/>
        <v>45676</v>
      </c>
      <c r="AD109" t="str">
        <f ca="1"/>
        <v>18% discount on care products has been given.</v>
      </c>
      <c r="AE109" t="str">
        <f ca="1"/>
        <v>Central</v>
      </c>
      <c r="AF109" t="str">
        <f ca="1"/>
        <v>Mineral</v>
      </c>
      <c r="AG109" t="str">
        <f ca="1"/>
        <v>MCO</v>
      </c>
      <c r="AH109" t="str">
        <f ca="1"/>
        <v>20W40</v>
      </c>
      <c r="AI109" t="str">
        <f ca="1"/>
        <v>3000</v>
      </c>
      <c r="AJ109">
        <f ca="1"/>
        <v>0</v>
      </c>
      <c r="AK109" t="str">
        <f ca="1"/>
        <v>20x1.2L</v>
      </c>
      <c r="AL109">
        <f ca="1"/>
        <v>140969.33860518291</v>
      </c>
      <c r="AM109">
        <f ca="1"/>
        <v>25987.183133947517</v>
      </c>
      <c r="AN109" t="str">
        <f ca="1"/>
        <v>O-45670-D-0009</v>
      </c>
      <c r="AO109" t="str">
        <f ca="1"/>
        <v>Delivered</v>
      </c>
    </row>
    <row r="110" spans="1:41" x14ac:dyDescent="0.5">
      <c r="A110" t="str">
        <f ca="1"/>
        <v>F-128</v>
      </c>
      <c r="B110" s="1">
        <f ca="1"/>
        <v>45670</v>
      </c>
      <c r="C110" t="str">
        <f ca="1"/>
        <v>D-0009</v>
      </c>
      <c r="D110" t="str">
        <f ca="1"/>
        <v>Surma Trading Agency</v>
      </c>
      <c r="E110" t="str">
        <f ca="1"/>
        <v>4/4, Saidabad, Dhaka-1100.</v>
      </c>
      <c r="F110" t="str">
        <f ca="1"/>
        <v>01784398413</v>
      </c>
      <c r="G110" t="str">
        <f ca="1"/>
        <v>Mahamudul Hasan Milon</v>
      </c>
      <c r="H110" t="str">
        <f ca="1"/>
        <v>Abdul Matin</v>
      </c>
      <c r="I110" t="str">
        <f ca="1"/>
        <v>Surma trading</v>
      </c>
      <c r="J110" t="str">
        <f ca="1"/>
        <v>Saydabad</v>
      </c>
      <c r="K110" t="str">
        <f ca="1"/>
        <v>LO00119</v>
      </c>
      <c r="L110" t="str">
        <f ca="1"/>
        <v>3000 4T 20W50</v>
      </c>
      <c r="M110">
        <f ca="1"/>
        <v>280</v>
      </c>
      <c r="N110">
        <f ca="1"/>
        <v>495</v>
      </c>
      <c r="O110">
        <f ca="1"/>
        <v>280</v>
      </c>
      <c r="P110">
        <f ca="1"/>
        <v>0</v>
      </c>
      <c r="Q110">
        <f ca="1"/>
        <v>0</v>
      </c>
      <c r="R110">
        <f ca="1"/>
        <v>495</v>
      </c>
      <c r="S110">
        <f ca="1"/>
        <v>280</v>
      </c>
      <c r="T110">
        <f ca="1"/>
        <v>280</v>
      </c>
      <c r="U110">
        <f ca="1"/>
        <v>138600</v>
      </c>
      <c r="V110">
        <f ca="1"/>
        <v>0</v>
      </c>
      <c r="W110">
        <f ca="1"/>
        <v>138600</v>
      </c>
      <c r="X110">
        <f ca="1"/>
        <v>18078.260869565216</v>
      </c>
      <c r="Y110">
        <f ca="1"/>
        <v>120521.73913043478</v>
      </c>
      <c r="Z110" t="str">
        <f ca="1"/>
        <v>Cash</v>
      </c>
      <c r="AA110">
        <f ca="1"/>
        <v>597</v>
      </c>
      <c r="AB110" t="str">
        <f ca="1"/>
        <v>Flat Discount</v>
      </c>
      <c r="AC110">
        <f ca="1"/>
        <v>45676</v>
      </c>
      <c r="AD110" t="str">
        <f ca="1"/>
        <v>18% discount on care products has been given.</v>
      </c>
      <c r="AE110" t="str">
        <f ca="1"/>
        <v>Central</v>
      </c>
      <c r="AF110" t="str">
        <f ca="1"/>
        <v>Mineral</v>
      </c>
      <c r="AG110" t="str">
        <f ca="1"/>
        <v>MCO</v>
      </c>
      <c r="AH110" t="str">
        <f ca="1"/>
        <v>20W50</v>
      </c>
      <c r="AI110" t="str">
        <f ca="1"/>
        <v>3000</v>
      </c>
      <c r="AJ110">
        <f ca="1"/>
        <v>0</v>
      </c>
      <c r="AK110" t="str">
        <f ca="1"/>
        <v>20x1L</v>
      </c>
      <c r="AL110">
        <f ca="1"/>
        <v>102177.60000000001</v>
      </c>
      <c r="AM110">
        <f ca="1"/>
        <v>18344.139130434778</v>
      </c>
      <c r="AN110" t="str">
        <f ca="1"/>
        <v>O-45670-D-0009</v>
      </c>
      <c r="AO110" t="str">
        <f ca="1"/>
        <v>Delivered</v>
      </c>
    </row>
    <row r="111" spans="1:41" x14ac:dyDescent="0.5">
      <c r="A111" t="str">
        <f ca="1"/>
        <v>F-129</v>
      </c>
      <c r="B111" s="1">
        <f ca="1"/>
        <v>45669</v>
      </c>
      <c r="C111" t="str">
        <f ca="1"/>
        <v>D-0001</v>
      </c>
      <c r="D111" t="str">
        <f ca="1"/>
        <v xml:space="preserve">Talukder Enterprise </v>
      </c>
      <c r="E111" t="str">
        <f ca="1"/>
        <v xml:space="preserve">Khulna Sadar </v>
      </c>
      <c r="F111">
        <f ca="1"/>
        <v>8801711584594</v>
      </c>
      <c r="G111" t="str">
        <f ca="1"/>
        <v>Md.Mahfuzur Rahman</v>
      </c>
      <c r="H111" t="str">
        <f ca="1"/>
        <v>Abdul Matin</v>
      </c>
      <c r="I111" t="str">
        <f ca="1"/>
        <v>M/S Hasan Traders</v>
      </c>
      <c r="J111" t="str">
        <f ca="1"/>
        <v>Pangsha</v>
      </c>
      <c r="K111" t="str">
        <f ca="1"/>
        <v>LO00041</v>
      </c>
      <c r="L111" t="str">
        <f ca="1"/>
        <v>3000 4T PLUS 10W30</v>
      </c>
      <c r="M111">
        <f ca="1"/>
        <v>100</v>
      </c>
      <c r="N111">
        <f ca="1"/>
        <v>525</v>
      </c>
      <c r="O111">
        <f ca="1"/>
        <v>100</v>
      </c>
      <c r="P111">
        <f ca="1"/>
        <v>0</v>
      </c>
      <c r="Q111">
        <f ca="1"/>
        <v>0</v>
      </c>
      <c r="R111">
        <f ca="1"/>
        <v>525</v>
      </c>
      <c r="S111">
        <f ca="1"/>
        <v>100</v>
      </c>
      <c r="T111">
        <f ca="1"/>
        <v>100</v>
      </c>
      <c r="U111">
        <f ca="1"/>
        <v>52500</v>
      </c>
      <c r="V111">
        <f ca="1"/>
        <v>0</v>
      </c>
      <c r="W111">
        <f ca="1"/>
        <v>52500</v>
      </c>
      <c r="X111">
        <f ca="1"/>
        <v>6847.826086956522</v>
      </c>
      <c r="Y111">
        <f ca="1"/>
        <v>45652.17391304348</v>
      </c>
      <c r="Z111" t="str">
        <f ca="1"/>
        <v>Cash</v>
      </c>
      <c r="AA111">
        <f ca="1"/>
        <v>598</v>
      </c>
      <c r="AB111" t="str">
        <f ca="1"/>
        <v>Flat Discount</v>
      </c>
      <c r="AC111">
        <f ca="1"/>
        <v>45676</v>
      </c>
      <c r="AD111" t="str">
        <f ca="1"/>
        <v/>
      </c>
      <c r="AE111" t="str">
        <f ca="1"/>
        <v>Central</v>
      </c>
      <c r="AF111" t="str">
        <f ca="1"/>
        <v>Mineral</v>
      </c>
      <c r="AG111" t="str">
        <f ca="1"/>
        <v>MCO</v>
      </c>
      <c r="AH111" t="str">
        <f ca="1"/>
        <v>10W30</v>
      </c>
      <c r="AI111" t="str">
        <f ca="1"/>
        <v>3000</v>
      </c>
      <c r="AJ111">
        <f ca="1"/>
        <v>0</v>
      </c>
      <c r="AK111" t="str">
        <f ca="1"/>
        <v>20x1L</v>
      </c>
      <c r="AL111">
        <f ca="1"/>
        <v>37933</v>
      </c>
      <c r="AM111">
        <f ca="1"/>
        <v>7719.1739130434798</v>
      </c>
      <c r="AN111" t="str">
        <f ca="1"/>
        <v>O-45669-D-0001</v>
      </c>
      <c r="AO111" t="str">
        <f ca="1"/>
        <v>Delivered</v>
      </c>
    </row>
    <row r="112" spans="1:41" x14ac:dyDescent="0.5">
      <c r="A112" t="str">
        <f ca="1"/>
        <v>F-129</v>
      </c>
      <c r="B112" s="1">
        <f ca="1"/>
        <v>45669</v>
      </c>
      <c r="C112" t="str">
        <f ca="1"/>
        <v>D-0001</v>
      </c>
      <c r="D112" t="str">
        <f ca="1"/>
        <v xml:space="preserve">Talukder Enterprise </v>
      </c>
      <c r="E112" t="str">
        <f ca="1"/>
        <v xml:space="preserve">Khulna Sadar </v>
      </c>
      <c r="F112">
        <f ca="1"/>
        <v>8801711584594</v>
      </c>
      <c r="G112" t="str">
        <f ca="1"/>
        <v>Md.Mahfuzur Rahman</v>
      </c>
      <c r="H112" t="str">
        <f ca="1"/>
        <v>Abdul Matin</v>
      </c>
      <c r="I112" t="str">
        <f ca="1"/>
        <v>M/S Hasan Traders</v>
      </c>
      <c r="J112" t="str">
        <f ca="1"/>
        <v>Pangsha</v>
      </c>
      <c r="K112" t="str">
        <f ca="1"/>
        <v>LO00042</v>
      </c>
      <c r="L112" t="str">
        <f ca="1"/>
        <v>3000 4T PLUS 20W40</v>
      </c>
      <c r="M112">
        <f ca="1"/>
        <v>60</v>
      </c>
      <c r="N112">
        <f ca="1"/>
        <v>525</v>
      </c>
      <c r="O112">
        <f ca="1"/>
        <v>60</v>
      </c>
      <c r="P112">
        <f ca="1"/>
        <v>0</v>
      </c>
      <c r="Q112">
        <f ca="1"/>
        <v>0</v>
      </c>
      <c r="R112">
        <f ca="1"/>
        <v>525</v>
      </c>
      <c r="S112">
        <f ca="1"/>
        <v>60</v>
      </c>
      <c r="T112">
        <f ca="1"/>
        <v>60</v>
      </c>
      <c r="U112">
        <f ca="1"/>
        <v>31500</v>
      </c>
      <c r="V112">
        <f ca="1"/>
        <v>0</v>
      </c>
      <c r="W112">
        <f ca="1"/>
        <v>31500</v>
      </c>
      <c r="X112">
        <f ca="1"/>
        <v>4108.695652173913</v>
      </c>
      <c r="Y112">
        <f ca="1"/>
        <v>27391.304347826088</v>
      </c>
      <c r="Z112" t="str">
        <f ca="1"/>
        <v>Cash</v>
      </c>
      <c r="AA112">
        <f ca="1"/>
        <v>598</v>
      </c>
      <c r="AB112" t="str">
        <f ca="1"/>
        <v>Flat Discount</v>
      </c>
      <c r="AC112">
        <f ca="1"/>
        <v>45676</v>
      </c>
      <c r="AD112" t="str">
        <f ca="1"/>
        <v/>
      </c>
      <c r="AE112" t="str">
        <f ca="1"/>
        <v>Central</v>
      </c>
      <c r="AF112" t="str">
        <f ca="1"/>
        <v>Mineral</v>
      </c>
      <c r="AG112" t="str">
        <f ca="1"/>
        <v>MCO</v>
      </c>
      <c r="AH112" t="str">
        <f ca="1"/>
        <v>20W40</v>
      </c>
      <c r="AI112" t="str">
        <f ca="1"/>
        <v>3000</v>
      </c>
      <c r="AJ112">
        <f ca="1"/>
        <v>0</v>
      </c>
      <c r="AK112" t="str">
        <f ca="1"/>
        <v>20x1L</v>
      </c>
      <c r="AL112">
        <f ca="1"/>
        <v>24765.599999999999</v>
      </c>
      <c r="AM112">
        <f ca="1"/>
        <v>2625.7043478260894</v>
      </c>
      <c r="AN112" t="str">
        <f ca="1"/>
        <v>O-45669-D-0001</v>
      </c>
      <c r="AO112" t="str">
        <f ca="1"/>
        <v>Delivered</v>
      </c>
    </row>
    <row r="113" spans="1:41" x14ac:dyDescent="0.5">
      <c r="A113" t="str">
        <f ca="1"/>
        <v>F-129</v>
      </c>
      <c r="B113" s="1">
        <f ca="1"/>
        <v>45669</v>
      </c>
      <c r="C113" t="str">
        <f ca="1"/>
        <v>D-0001</v>
      </c>
      <c r="D113" t="str">
        <f ca="1"/>
        <v xml:space="preserve">Talukder Enterprise </v>
      </c>
      <c r="E113" t="str">
        <f ca="1"/>
        <v xml:space="preserve">Khulna Sadar </v>
      </c>
      <c r="F113">
        <f ca="1"/>
        <v>8801711584594</v>
      </c>
      <c r="G113" t="str">
        <f ca="1"/>
        <v>Md.Mahfuzur Rahman</v>
      </c>
      <c r="H113" t="str">
        <f ca="1"/>
        <v>Abdul Matin</v>
      </c>
      <c r="I113" t="str">
        <f ca="1"/>
        <v>M/S Hasan Traders</v>
      </c>
      <c r="J113" t="str">
        <f ca="1"/>
        <v>Pangsha</v>
      </c>
      <c r="K113" t="str">
        <f ca="1"/>
        <v>LO00043</v>
      </c>
      <c r="L113" t="str">
        <f ca="1"/>
        <v>3000 4T PLUS 10W40</v>
      </c>
      <c r="M113">
        <f ca="1"/>
        <v>300</v>
      </c>
      <c r="N113">
        <f ca="1"/>
        <v>525</v>
      </c>
      <c r="O113">
        <f ca="1"/>
        <v>300</v>
      </c>
      <c r="P113">
        <f ca="1"/>
        <v>0</v>
      </c>
      <c r="Q113">
        <f ca="1"/>
        <v>0</v>
      </c>
      <c r="R113">
        <f ca="1"/>
        <v>525</v>
      </c>
      <c r="S113">
        <f ca="1"/>
        <v>300</v>
      </c>
      <c r="T113">
        <f ca="1"/>
        <v>300</v>
      </c>
      <c r="U113">
        <f ca="1"/>
        <v>157500</v>
      </c>
      <c r="V113">
        <f ca="1"/>
        <v>0</v>
      </c>
      <c r="W113">
        <f ca="1"/>
        <v>157500</v>
      </c>
      <c r="X113">
        <f ca="1"/>
        <v>20543.478260869564</v>
      </c>
      <c r="Y113">
        <f ca="1"/>
        <v>136956.52173913043</v>
      </c>
      <c r="Z113" t="str">
        <f ca="1"/>
        <v>Cash</v>
      </c>
      <c r="AA113">
        <f ca="1"/>
        <v>598</v>
      </c>
      <c r="AB113" t="str">
        <f ca="1"/>
        <v>Flat Discount</v>
      </c>
      <c r="AC113">
        <f ca="1"/>
        <v>45676</v>
      </c>
      <c r="AD113" t="str">
        <f ca="1"/>
        <v/>
      </c>
      <c r="AE113" t="str">
        <f ca="1"/>
        <v>Central</v>
      </c>
      <c r="AF113" t="str">
        <f ca="1"/>
        <v>Mineral</v>
      </c>
      <c r="AG113" t="str">
        <f ca="1"/>
        <v>MCO</v>
      </c>
      <c r="AH113" t="str">
        <f ca="1"/>
        <v>10W40</v>
      </c>
      <c r="AI113" t="str">
        <f ca="1"/>
        <v>3000</v>
      </c>
      <c r="AJ113">
        <f ca="1"/>
        <v>0</v>
      </c>
      <c r="AK113" t="str">
        <f ca="1"/>
        <v>20x1L</v>
      </c>
      <c r="AL113">
        <f ca="1"/>
        <v>115455</v>
      </c>
      <c r="AM113">
        <f ca="1"/>
        <v>21501.521739130432</v>
      </c>
      <c r="AN113" t="str">
        <f ca="1"/>
        <v>O-45669-D-0001</v>
      </c>
      <c r="AO113" t="str">
        <f ca="1"/>
        <v>Delivered</v>
      </c>
    </row>
    <row r="114" spans="1:41" x14ac:dyDescent="0.5">
      <c r="A114" t="str">
        <f ca="1"/>
        <v>F-129</v>
      </c>
      <c r="B114" s="1">
        <f ca="1"/>
        <v>45669</v>
      </c>
      <c r="C114" t="str">
        <f ca="1"/>
        <v>D-0001</v>
      </c>
      <c r="D114" t="str">
        <f ca="1"/>
        <v xml:space="preserve">Talukder Enterprise </v>
      </c>
      <c r="E114" t="str">
        <f ca="1"/>
        <v xml:space="preserve">Khulna Sadar </v>
      </c>
      <c r="F114">
        <f ca="1"/>
        <v>8801711584594</v>
      </c>
      <c r="G114" t="str">
        <f ca="1"/>
        <v>Md.Mahfuzur Rahman</v>
      </c>
      <c r="H114" t="str">
        <f ca="1"/>
        <v>Abdul Matin</v>
      </c>
      <c r="I114" t="str">
        <f ca="1"/>
        <v>M/S Hasan Traders</v>
      </c>
      <c r="J114" t="str">
        <f ca="1"/>
        <v>Pangsha</v>
      </c>
      <c r="K114" t="str">
        <f ca="1"/>
        <v>LO00073</v>
      </c>
      <c r="L114" t="str">
        <f ca="1"/>
        <v>3000 4T PLUS 10W30</v>
      </c>
      <c r="M114">
        <f ca="1"/>
        <v>100</v>
      </c>
      <c r="N114">
        <f ca="1"/>
        <v>640</v>
      </c>
      <c r="O114">
        <f ca="1"/>
        <v>120</v>
      </c>
      <c r="P114">
        <f ca="1"/>
        <v>0</v>
      </c>
      <c r="Q114">
        <f ca="1"/>
        <v>0</v>
      </c>
      <c r="R114">
        <f ca="1"/>
        <v>640</v>
      </c>
      <c r="S114">
        <f ca="1"/>
        <v>100</v>
      </c>
      <c r="T114">
        <f ca="1"/>
        <v>120</v>
      </c>
      <c r="U114">
        <f ca="1"/>
        <v>64000</v>
      </c>
      <c r="V114">
        <f ca="1"/>
        <v>0</v>
      </c>
      <c r="W114">
        <f ca="1"/>
        <v>64000</v>
      </c>
      <c r="X114">
        <f ca="1"/>
        <v>8347.826086956522</v>
      </c>
      <c r="Y114">
        <f ca="1"/>
        <v>55652.17391304348</v>
      </c>
      <c r="Z114" t="str">
        <f ca="1"/>
        <v>Cash</v>
      </c>
      <c r="AA114">
        <f ca="1"/>
        <v>598</v>
      </c>
      <c r="AB114" t="str">
        <f ca="1"/>
        <v>Flat Discount</v>
      </c>
      <c r="AC114">
        <f ca="1"/>
        <v>45676</v>
      </c>
      <c r="AD114" t="str">
        <f ca="1"/>
        <v/>
      </c>
      <c r="AE114" t="str">
        <f ca="1"/>
        <v>Central</v>
      </c>
      <c r="AF114" t="str">
        <f ca="1"/>
        <v>Mineral</v>
      </c>
      <c r="AG114" t="str">
        <f ca="1"/>
        <v>MCO</v>
      </c>
      <c r="AH114" t="str">
        <f ca="1"/>
        <v>10W30</v>
      </c>
      <c r="AI114" t="str">
        <f ca="1"/>
        <v>3000</v>
      </c>
      <c r="AJ114">
        <f ca="1"/>
        <v>0</v>
      </c>
      <c r="AK114" t="str">
        <f ca="1"/>
        <v>20x1.2L</v>
      </c>
      <c r="AL114">
        <f ca="1"/>
        <v>43890</v>
      </c>
      <c r="AM114">
        <f ca="1"/>
        <v>11762.17391304348</v>
      </c>
      <c r="AN114" t="str">
        <f ca="1"/>
        <v>O-45669-D-0001</v>
      </c>
      <c r="AO114" t="str">
        <f ca="1"/>
        <v>Delivered</v>
      </c>
    </row>
    <row r="115" spans="1:41" x14ac:dyDescent="0.5">
      <c r="A115" t="str">
        <f ca="1"/>
        <v>F-129</v>
      </c>
      <c r="B115" s="1">
        <f ca="1"/>
        <v>45669</v>
      </c>
      <c r="C115" t="str">
        <f ca="1"/>
        <v>D-0001</v>
      </c>
      <c r="D115" t="str">
        <f ca="1"/>
        <v xml:space="preserve">Talukder Enterprise </v>
      </c>
      <c r="E115" t="str">
        <f ca="1"/>
        <v xml:space="preserve">Khulna Sadar </v>
      </c>
      <c r="F115">
        <f ca="1"/>
        <v>8801711584594</v>
      </c>
      <c r="G115" t="str">
        <f ca="1"/>
        <v>Md.Mahfuzur Rahman</v>
      </c>
      <c r="H115" t="str">
        <f ca="1"/>
        <v>Abdul Matin</v>
      </c>
      <c r="I115" t="str">
        <f ca="1"/>
        <v>M/S Hasan Traders</v>
      </c>
      <c r="J115" t="str">
        <f ca="1"/>
        <v>Pangsha</v>
      </c>
      <c r="K115" t="str">
        <f ca="1"/>
        <v>LO00096</v>
      </c>
      <c r="L115" t="str">
        <f ca="1"/>
        <v>3000 4T PLUS 20W40</v>
      </c>
      <c r="M115">
        <f ca="1"/>
        <v>80</v>
      </c>
      <c r="N115">
        <f ca="1"/>
        <v>640</v>
      </c>
      <c r="O115">
        <f ca="1"/>
        <v>96</v>
      </c>
      <c r="P115">
        <f ca="1"/>
        <v>0</v>
      </c>
      <c r="Q115">
        <f ca="1"/>
        <v>0</v>
      </c>
      <c r="R115">
        <f ca="1"/>
        <v>640</v>
      </c>
      <c r="S115">
        <f ca="1"/>
        <v>80</v>
      </c>
      <c r="T115">
        <f ca="1"/>
        <v>96</v>
      </c>
      <c r="U115">
        <f ca="1"/>
        <v>51200</v>
      </c>
      <c r="V115">
        <f ca="1"/>
        <v>0</v>
      </c>
      <c r="W115">
        <f ca="1"/>
        <v>51200</v>
      </c>
      <c r="X115">
        <f ca="1"/>
        <v>6678.260869565217</v>
      </c>
      <c r="Y115">
        <f ca="1"/>
        <v>44521.739130434784</v>
      </c>
      <c r="Z115" t="str">
        <f ca="1"/>
        <v>Cash</v>
      </c>
      <c r="AA115">
        <f ca="1"/>
        <v>598</v>
      </c>
      <c r="AB115" t="str">
        <f ca="1"/>
        <v>Flat Discount</v>
      </c>
      <c r="AC115">
        <f ca="1"/>
        <v>45676</v>
      </c>
      <c r="AD115" t="str">
        <f ca="1"/>
        <v/>
      </c>
      <c r="AE115" t="str">
        <f ca="1"/>
        <v>Central</v>
      </c>
      <c r="AF115" t="str">
        <f ca="1"/>
        <v>Mineral</v>
      </c>
      <c r="AG115" t="str">
        <f ca="1"/>
        <v>MCO</v>
      </c>
      <c r="AH115" t="str">
        <f ca="1"/>
        <v>20W40</v>
      </c>
      <c r="AI115" t="str">
        <f ca="1"/>
        <v>3000</v>
      </c>
      <c r="AJ115">
        <f ca="1"/>
        <v>0</v>
      </c>
      <c r="AK115" t="str">
        <f ca="1"/>
        <v>20x1.2L</v>
      </c>
      <c r="AL115">
        <f ca="1"/>
        <v>37591.823628048776</v>
      </c>
      <c r="AM115">
        <f ca="1"/>
        <v>6929.9155023860076</v>
      </c>
      <c r="AN115" t="str">
        <f ca="1"/>
        <v>O-45669-D-0001</v>
      </c>
      <c r="AO115" t="str">
        <f ca="1"/>
        <v>Delivered</v>
      </c>
    </row>
    <row r="116" spans="1:41" x14ac:dyDescent="0.5">
      <c r="A116" t="str">
        <f ca="1"/>
        <v>F-129</v>
      </c>
      <c r="B116" s="1">
        <f ca="1"/>
        <v>45669</v>
      </c>
      <c r="C116" t="str">
        <f ca="1"/>
        <v>D-0001</v>
      </c>
      <c r="D116" t="str">
        <f ca="1"/>
        <v xml:space="preserve">Talukder Enterprise </v>
      </c>
      <c r="E116" t="str">
        <f ca="1"/>
        <v xml:space="preserve">Khulna Sadar </v>
      </c>
      <c r="F116">
        <f ca="1"/>
        <v>8801711584594</v>
      </c>
      <c r="G116" t="str">
        <f ca="1"/>
        <v>Md.Mahfuzur Rahman</v>
      </c>
      <c r="H116" t="str">
        <f ca="1"/>
        <v>Abdul Matin</v>
      </c>
      <c r="I116" t="str">
        <f ca="1"/>
        <v>M/S Hasan Traders</v>
      </c>
      <c r="J116" t="str">
        <f ca="1"/>
        <v>Pangsha</v>
      </c>
      <c r="K116" t="str">
        <f ca="1"/>
        <v>LO00074</v>
      </c>
      <c r="L116" t="str">
        <f ca="1"/>
        <v>7100 4T 10W30 ESTER CORE®</v>
      </c>
      <c r="M116">
        <f ca="1"/>
        <v>24</v>
      </c>
      <c r="N116">
        <f ca="1"/>
        <v>1050</v>
      </c>
      <c r="O116">
        <f ca="1"/>
        <v>24</v>
      </c>
      <c r="P116">
        <f ca="1"/>
        <v>0</v>
      </c>
      <c r="Q116">
        <f ca="1"/>
        <v>0</v>
      </c>
      <c r="R116">
        <f ca="1"/>
        <v>1050</v>
      </c>
      <c r="S116">
        <f ca="1"/>
        <v>24</v>
      </c>
      <c r="T116">
        <f ca="1"/>
        <v>24</v>
      </c>
      <c r="U116">
        <f ca="1"/>
        <v>25200</v>
      </c>
      <c r="V116">
        <f ca="1"/>
        <v>0</v>
      </c>
      <c r="W116">
        <f ca="1"/>
        <v>25200</v>
      </c>
      <c r="X116">
        <f ca="1"/>
        <v>3286.9565217391305</v>
      </c>
      <c r="Y116">
        <f ca="1"/>
        <v>21913.043478260868</v>
      </c>
      <c r="Z116" t="str">
        <f ca="1"/>
        <v>Cash</v>
      </c>
      <c r="AA116">
        <f ca="1"/>
        <v>598</v>
      </c>
      <c r="AB116" t="str">
        <f ca="1"/>
        <v>Flat Discount</v>
      </c>
      <c r="AC116">
        <f ca="1"/>
        <v>45676</v>
      </c>
      <c r="AD116" t="str">
        <f ca="1"/>
        <v/>
      </c>
      <c r="AE116" t="str">
        <f ca="1"/>
        <v>Central</v>
      </c>
      <c r="AF116" t="str">
        <f ca="1"/>
        <v>Synthetic</v>
      </c>
      <c r="AG116" t="str">
        <f ca="1"/>
        <v>MCO</v>
      </c>
      <c r="AH116" t="str">
        <f ca="1"/>
        <v>10W30</v>
      </c>
      <c r="AI116" t="str">
        <f ca="1"/>
        <v>7100</v>
      </c>
      <c r="AJ116">
        <f ca="1"/>
        <v>0</v>
      </c>
      <c r="AK116" t="str">
        <f ca="1"/>
        <v>12x1L</v>
      </c>
      <c r="AL116">
        <f ca="1"/>
        <v>16556.64</v>
      </c>
      <c r="AM116">
        <f ca="1"/>
        <v>5356.4034782608687</v>
      </c>
      <c r="AN116" t="str">
        <f ca="1"/>
        <v>O-45669-D-0001</v>
      </c>
      <c r="AO116" t="str">
        <f ca="1"/>
        <v>Delivered</v>
      </c>
    </row>
    <row r="117" spans="1:41" x14ac:dyDescent="0.5">
      <c r="A117" t="str">
        <f ca="1"/>
        <v>F-129</v>
      </c>
      <c r="B117" s="1">
        <f ca="1"/>
        <v>45669</v>
      </c>
      <c r="C117" t="str">
        <f ca="1"/>
        <v>D-0001</v>
      </c>
      <c r="D117" t="str">
        <f ca="1"/>
        <v xml:space="preserve">Talukder Enterprise </v>
      </c>
      <c r="E117" t="str">
        <f ca="1"/>
        <v xml:space="preserve">Khulna Sadar </v>
      </c>
      <c r="F117">
        <f ca="1"/>
        <v>8801711584594</v>
      </c>
      <c r="G117" t="str">
        <f ca="1"/>
        <v>Md.Mahfuzur Rahman</v>
      </c>
      <c r="H117" t="str">
        <f ca="1"/>
        <v>Abdul Matin</v>
      </c>
      <c r="I117" t="str">
        <f ca="1"/>
        <v>M/S Hasan Traders</v>
      </c>
      <c r="J117" t="str">
        <f ca="1"/>
        <v>Pangsha</v>
      </c>
      <c r="K117" t="str">
        <f ca="1"/>
        <v>LO00048</v>
      </c>
      <c r="L117" t="str">
        <f ca="1"/>
        <v>7100 4T 20W50 ESTER CORE®</v>
      </c>
      <c r="M117">
        <f ca="1"/>
        <v>24</v>
      </c>
      <c r="N117">
        <f ca="1"/>
        <v>1050</v>
      </c>
      <c r="O117">
        <f ca="1"/>
        <v>24</v>
      </c>
      <c r="P117">
        <f ca="1"/>
        <v>0</v>
      </c>
      <c r="Q117">
        <f ca="1"/>
        <v>0</v>
      </c>
      <c r="R117">
        <f ca="1"/>
        <v>1050</v>
      </c>
      <c r="S117">
        <f ca="1"/>
        <v>24</v>
      </c>
      <c r="T117">
        <f ca="1"/>
        <v>24</v>
      </c>
      <c r="U117">
        <f ca="1"/>
        <v>25200</v>
      </c>
      <c r="V117">
        <f ca="1"/>
        <v>0</v>
      </c>
      <c r="W117">
        <f ca="1"/>
        <v>25200</v>
      </c>
      <c r="X117">
        <f ca="1"/>
        <v>3286.9565217391305</v>
      </c>
      <c r="Y117">
        <f ca="1"/>
        <v>21913.043478260868</v>
      </c>
      <c r="Z117" t="str">
        <f ca="1"/>
        <v>Cash</v>
      </c>
      <c r="AA117">
        <f ca="1"/>
        <v>598</v>
      </c>
      <c r="AB117" t="str">
        <f ca="1"/>
        <v>Flat Discount</v>
      </c>
      <c r="AC117">
        <f ca="1"/>
        <v>45676</v>
      </c>
      <c r="AD117" t="str">
        <f ca="1"/>
        <v/>
      </c>
      <c r="AE117" t="str">
        <f ca="1"/>
        <v>Central</v>
      </c>
      <c r="AF117" t="str">
        <f ca="1"/>
        <v>Synthetic</v>
      </c>
      <c r="AG117" t="str">
        <f ca="1"/>
        <v>MCO</v>
      </c>
      <c r="AH117" t="str">
        <f ca="1"/>
        <v>20W50</v>
      </c>
      <c r="AI117" t="str">
        <f ca="1"/>
        <v>7100</v>
      </c>
      <c r="AJ117">
        <f ca="1"/>
        <v>0</v>
      </c>
      <c r="AK117" t="str">
        <f ca="1"/>
        <v>12x1L</v>
      </c>
      <c r="AL117">
        <f ca="1"/>
        <v>18328.761599999998</v>
      </c>
      <c r="AM117">
        <f ca="1"/>
        <v>3584.2818782608701</v>
      </c>
      <c r="AN117" t="str">
        <f ca="1"/>
        <v>O-45669-D-0001</v>
      </c>
      <c r="AO117" t="str">
        <f ca="1"/>
        <v>Delivered</v>
      </c>
    </row>
    <row r="118" spans="1:41" x14ac:dyDescent="0.5">
      <c r="A118" t="str">
        <f ca="1"/>
        <v>F-130</v>
      </c>
      <c r="B118" s="1">
        <f ca="1"/>
        <v>45677</v>
      </c>
      <c r="C118" t="str">
        <f ca="1"/>
        <v>D-0004</v>
      </c>
      <c r="D118" t="str">
        <f ca="1"/>
        <v>Lube &amp; Gear</v>
      </c>
      <c r="E118" t="str">
        <f ca="1"/>
        <v xml:space="preserve">Konabari Gazipur </v>
      </c>
      <c r="F118" t="str">
        <f ca="1"/>
        <v>01711784707</v>
      </c>
      <c r="G118" t="str">
        <f ca="1"/>
        <v>Sayed Al Amin Apu</v>
      </c>
      <c r="H118" t="str">
        <f ca="1"/>
        <v>Abdul Matin</v>
      </c>
      <c r="I118" t="str">
        <f ca="1"/>
        <v>Lube &amp; Gear</v>
      </c>
      <c r="J118" t="str">
        <f ca="1"/>
        <v>Konabari</v>
      </c>
      <c r="K118" t="str">
        <f ca="1"/>
        <v>LO00042</v>
      </c>
      <c r="L118" t="str">
        <f ca="1"/>
        <v>3000 4T PLUS 20W40</v>
      </c>
      <c r="M118">
        <f ca="1"/>
        <v>100</v>
      </c>
      <c r="N118">
        <f ca="1"/>
        <v>530</v>
      </c>
      <c r="O118">
        <f ca="1"/>
        <v>100</v>
      </c>
      <c r="P118">
        <f ca="1"/>
        <v>0</v>
      </c>
      <c r="Q118">
        <f ca="1"/>
        <v>0</v>
      </c>
      <c r="R118">
        <f ca="1"/>
        <v>530</v>
      </c>
      <c r="S118">
        <f ca="1"/>
        <v>100</v>
      </c>
      <c r="T118">
        <f ca="1"/>
        <v>100</v>
      </c>
      <c r="U118">
        <f ca="1"/>
        <v>53000</v>
      </c>
      <c r="V118">
        <f ca="1"/>
        <v>0</v>
      </c>
      <c r="W118">
        <f ca="1"/>
        <v>53000</v>
      </c>
      <c r="X118">
        <f ca="1"/>
        <v>6913.04347826087</v>
      </c>
      <c r="Y118">
        <f ca="1"/>
        <v>46086.956521739128</v>
      </c>
      <c r="Z118" t="str">
        <f ca="1"/>
        <v>Cash</v>
      </c>
      <c r="AA118">
        <f ca="1"/>
        <v>599</v>
      </c>
      <c r="AB118" t="str">
        <f ca="1"/>
        <v>Flat Discount</v>
      </c>
      <c r="AC118">
        <f ca="1"/>
        <v>45677</v>
      </c>
      <c r="AD118" t="str">
        <f ca="1"/>
        <v/>
      </c>
      <c r="AE118" t="str">
        <f ca="1"/>
        <v>Central</v>
      </c>
      <c r="AF118" t="str">
        <f ca="1"/>
        <v>Mineral</v>
      </c>
      <c r="AG118" t="str">
        <f ca="1"/>
        <v>MCO</v>
      </c>
      <c r="AH118" t="str">
        <f ca="1"/>
        <v>20W40</v>
      </c>
      <c r="AI118" t="str">
        <f ca="1"/>
        <v>3000</v>
      </c>
      <c r="AJ118">
        <f ca="1"/>
        <v>0</v>
      </c>
      <c r="AK118" t="str">
        <f ca="1"/>
        <v>20x1L</v>
      </c>
      <c r="AL118">
        <f ca="1"/>
        <v>41276</v>
      </c>
      <c r="AM118">
        <f ca="1"/>
        <v>4810.9565217391282</v>
      </c>
      <c r="AN118" t="str">
        <f ca="1"/>
        <v>O-45677-D-0004</v>
      </c>
      <c r="AO118" t="str">
        <f ca="1"/>
        <v>Delivered</v>
      </c>
    </row>
    <row r="119" spans="1:41" x14ac:dyDescent="0.5">
      <c r="A119" t="str">
        <f ca="1"/>
        <v>F-130</v>
      </c>
      <c r="B119" s="1">
        <f ca="1"/>
        <v>45677</v>
      </c>
      <c r="C119" t="str">
        <f ca="1"/>
        <v>D-0004</v>
      </c>
      <c r="D119" t="str">
        <f ca="1"/>
        <v>Lube &amp; Gear</v>
      </c>
      <c r="E119" t="str">
        <f ca="1"/>
        <v xml:space="preserve">Konabari Gazipur </v>
      </c>
      <c r="F119" t="str">
        <f ca="1"/>
        <v>01711784707</v>
      </c>
      <c r="G119" t="str">
        <f ca="1"/>
        <v>Sayed Al Amin Apu</v>
      </c>
      <c r="H119" t="str">
        <f ca="1"/>
        <v>Abdul Matin</v>
      </c>
      <c r="I119" t="str">
        <f ca="1"/>
        <v>Lube &amp; Gear</v>
      </c>
      <c r="J119" t="str">
        <f ca="1"/>
        <v>Konabari</v>
      </c>
      <c r="K119" t="str">
        <f ca="1"/>
        <v>LO00073</v>
      </c>
      <c r="L119" t="str">
        <f ca="1"/>
        <v>3000 4T PLUS 10W30</v>
      </c>
      <c r="M119">
        <f ca="1"/>
        <v>300</v>
      </c>
      <c r="N119">
        <f ca="1"/>
        <v>640</v>
      </c>
      <c r="O119">
        <f ca="1"/>
        <v>360</v>
      </c>
      <c r="P119">
        <f ca="1"/>
        <v>0</v>
      </c>
      <c r="Q119">
        <f ca="1"/>
        <v>0</v>
      </c>
      <c r="R119">
        <f ca="1"/>
        <v>640</v>
      </c>
      <c r="S119">
        <f ca="1"/>
        <v>300</v>
      </c>
      <c r="T119">
        <f ca="1"/>
        <v>360</v>
      </c>
      <c r="U119">
        <f ca="1"/>
        <v>192000</v>
      </c>
      <c r="V119">
        <f ca="1"/>
        <v>0</v>
      </c>
      <c r="W119">
        <f ca="1"/>
        <v>192000</v>
      </c>
      <c r="X119">
        <f ca="1"/>
        <v>25043.478260869564</v>
      </c>
      <c r="Y119">
        <f ca="1"/>
        <v>166956.52173913043</v>
      </c>
      <c r="Z119" t="str">
        <f ca="1"/>
        <v>Cash</v>
      </c>
      <c r="AA119">
        <f ca="1"/>
        <v>599</v>
      </c>
      <c r="AB119" t="str">
        <f ca="1"/>
        <v>Flat Discount</v>
      </c>
      <c r="AC119">
        <f ca="1"/>
        <v>45677</v>
      </c>
      <c r="AD119" t="str">
        <f ca="1"/>
        <v/>
      </c>
      <c r="AE119" t="str">
        <f ca="1"/>
        <v>Central</v>
      </c>
      <c r="AF119" t="str">
        <f ca="1"/>
        <v>Mineral</v>
      </c>
      <c r="AG119" t="str">
        <f ca="1"/>
        <v>MCO</v>
      </c>
      <c r="AH119" t="str">
        <f ca="1"/>
        <v>10W30</v>
      </c>
      <c r="AI119" t="str">
        <f ca="1"/>
        <v>3000</v>
      </c>
      <c r="AJ119">
        <f ca="1"/>
        <v>0</v>
      </c>
      <c r="AK119" t="str">
        <f ca="1"/>
        <v>20x1.2L</v>
      </c>
      <c r="AL119">
        <f ca="1"/>
        <v>131670</v>
      </c>
      <c r="AM119">
        <f ca="1"/>
        <v>35286.521739130432</v>
      </c>
      <c r="AN119" t="str">
        <f ca="1"/>
        <v>O-45677-D-0004</v>
      </c>
      <c r="AO119" t="str">
        <f ca="1"/>
        <v>Delivered</v>
      </c>
    </row>
    <row r="120" spans="1:41" x14ac:dyDescent="0.5">
      <c r="A120" t="str">
        <f ca="1"/>
        <v>F-130</v>
      </c>
      <c r="B120" s="1">
        <f ca="1"/>
        <v>45677</v>
      </c>
      <c r="C120" t="str">
        <f ca="1"/>
        <v>D-0004</v>
      </c>
      <c r="D120" t="str">
        <f ca="1"/>
        <v>Lube &amp; Gear</v>
      </c>
      <c r="E120" t="str">
        <f ca="1"/>
        <v xml:space="preserve">Konabari Gazipur </v>
      </c>
      <c r="F120" t="str">
        <f ca="1"/>
        <v>01711784707</v>
      </c>
      <c r="G120" t="str">
        <f ca="1"/>
        <v>Sayed Al Amin Apu</v>
      </c>
      <c r="H120" t="str">
        <f ca="1"/>
        <v>Abdul Matin</v>
      </c>
      <c r="I120" t="str">
        <f ca="1"/>
        <v>Lube &amp; Gear</v>
      </c>
      <c r="J120" t="str">
        <f ca="1"/>
        <v>Konabari</v>
      </c>
      <c r="K120" t="str">
        <f ca="1"/>
        <v>LO00097</v>
      </c>
      <c r="L120" t="str">
        <f ca="1"/>
        <v>31004T GOLD 10W40</v>
      </c>
      <c r="M120">
        <f ca="1"/>
        <v>60</v>
      </c>
      <c r="N120">
        <f ca="1"/>
        <v>590</v>
      </c>
      <c r="O120">
        <f ca="1"/>
        <v>60</v>
      </c>
      <c r="P120">
        <f ca="1"/>
        <v>0</v>
      </c>
      <c r="Q120">
        <f ca="1"/>
        <v>0</v>
      </c>
      <c r="R120">
        <f ca="1"/>
        <v>590</v>
      </c>
      <c r="S120">
        <f ca="1"/>
        <v>60</v>
      </c>
      <c r="T120">
        <f ca="1"/>
        <v>60</v>
      </c>
      <c r="U120">
        <f ca="1"/>
        <v>35400</v>
      </c>
      <c r="V120">
        <f ca="1"/>
        <v>0</v>
      </c>
      <c r="W120">
        <f ca="1"/>
        <v>35400</v>
      </c>
      <c r="X120">
        <f ca="1"/>
        <v>4617.391304347826</v>
      </c>
      <c r="Y120">
        <f ca="1"/>
        <v>30782.608695652172</v>
      </c>
      <c r="Z120" t="str">
        <f ca="1"/>
        <v>Cash</v>
      </c>
      <c r="AA120">
        <f ca="1"/>
        <v>599</v>
      </c>
      <c r="AB120" t="str">
        <f ca="1"/>
        <v>Flat Discount</v>
      </c>
      <c r="AC120">
        <f ca="1"/>
        <v>45677</v>
      </c>
      <c r="AD120" t="str">
        <f ca="1"/>
        <v/>
      </c>
      <c r="AE120" t="str">
        <f ca="1"/>
        <v>Central</v>
      </c>
      <c r="AF120" t="str">
        <f ca="1"/>
        <v>Technosynthese</v>
      </c>
      <c r="AG120" t="str">
        <f ca="1"/>
        <v>MCO</v>
      </c>
      <c r="AH120" t="str">
        <f ca="1"/>
        <v>10W40</v>
      </c>
      <c r="AI120" t="str">
        <f ca="1"/>
        <v>3100</v>
      </c>
      <c r="AJ120">
        <f ca="1"/>
        <v>0</v>
      </c>
      <c r="AK120" t="str">
        <f ca="1"/>
        <v>20x1L</v>
      </c>
      <c r="AL120">
        <f ca="1"/>
        <v>25108.800000000003</v>
      </c>
      <c r="AM120">
        <f ca="1"/>
        <v>5673.8086956521693</v>
      </c>
      <c r="AN120" t="str">
        <f ca="1"/>
        <v>O-45677-D-0004</v>
      </c>
      <c r="AO120" t="str">
        <f ca="1"/>
        <v>Delivered</v>
      </c>
    </row>
    <row r="121" spans="1:41" x14ac:dyDescent="0.5">
      <c r="A121" t="str">
        <f ca="1"/>
        <v>F-130</v>
      </c>
      <c r="B121" s="1">
        <f ca="1"/>
        <v>45677</v>
      </c>
      <c r="C121" t="str">
        <f ca="1"/>
        <v>D-0004</v>
      </c>
      <c r="D121" t="str">
        <f ca="1"/>
        <v>Lube &amp; Gear</v>
      </c>
      <c r="E121" t="str">
        <f ca="1"/>
        <v xml:space="preserve">Konabari Gazipur </v>
      </c>
      <c r="F121" t="str">
        <f ca="1"/>
        <v>01711784707</v>
      </c>
      <c r="G121" t="str">
        <f ca="1"/>
        <v>Sayed Al Amin Apu</v>
      </c>
      <c r="H121" t="str">
        <f ca="1"/>
        <v>Abdul Matin</v>
      </c>
      <c r="I121" t="str">
        <f ca="1"/>
        <v>Lube &amp; Gear</v>
      </c>
      <c r="J121" t="str">
        <f ca="1"/>
        <v>Konabari</v>
      </c>
      <c r="K121" t="str">
        <f ca="1"/>
        <v>LO00046</v>
      </c>
      <c r="L121" t="str">
        <f ca="1"/>
        <v>51004T 10W40 ESTER</v>
      </c>
      <c r="M121">
        <f ca="1"/>
        <v>60</v>
      </c>
      <c r="N121">
        <f ca="1"/>
        <v>860</v>
      </c>
      <c r="O121">
        <f ca="1"/>
        <v>60</v>
      </c>
      <c r="P121">
        <f ca="1"/>
        <v>0</v>
      </c>
      <c r="Q121">
        <f ca="1"/>
        <v>0</v>
      </c>
      <c r="R121">
        <f ca="1"/>
        <v>860</v>
      </c>
      <c r="S121">
        <f ca="1"/>
        <v>60</v>
      </c>
      <c r="T121">
        <f ca="1"/>
        <v>60</v>
      </c>
      <c r="U121">
        <f ca="1"/>
        <v>51600</v>
      </c>
      <c r="V121">
        <f ca="1"/>
        <v>0</v>
      </c>
      <c r="W121">
        <f ca="1"/>
        <v>51600</v>
      </c>
      <c r="X121">
        <f ca="1"/>
        <v>6730.434782608696</v>
      </c>
      <c r="Y121">
        <f ca="1"/>
        <v>44869.565217391304</v>
      </c>
      <c r="Z121" t="str">
        <f ca="1"/>
        <v>Cash</v>
      </c>
      <c r="AA121">
        <f ca="1"/>
        <v>599</v>
      </c>
      <c r="AB121" t="str">
        <f ca="1"/>
        <v>Flat Discount</v>
      </c>
      <c r="AC121">
        <f ca="1"/>
        <v>45677</v>
      </c>
      <c r="AD121" t="str">
        <f ca="1"/>
        <v/>
      </c>
      <c r="AE121" t="str">
        <f ca="1"/>
        <v>Central</v>
      </c>
      <c r="AF121" t="str">
        <f ca="1"/>
        <v>Technosynthese</v>
      </c>
      <c r="AG121" t="str">
        <f ca="1"/>
        <v>MCO</v>
      </c>
      <c r="AH121" t="str">
        <f ca="1"/>
        <v>10W40</v>
      </c>
      <c r="AI121" t="str">
        <f ca="1"/>
        <v>5100</v>
      </c>
      <c r="AJ121">
        <f ca="1"/>
        <v>0</v>
      </c>
      <c r="AK121" t="str">
        <f ca="1"/>
        <v>12x1L</v>
      </c>
      <c r="AL121">
        <f ca="1"/>
        <v>36499.800000000003</v>
      </c>
      <c r="AM121">
        <f ca="1"/>
        <v>8369.7652173913011</v>
      </c>
      <c r="AN121" t="str">
        <f ca="1"/>
        <v>O-45677-D-0004</v>
      </c>
      <c r="AO121" t="str">
        <f ca="1"/>
        <v>Delivered</v>
      </c>
    </row>
    <row r="122" spans="1:41" x14ac:dyDescent="0.5">
      <c r="A122" t="str">
        <f ca="1"/>
        <v>F-130</v>
      </c>
      <c r="B122" s="1">
        <f ca="1"/>
        <v>45677</v>
      </c>
      <c r="C122" t="str">
        <f ca="1"/>
        <v>D-0004</v>
      </c>
      <c r="D122" t="str">
        <f ca="1"/>
        <v>Lube &amp; Gear</v>
      </c>
      <c r="E122" t="str">
        <f ca="1"/>
        <v xml:space="preserve">Konabari Gazipur </v>
      </c>
      <c r="F122" t="str">
        <f ca="1"/>
        <v>01711784707</v>
      </c>
      <c r="G122" t="str">
        <f ca="1"/>
        <v>Sayed Al Amin Apu</v>
      </c>
      <c r="H122" t="str">
        <f ca="1"/>
        <v>Abdul Matin</v>
      </c>
      <c r="I122" t="str">
        <f ca="1"/>
        <v>Lube &amp; Gear</v>
      </c>
      <c r="J122" t="str">
        <f ca="1"/>
        <v>Konabari</v>
      </c>
      <c r="K122" t="str">
        <f ca="1"/>
        <v>LO00119</v>
      </c>
      <c r="L122" t="str">
        <f ca="1"/>
        <v>3000 4T 20W50</v>
      </c>
      <c r="M122">
        <f ca="1"/>
        <v>240</v>
      </c>
      <c r="N122">
        <f ca="1"/>
        <v>480</v>
      </c>
      <c r="O122">
        <f ca="1"/>
        <v>240</v>
      </c>
      <c r="P122">
        <f ca="1"/>
        <v>0</v>
      </c>
      <c r="Q122">
        <f ca="1"/>
        <v>0</v>
      </c>
      <c r="R122">
        <f ca="1"/>
        <v>480</v>
      </c>
      <c r="S122">
        <f ca="1"/>
        <v>240</v>
      </c>
      <c r="T122">
        <f ca="1"/>
        <v>240</v>
      </c>
      <c r="U122">
        <f ca="1"/>
        <v>115200</v>
      </c>
      <c r="V122">
        <f ca="1"/>
        <v>0</v>
      </c>
      <c r="W122">
        <f ca="1"/>
        <v>115200</v>
      </c>
      <c r="X122">
        <f ca="1"/>
        <v>15026.08695652174</v>
      </c>
      <c r="Y122">
        <f ca="1"/>
        <v>100173.91304347826</v>
      </c>
      <c r="Z122" t="str">
        <f ca="1"/>
        <v>Cash</v>
      </c>
      <c r="AA122">
        <f ca="1"/>
        <v>599</v>
      </c>
      <c r="AB122" t="str">
        <f ca="1"/>
        <v>Flat Discount</v>
      </c>
      <c r="AC122">
        <f ca="1"/>
        <v>45677</v>
      </c>
      <c r="AD122" t="str">
        <f ca="1"/>
        <v/>
      </c>
      <c r="AE122" t="str">
        <f ca="1"/>
        <v>Central</v>
      </c>
      <c r="AF122" t="str">
        <f ca="1"/>
        <v>Mineral</v>
      </c>
      <c r="AG122" t="str">
        <f ca="1"/>
        <v>MCO</v>
      </c>
      <c r="AH122" t="str">
        <f ca="1"/>
        <v>20W50</v>
      </c>
      <c r="AI122" t="str">
        <f ca="1"/>
        <v>3000</v>
      </c>
      <c r="AJ122">
        <f ca="1"/>
        <v>0</v>
      </c>
      <c r="AK122" t="str">
        <f ca="1"/>
        <v>20x1L</v>
      </c>
      <c r="AL122">
        <f ca="1"/>
        <v>87580.800000000003</v>
      </c>
      <c r="AM122">
        <f ca="1"/>
        <v>12593.113043478254</v>
      </c>
      <c r="AN122" t="str">
        <f ca="1"/>
        <v>O-45677-D-0004</v>
      </c>
      <c r="AO122" t="str">
        <f ca="1"/>
        <v>Delivered</v>
      </c>
    </row>
    <row r="123" spans="1:41" x14ac:dyDescent="0.5">
      <c r="A123" t="str">
        <f ca="1"/>
        <v>F-130</v>
      </c>
      <c r="B123" s="1">
        <f ca="1"/>
        <v>45677</v>
      </c>
      <c r="C123" t="str">
        <f ca="1"/>
        <v>D-0004</v>
      </c>
      <c r="D123" t="str">
        <f ca="1"/>
        <v>Lube &amp; Gear</v>
      </c>
      <c r="E123" t="str">
        <f ca="1"/>
        <v xml:space="preserve">Konabari Gazipur </v>
      </c>
      <c r="F123" t="str">
        <f ca="1"/>
        <v>01711784707</v>
      </c>
      <c r="G123" t="str">
        <f ca="1"/>
        <v>Sayed Al Amin Apu</v>
      </c>
      <c r="H123" t="str">
        <f ca="1"/>
        <v>Abdul Matin</v>
      </c>
      <c r="I123" t="str">
        <f ca="1"/>
        <v>Lube &amp; Gear</v>
      </c>
      <c r="J123" t="str">
        <f ca="1"/>
        <v>Konabari</v>
      </c>
      <c r="K123" t="str">
        <f ca="1"/>
        <v>LO00120</v>
      </c>
      <c r="L123" t="str">
        <f ca="1"/>
        <v>3000 4T 20W50</v>
      </c>
      <c r="M123">
        <f ca="1"/>
        <v>60</v>
      </c>
      <c r="N123">
        <f ca="1"/>
        <v>570</v>
      </c>
      <c r="O123">
        <f ca="1"/>
        <v>72</v>
      </c>
      <c r="P123">
        <f ca="1"/>
        <v>0</v>
      </c>
      <c r="Q123">
        <f ca="1"/>
        <v>0</v>
      </c>
      <c r="R123">
        <f ca="1"/>
        <v>570</v>
      </c>
      <c r="S123">
        <f ca="1"/>
        <v>60</v>
      </c>
      <c r="T123">
        <f ca="1"/>
        <v>72</v>
      </c>
      <c r="U123">
        <f ca="1"/>
        <v>34200</v>
      </c>
      <c r="V123">
        <f ca="1"/>
        <v>0</v>
      </c>
      <c r="W123">
        <f ca="1"/>
        <v>34200</v>
      </c>
      <c r="X123">
        <f ca="1"/>
        <v>4460.869565217391</v>
      </c>
      <c r="Y123">
        <f ca="1"/>
        <v>29739.130434782608</v>
      </c>
      <c r="Z123" t="str">
        <f ca="1"/>
        <v>Cash</v>
      </c>
      <c r="AA123">
        <f ca="1"/>
        <v>599</v>
      </c>
      <c r="AB123" t="str">
        <f ca="1"/>
        <v>Flat Discount</v>
      </c>
      <c r="AC123">
        <f ca="1"/>
        <v>45677</v>
      </c>
      <c r="AD123" t="str">
        <f ca="1"/>
        <v/>
      </c>
      <c r="AE123" t="str">
        <f ca="1"/>
        <v>Central</v>
      </c>
      <c r="AF123" t="str">
        <f ca="1"/>
        <v>Mineral</v>
      </c>
      <c r="AG123" t="str">
        <f ca="1"/>
        <v>MCO</v>
      </c>
      <c r="AH123" t="str">
        <f ca="1"/>
        <v>20W50</v>
      </c>
      <c r="AI123" t="str">
        <f ca="1"/>
        <v>3000</v>
      </c>
      <c r="AJ123">
        <f ca="1"/>
        <v>0</v>
      </c>
      <c r="AK123" t="str">
        <f ca="1"/>
        <v>20x1.2L</v>
      </c>
      <c r="AL123">
        <f ca="1"/>
        <v>26076.600000000002</v>
      </c>
      <c r="AM123">
        <f ca="1"/>
        <v>3662.5304347826059</v>
      </c>
      <c r="AN123" t="str">
        <f ca="1"/>
        <v>O-45677-D-0004</v>
      </c>
      <c r="AO123" t="str">
        <f ca="1"/>
        <v>Delivered</v>
      </c>
    </row>
    <row r="124" spans="1:41" x14ac:dyDescent="0.5">
      <c r="A124" t="str">
        <f ca="1"/>
        <v>F-131</v>
      </c>
      <c r="B124" s="1">
        <f ca="1"/>
        <v>45678</v>
      </c>
      <c r="C124" t="str">
        <f ca="1"/>
        <v>D-0025</v>
      </c>
      <c r="D124" t="str">
        <f ca="1"/>
        <v>Rancon Motor Bikes Ltd</v>
      </c>
      <c r="E124" t="str">
        <f ca="1"/>
        <v>Dhaka</v>
      </c>
      <c r="F124" t="str">
        <f ca="1"/>
        <v/>
      </c>
      <c r="G124" t="str">
        <f ca="1"/>
        <v>Captive Sales</v>
      </c>
      <c r="H124" t="str">
        <f ca="1"/>
        <v>Captive Sales</v>
      </c>
      <c r="I124" t="str">
        <f ca="1"/>
        <v>Rancon Motor Bikes Ltd</v>
      </c>
      <c r="J124" t="str">
        <f ca="1"/>
        <v>Dhaka</v>
      </c>
      <c r="K124" t="str">
        <f ca="1"/>
        <v>LO00047</v>
      </c>
      <c r="L124" t="str">
        <f ca="1"/>
        <v>7100 4T 10W40 ESTER CORE®</v>
      </c>
      <c r="M124">
        <f ca="1"/>
        <v>100</v>
      </c>
      <c r="N124">
        <f ca="1"/>
        <v>995</v>
      </c>
      <c r="O124">
        <f ca="1"/>
        <v>100</v>
      </c>
      <c r="P124">
        <f ca="1"/>
        <v>0</v>
      </c>
      <c r="Q124">
        <f ca="1"/>
        <v>0</v>
      </c>
      <c r="R124">
        <f ca="1"/>
        <v>995</v>
      </c>
      <c r="S124">
        <f ca="1"/>
        <v>100</v>
      </c>
      <c r="T124">
        <f ca="1"/>
        <v>100</v>
      </c>
      <c r="U124">
        <f ca="1"/>
        <v>99500</v>
      </c>
      <c r="V124">
        <f ca="1"/>
        <v>0</v>
      </c>
      <c r="W124">
        <f ca="1"/>
        <v>99500</v>
      </c>
      <c r="X124">
        <f ca="1"/>
        <v>12978.260869565218</v>
      </c>
      <c r="Y124">
        <f ca="1"/>
        <v>86521.739130434784</v>
      </c>
      <c r="Z124" t="str">
        <f ca="1"/>
        <v>Cash</v>
      </c>
      <c r="AA124">
        <f ca="1"/>
        <v>600</v>
      </c>
      <c r="AB124" t="str">
        <f ca="1"/>
        <v>Flat Discount</v>
      </c>
      <c r="AC124">
        <f ca="1"/>
        <v>45678</v>
      </c>
      <c r="AD124" t="str">
        <f ca="1"/>
        <v/>
      </c>
      <c r="AE124" t="str">
        <f ca="1"/>
        <v>Captive Sales</v>
      </c>
      <c r="AF124" t="str">
        <f ca="1"/>
        <v>Synthetic</v>
      </c>
      <c r="AG124" t="str">
        <f ca="1"/>
        <v>MCO</v>
      </c>
      <c r="AH124" t="str">
        <f ca="1"/>
        <v>10W40</v>
      </c>
      <c r="AI124" t="str">
        <f ca="1"/>
        <v>7100</v>
      </c>
      <c r="AJ124">
        <f ca="1"/>
        <v>0</v>
      </c>
      <c r="AK124" t="str">
        <f ca="1"/>
        <v>12x1L</v>
      </c>
      <c r="AL124">
        <f ca="1"/>
        <v>69399</v>
      </c>
      <c r="AM124">
        <f ca="1"/>
        <v>17122.739130434784</v>
      </c>
      <c r="AN124" t="str">
        <f ca="1"/>
        <v>O-45678-D-0025</v>
      </c>
      <c r="AO124" t="str">
        <f ca="1"/>
        <v>Delivered</v>
      </c>
    </row>
    <row r="125" spans="1:41" x14ac:dyDescent="0.5">
      <c r="A125" t="str">
        <f ca="1"/>
        <v>F-131</v>
      </c>
      <c r="B125" s="1">
        <f ca="1"/>
        <v>45678</v>
      </c>
      <c r="C125" t="str">
        <f ca="1"/>
        <v>D-0025</v>
      </c>
      <c r="D125" t="str">
        <f ca="1"/>
        <v>Rancon Motor Bikes Ltd</v>
      </c>
      <c r="E125" t="str">
        <f ca="1"/>
        <v>Dhaka</v>
      </c>
      <c r="F125">
        <f ca="1"/>
        <v>0</v>
      </c>
      <c r="G125" t="str">
        <f ca="1"/>
        <v>Captive Sales</v>
      </c>
      <c r="H125" t="str">
        <f ca="1"/>
        <v>Captive Sales</v>
      </c>
      <c r="I125" t="str">
        <f ca="1"/>
        <v>Rancon Motor Bikes Ltd</v>
      </c>
      <c r="J125" t="str">
        <f ca="1"/>
        <v>Dhaka</v>
      </c>
      <c r="K125" t="str">
        <f ca="1"/>
        <v>LO00076</v>
      </c>
      <c r="L125" t="str">
        <f ca="1"/>
        <v>Inugel Expert Coolant</v>
      </c>
      <c r="M125">
        <f ca="1"/>
        <v>1000</v>
      </c>
      <c r="N125">
        <f ca="1"/>
        <v>340</v>
      </c>
      <c r="O125">
        <f ca="1"/>
        <v>1000</v>
      </c>
      <c r="P125">
        <f ca="1"/>
        <v>0</v>
      </c>
      <c r="Q125">
        <f ca="1"/>
        <v>0</v>
      </c>
      <c r="R125">
        <f ca="1"/>
        <v>340</v>
      </c>
      <c r="S125">
        <f ca="1"/>
        <v>1000</v>
      </c>
      <c r="T125">
        <f ca="1"/>
        <v>1000</v>
      </c>
      <c r="U125">
        <f ca="1"/>
        <v>340000</v>
      </c>
      <c r="V125">
        <f ca="1"/>
        <v>0</v>
      </c>
      <c r="W125">
        <f ca="1"/>
        <v>340000</v>
      </c>
      <c r="X125">
        <f ca="1"/>
        <v>44347.82608695652</v>
      </c>
      <c r="Y125">
        <f ca="1"/>
        <v>295652.17391304346</v>
      </c>
      <c r="Z125" t="str">
        <f ca="1"/>
        <v>Cash</v>
      </c>
      <c r="AA125">
        <f ca="1"/>
        <v>600</v>
      </c>
      <c r="AB125" t="str">
        <f ca="1"/>
        <v>Flat Discount</v>
      </c>
      <c r="AC125">
        <f ca="1"/>
        <v>45678</v>
      </c>
      <c r="AD125" t="str">
        <f ca="1"/>
        <v/>
      </c>
      <c r="AE125" t="str">
        <f ca="1"/>
        <v>Captive Sales</v>
      </c>
      <c r="AF125" t="str">
        <f ca="1"/>
        <v>Care Products</v>
      </c>
      <c r="AG125" t="str">
        <f ca="1"/>
        <v>Care Products</v>
      </c>
      <c r="AH125" t="str">
        <f ca="1"/>
        <v>Care Products</v>
      </c>
      <c r="AI125" t="str">
        <f ca="1"/>
        <v>Coolant</v>
      </c>
      <c r="AJ125">
        <f ca="1"/>
        <v>0</v>
      </c>
      <c r="AK125" t="str">
        <f ca="1"/>
        <v>20x1L</v>
      </c>
      <c r="AL125">
        <f ca="1"/>
        <v>230640</v>
      </c>
      <c r="AM125">
        <f ca="1"/>
        <v>65012.173913043458</v>
      </c>
      <c r="AN125" t="str">
        <f ca="1"/>
        <v>O-45678-D-0025</v>
      </c>
      <c r="AO125" t="str">
        <f ca="1"/>
        <v>Delivered</v>
      </c>
    </row>
    <row r="126" spans="1:41" x14ac:dyDescent="0.5">
      <c r="A126" t="str">
        <f ca="1"/>
        <v>F-136</v>
      </c>
      <c r="B126" s="1">
        <f ca="1"/>
        <v>45679</v>
      </c>
      <c r="C126" t="str">
        <f ca="1"/>
        <v>D-0006</v>
      </c>
      <c r="D126" t="str">
        <f ca="1"/>
        <v>Shohag Servicing Centre</v>
      </c>
      <c r="E126" t="str">
        <f ca="1"/>
        <v>Mirpur -10</v>
      </c>
      <c r="F126" t="str">
        <f ca="1"/>
        <v>01942-214488</v>
      </c>
      <c r="G126" t="str">
        <f ca="1"/>
        <v>Sayed Al Amin Apu</v>
      </c>
      <c r="H126" t="str">
        <f ca="1"/>
        <v>Abdul Matin</v>
      </c>
      <c r="I126" t="str">
        <f ca="1"/>
        <v>Maliha Enterprise</v>
      </c>
      <c r="J126" t="str">
        <f ca="1"/>
        <v>Savar</v>
      </c>
      <c r="K126" t="str">
        <f ca="1"/>
        <v>LO00041</v>
      </c>
      <c r="L126" t="str">
        <f ca="1"/>
        <v>3000 4T PLUS 10W30</v>
      </c>
      <c r="M126">
        <f ca="1"/>
        <v>100</v>
      </c>
      <c r="N126">
        <f ca="1"/>
        <v>530</v>
      </c>
      <c r="O126">
        <f ca="1"/>
        <v>100</v>
      </c>
      <c r="P126">
        <f ca="1"/>
        <v>0</v>
      </c>
      <c r="Q126">
        <f ca="1"/>
        <v>0</v>
      </c>
      <c r="R126">
        <f ca="1"/>
        <v>530</v>
      </c>
      <c r="S126">
        <f ca="1"/>
        <v>100</v>
      </c>
      <c r="T126">
        <f ca="1"/>
        <v>100</v>
      </c>
      <c r="U126">
        <f ca="1"/>
        <v>53000</v>
      </c>
      <c r="V126">
        <f ca="1"/>
        <v>0</v>
      </c>
      <c r="W126">
        <f ca="1"/>
        <v>53000</v>
      </c>
      <c r="X126">
        <f ca="1"/>
        <v>6913.04347826087</v>
      </c>
      <c r="Y126">
        <f ca="1"/>
        <v>46086.956521739128</v>
      </c>
      <c r="Z126" t="str">
        <f ca="1"/>
        <v>Cash</v>
      </c>
      <c r="AA126">
        <f ca="1"/>
        <v>605</v>
      </c>
      <c r="AB126" t="str">
        <f ca="1"/>
        <v>Flat Discount</v>
      </c>
      <c r="AC126">
        <f ca="1"/>
        <v>45680</v>
      </c>
      <c r="AD126" t="str">
        <f ca="1"/>
        <v/>
      </c>
      <c r="AE126" t="str">
        <f ca="1"/>
        <v>Central</v>
      </c>
      <c r="AF126" t="str">
        <f ca="1"/>
        <v>Mineral</v>
      </c>
      <c r="AG126" t="str">
        <f ca="1"/>
        <v>MCO</v>
      </c>
      <c r="AH126" t="str">
        <f ca="1"/>
        <v>10W30</v>
      </c>
      <c r="AI126" t="str">
        <f ca="1"/>
        <v>3000</v>
      </c>
      <c r="AJ126">
        <f ca="1"/>
        <v>0</v>
      </c>
      <c r="AK126" t="str">
        <f ca="1"/>
        <v>20x1L</v>
      </c>
      <c r="AL126">
        <f ca="1"/>
        <v>37933</v>
      </c>
      <c r="AM126">
        <f ca="1"/>
        <v>8153.9565217391282</v>
      </c>
      <c r="AN126" t="str">
        <f ca="1"/>
        <v>O-45679-D-0006</v>
      </c>
      <c r="AO126" t="str">
        <f ca="1"/>
        <v>Delivered</v>
      </c>
    </row>
    <row r="127" spans="1:41" x14ac:dyDescent="0.5">
      <c r="A127" t="str">
        <f ca="1"/>
        <v>F-136</v>
      </c>
      <c r="B127" s="1">
        <f ca="1"/>
        <v>45679</v>
      </c>
      <c r="C127" t="str">
        <f ca="1"/>
        <v>D-0006</v>
      </c>
      <c r="D127" t="str">
        <f ca="1"/>
        <v>Shohag Servicing Centre</v>
      </c>
      <c r="E127" t="str">
        <f ca="1"/>
        <v>Mirpur -10</v>
      </c>
      <c r="F127" t="str">
        <f ca="1"/>
        <v>01942-214488</v>
      </c>
      <c r="G127" t="str">
        <f ca="1"/>
        <v>Sayed Al Amin Apu</v>
      </c>
      <c r="H127" t="str">
        <f ca="1"/>
        <v>Abdul Matin</v>
      </c>
      <c r="I127" t="str">
        <f ca="1"/>
        <v>Maliha Enterprise</v>
      </c>
      <c r="J127" t="str">
        <f ca="1"/>
        <v>Savar</v>
      </c>
      <c r="K127" t="str">
        <f ca="1"/>
        <v>LO00042</v>
      </c>
      <c r="L127" t="str">
        <f ca="1"/>
        <v>3000 4T PLUS 20W40</v>
      </c>
      <c r="M127">
        <f ca="1"/>
        <v>120</v>
      </c>
      <c r="N127">
        <f ca="1"/>
        <v>530</v>
      </c>
      <c r="O127">
        <f ca="1"/>
        <v>120</v>
      </c>
      <c r="P127">
        <f ca="1"/>
        <v>0</v>
      </c>
      <c r="Q127">
        <f ca="1"/>
        <v>0</v>
      </c>
      <c r="R127">
        <f ca="1"/>
        <v>530</v>
      </c>
      <c r="S127">
        <f ca="1"/>
        <v>120</v>
      </c>
      <c r="T127">
        <f ca="1"/>
        <v>120</v>
      </c>
      <c r="U127">
        <f ca="1"/>
        <v>63600</v>
      </c>
      <c r="V127">
        <f ca="1"/>
        <v>0</v>
      </c>
      <c r="W127">
        <f ca="1"/>
        <v>63600</v>
      </c>
      <c r="X127">
        <f ca="1"/>
        <v>8295.652173913044</v>
      </c>
      <c r="Y127">
        <f ca="1"/>
        <v>55304.34782608696</v>
      </c>
      <c r="Z127" t="str">
        <f ca="1"/>
        <v>Cash</v>
      </c>
      <c r="AA127">
        <f ca="1"/>
        <v>605</v>
      </c>
      <c r="AB127" t="str">
        <f ca="1"/>
        <v>Flat Discount</v>
      </c>
      <c r="AC127">
        <f ca="1"/>
        <v>45680</v>
      </c>
      <c r="AD127" t="str">
        <f ca="1"/>
        <v/>
      </c>
      <c r="AE127" t="str">
        <f ca="1"/>
        <v>Central</v>
      </c>
      <c r="AF127" t="str">
        <f ca="1"/>
        <v>Mineral</v>
      </c>
      <c r="AG127" t="str">
        <f ca="1"/>
        <v>MCO</v>
      </c>
      <c r="AH127" t="str">
        <f ca="1"/>
        <v>20W40</v>
      </c>
      <c r="AI127" t="str">
        <f ca="1"/>
        <v>3000</v>
      </c>
      <c r="AJ127">
        <f ca="1"/>
        <v>0</v>
      </c>
      <c r="AK127" t="str">
        <f ca="1"/>
        <v>20x1L</v>
      </c>
      <c r="AL127">
        <f ca="1"/>
        <v>49531.199999999997</v>
      </c>
      <c r="AM127">
        <f ca="1"/>
        <v>5773.1478260869626</v>
      </c>
      <c r="AN127" t="str">
        <f ca="1"/>
        <v>O-45679-D-0006</v>
      </c>
      <c r="AO127" t="str">
        <f ca="1"/>
        <v>Delivered</v>
      </c>
    </row>
    <row r="128" spans="1:41" x14ac:dyDescent="0.5">
      <c r="A128" t="str">
        <f ca="1"/>
        <v>F-136</v>
      </c>
      <c r="B128" s="1">
        <f ca="1"/>
        <v>45679</v>
      </c>
      <c r="C128" t="str">
        <f ca="1"/>
        <v>D-0006</v>
      </c>
      <c r="D128" t="str">
        <f ca="1"/>
        <v>Shohag Servicing Centre</v>
      </c>
      <c r="E128" t="str">
        <f ca="1"/>
        <v>Mirpur -10</v>
      </c>
      <c r="F128" t="str">
        <f ca="1"/>
        <v>01942-214488</v>
      </c>
      <c r="G128" t="str">
        <f ca="1"/>
        <v>Sayed Al Amin Apu</v>
      </c>
      <c r="H128" t="str">
        <f ca="1"/>
        <v>Abdul Matin</v>
      </c>
      <c r="I128" t="str">
        <f ca="1"/>
        <v>Maliha Enterprise</v>
      </c>
      <c r="J128" t="str">
        <f ca="1"/>
        <v>Savar</v>
      </c>
      <c r="K128" t="str">
        <f ca="1"/>
        <v>LO00043</v>
      </c>
      <c r="L128" t="str">
        <f ca="1"/>
        <v>3000 4T PLUS 10W40</v>
      </c>
      <c r="M128">
        <f ca="1"/>
        <v>120</v>
      </c>
      <c r="N128">
        <f ca="1"/>
        <v>535</v>
      </c>
      <c r="O128">
        <f ca="1"/>
        <v>120</v>
      </c>
      <c r="P128">
        <f ca="1"/>
        <v>0</v>
      </c>
      <c r="Q128">
        <f ca="1"/>
        <v>0</v>
      </c>
      <c r="R128">
        <f ca="1"/>
        <v>535</v>
      </c>
      <c r="S128">
        <f ca="1"/>
        <v>120</v>
      </c>
      <c r="T128">
        <f ca="1"/>
        <v>120</v>
      </c>
      <c r="U128">
        <f ca="1"/>
        <v>64200</v>
      </c>
      <c r="V128">
        <f ca="1"/>
        <v>0</v>
      </c>
      <c r="W128">
        <f ca="1"/>
        <v>64200</v>
      </c>
      <c r="X128">
        <f ca="1"/>
        <v>8373.9130434782601</v>
      </c>
      <c r="Y128">
        <f ca="1"/>
        <v>55826.086956521736</v>
      </c>
      <c r="Z128" t="str">
        <f ca="1"/>
        <v>Cash</v>
      </c>
      <c r="AA128">
        <f ca="1"/>
        <v>605</v>
      </c>
      <c r="AB128" t="str">
        <f ca="1"/>
        <v>Flat Discount</v>
      </c>
      <c r="AC128">
        <f ca="1"/>
        <v>45680</v>
      </c>
      <c r="AD128" t="str">
        <f ca="1"/>
        <v/>
      </c>
      <c r="AE128" t="str">
        <f ca="1"/>
        <v>Central</v>
      </c>
      <c r="AF128" t="str">
        <f ca="1"/>
        <v>Mineral</v>
      </c>
      <c r="AG128" t="str">
        <f ca="1"/>
        <v>MCO</v>
      </c>
      <c r="AH128" t="str">
        <f ca="1"/>
        <v>10W40</v>
      </c>
      <c r="AI128" t="str">
        <f ca="1"/>
        <v>3000</v>
      </c>
      <c r="AJ128">
        <f ca="1"/>
        <v>0</v>
      </c>
      <c r="AK128" t="str">
        <f ca="1"/>
        <v>20x1L</v>
      </c>
      <c r="AL128">
        <f ca="1"/>
        <v>46182</v>
      </c>
      <c r="AM128">
        <f ca="1"/>
        <v>9644.0869565217363</v>
      </c>
      <c r="AN128" t="str">
        <f ca="1"/>
        <v>O-45679-D-0006</v>
      </c>
      <c r="AO128" t="str">
        <f ca="1"/>
        <v>Delivered</v>
      </c>
    </row>
    <row r="129" spans="1:41" x14ac:dyDescent="0.5">
      <c r="A129" t="str">
        <f ca="1"/>
        <v>F-136</v>
      </c>
      <c r="B129" s="1">
        <f ca="1"/>
        <v>45679</v>
      </c>
      <c r="C129" t="str">
        <f ca="1"/>
        <v>D-0006</v>
      </c>
      <c r="D129" t="str">
        <f ca="1"/>
        <v>Shohag Servicing Centre</v>
      </c>
      <c r="E129" t="str">
        <f ca="1"/>
        <v>Mirpur -10</v>
      </c>
      <c r="F129" t="str">
        <f ca="1"/>
        <v>01942-214488</v>
      </c>
      <c r="G129" t="str">
        <f ca="1"/>
        <v>Sayed Al Amin Apu</v>
      </c>
      <c r="H129" t="str">
        <f ca="1"/>
        <v>Abdul Matin</v>
      </c>
      <c r="I129" t="str">
        <f ca="1"/>
        <v>Maliha Enterprise</v>
      </c>
      <c r="J129" t="str">
        <f ca="1"/>
        <v>Savar</v>
      </c>
      <c r="K129" t="str">
        <f ca="1"/>
        <v>LO00073</v>
      </c>
      <c r="L129" t="str">
        <f ca="1"/>
        <v>3000 4T PLUS 10W30</v>
      </c>
      <c r="M129">
        <f ca="1"/>
        <v>60</v>
      </c>
      <c r="N129">
        <f ca="1"/>
        <v>640</v>
      </c>
      <c r="O129">
        <f ca="1"/>
        <v>72</v>
      </c>
      <c r="P129">
        <f ca="1"/>
        <v>0</v>
      </c>
      <c r="Q129">
        <f ca="1"/>
        <v>0</v>
      </c>
      <c r="R129">
        <f ca="1"/>
        <v>640</v>
      </c>
      <c r="S129">
        <f ca="1"/>
        <v>60</v>
      </c>
      <c r="T129">
        <f ca="1"/>
        <v>72</v>
      </c>
      <c r="U129">
        <f ca="1"/>
        <v>38400</v>
      </c>
      <c r="V129">
        <f ca="1"/>
        <v>0</v>
      </c>
      <c r="W129">
        <f ca="1"/>
        <v>38400</v>
      </c>
      <c r="X129">
        <f ca="1"/>
        <v>5008.695652173913</v>
      </c>
      <c r="Y129">
        <f ca="1"/>
        <v>33391.304347826088</v>
      </c>
      <c r="Z129" t="str">
        <f ca="1"/>
        <v>Cash</v>
      </c>
      <c r="AA129">
        <f ca="1"/>
        <v>605</v>
      </c>
      <c r="AB129" t="str">
        <f ca="1"/>
        <v>Flat Discount</v>
      </c>
      <c r="AC129">
        <f ca="1"/>
        <v>45680</v>
      </c>
      <c r="AD129" t="str">
        <f ca="1"/>
        <v/>
      </c>
      <c r="AE129" t="str">
        <f ca="1"/>
        <v>Central</v>
      </c>
      <c r="AF129" t="str">
        <f ca="1"/>
        <v>Mineral</v>
      </c>
      <c r="AG129" t="str">
        <f ca="1"/>
        <v>MCO</v>
      </c>
      <c r="AH129" t="str">
        <f ca="1"/>
        <v>10W30</v>
      </c>
      <c r="AI129" t="str">
        <f ca="1"/>
        <v>3000</v>
      </c>
      <c r="AJ129">
        <f ca="1"/>
        <v>0</v>
      </c>
      <c r="AK129" t="str">
        <f ca="1"/>
        <v>20x1.2L</v>
      </c>
      <c r="AL129">
        <f ca="1"/>
        <v>26334</v>
      </c>
      <c r="AM129">
        <f ca="1"/>
        <v>7057.3043478260879</v>
      </c>
      <c r="AN129" t="str">
        <f ca="1"/>
        <v>O-45679-D-0006</v>
      </c>
      <c r="AO129" t="str">
        <f ca="1"/>
        <v>Delivered</v>
      </c>
    </row>
    <row r="130" spans="1:41" x14ac:dyDescent="0.5">
      <c r="A130" t="str">
        <f ca="1"/>
        <v>F-136</v>
      </c>
      <c r="B130" s="1">
        <f ca="1"/>
        <v>45679</v>
      </c>
      <c r="C130" t="str">
        <f ca="1"/>
        <v>D-0006</v>
      </c>
      <c r="D130" t="str">
        <f ca="1"/>
        <v>Shohag Servicing Centre</v>
      </c>
      <c r="E130" t="str">
        <f ca="1"/>
        <v>Mirpur -10</v>
      </c>
      <c r="F130" t="str">
        <f ca="1"/>
        <v>01942-214488</v>
      </c>
      <c r="G130" t="str">
        <f ca="1"/>
        <v>Sayed Al Amin Apu</v>
      </c>
      <c r="H130" t="str">
        <f ca="1"/>
        <v>Abdul Matin</v>
      </c>
      <c r="I130" t="str">
        <f ca="1"/>
        <v>Maliha Enterprise</v>
      </c>
      <c r="J130" t="str">
        <f ca="1"/>
        <v>Savar</v>
      </c>
      <c r="K130" t="str">
        <f ca="1"/>
        <v>LO00096</v>
      </c>
      <c r="L130" t="str">
        <f ca="1"/>
        <v>3000 4T PLUS 20W40</v>
      </c>
      <c r="M130">
        <f ca="1"/>
        <v>60</v>
      </c>
      <c r="N130">
        <f ca="1"/>
        <v>640</v>
      </c>
      <c r="O130">
        <f ca="1"/>
        <v>72</v>
      </c>
      <c r="P130">
        <f ca="1"/>
        <v>0</v>
      </c>
      <c r="Q130">
        <f ca="1"/>
        <v>0</v>
      </c>
      <c r="R130">
        <f ca="1"/>
        <v>640</v>
      </c>
      <c r="S130">
        <f ca="1"/>
        <v>60</v>
      </c>
      <c r="T130">
        <f ca="1"/>
        <v>72</v>
      </c>
      <c r="U130">
        <f ca="1"/>
        <v>38400</v>
      </c>
      <c r="V130">
        <f ca="1"/>
        <v>0</v>
      </c>
      <c r="W130">
        <f ca="1"/>
        <v>38400</v>
      </c>
      <c r="X130">
        <f ca="1"/>
        <v>5008.695652173913</v>
      </c>
      <c r="Y130">
        <f ca="1"/>
        <v>33391.304347826088</v>
      </c>
      <c r="Z130" t="str">
        <f ca="1"/>
        <v>Cash</v>
      </c>
      <c r="AA130">
        <f ca="1"/>
        <v>605</v>
      </c>
      <c r="AB130" t="str">
        <f ca="1"/>
        <v>Flat Discount</v>
      </c>
      <c r="AC130">
        <f ca="1"/>
        <v>45680</v>
      </c>
      <c r="AD130" t="str">
        <f ca="1"/>
        <v/>
      </c>
      <c r="AE130" t="str">
        <f ca="1"/>
        <v>Central</v>
      </c>
      <c r="AF130" t="str">
        <f ca="1"/>
        <v>Mineral</v>
      </c>
      <c r="AG130" t="str">
        <f ca="1"/>
        <v>MCO</v>
      </c>
      <c r="AH130" t="str">
        <f ca="1"/>
        <v>20W40</v>
      </c>
      <c r="AI130" t="str">
        <f ca="1"/>
        <v>3000</v>
      </c>
      <c r="AJ130">
        <f ca="1"/>
        <v>0</v>
      </c>
      <c r="AK130" t="str">
        <f ca="1"/>
        <v>20x1.2L</v>
      </c>
      <c r="AL130">
        <f ca="1"/>
        <v>28193.867721036582</v>
      </c>
      <c r="AM130">
        <f ca="1"/>
        <v>5197.4366267895057</v>
      </c>
      <c r="AN130" t="str">
        <f ca="1"/>
        <v>O-45679-D-0006</v>
      </c>
      <c r="AO130" t="str">
        <f ca="1"/>
        <v>Delivered</v>
      </c>
    </row>
    <row r="131" spans="1:41" x14ac:dyDescent="0.5">
      <c r="A131" t="str">
        <f ca="1"/>
        <v>F-136</v>
      </c>
      <c r="B131" s="1">
        <f ca="1"/>
        <v>45679</v>
      </c>
      <c r="C131" t="str">
        <f ca="1"/>
        <v>D-0006</v>
      </c>
      <c r="D131" t="str">
        <f ca="1"/>
        <v>Shohag Servicing Centre</v>
      </c>
      <c r="E131" t="str">
        <f ca="1"/>
        <v>Mirpur -10</v>
      </c>
      <c r="F131" t="str">
        <f ca="1"/>
        <v>01942-214488</v>
      </c>
      <c r="G131" t="str">
        <f ca="1"/>
        <v>Sayed Al Amin Apu</v>
      </c>
      <c r="H131" t="str">
        <f ca="1"/>
        <v>Abdul Matin</v>
      </c>
      <c r="I131" t="str">
        <f ca="1"/>
        <v>Maliha Enterprise</v>
      </c>
      <c r="J131" t="str">
        <f ca="1"/>
        <v>Savar</v>
      </c>
      <c r="K131" t="str">
        <f ca="1"/>
        <v>LO00044</v>
      </c>
      <c r="L131" t="str">
        <f ca="1"/>
        <v>31004T GOLD 20W50</v>
      </c>
      <c r="M131">
        <f ca="1"/>
        <v>100</v>
      </c>
      <c r="N131">
        <f ca="1"/>
        <v>600</v>
      </c>
      <c r="O131">
        <f ca="1"/>
        <v>100</v>
      </c>
      <c r="P131">
        <f ca="1"/>
        <v>0</v>
      </c>
      <c r="Q131">
        <f ca="1"/>
        <v>0</v>
      </c>
      <c r="R131">
        <f ca="1"/>
        <v>600</v>
      </c>
      <c r="S131">
        <f ca="1"/>
        <v>100</v>
      </c>
      <c r="T131">
        <f ca="1"/>
        <v>100</v>
      </c>
      <c r="U131">
        <f ca="1"/>
        <v>60000</v>
      </c>
      <c r="V131">
        <f ca="1"/>
        <v>0</v>
      </c>
      <c r="W131">
        <f ca="1"/>
        <v>60000</v>
      </c>
      <c r="X131">
        <f ca="1"/>
        <v>7826.086956521739</v>
      </c>
      <c r="Y131">
        <f ca="1"/>
        <v>52173.913043478264</v>
      </c>
      <c r="Z131" t="str">
        <f ca="1"/>
        <v>Cash</v>
      </c>
      <c r="AA131">
        <f ca="1"/>
        <v>605</v>
      </c>
      <c r="AB131" t="str">
        <f ca="1"/>
        <v>Flat Discount</v>
      </c>
      <c r="AC131">
        <f ca="1"/>
        <v>45680</v>
      </c>
      <c r="AD131" t="str">
        <f ca="1"/>
        <v/>
      </c>
      <c r="AE131" t="str">
        <f ca="1"/>
        <v>Central</v>
      </c>
      <c r="AF131" t="str">
        <f ca="1"/>
        <v>Technosynthese</v>
      </c>
      <c r="AG131" t="str">
        <f ca="1"/>
        <v>MCO</v>
      </c>
      <c r="AH131" t="str">
        <f ca="1"/>
        <v>20W50</v>
      </c>
      <c r="AI131" t="str">
        <f ca="1"/>
        <v>3100</v>
      </c>
      <c r="AJ131">
        <f ca="1"/>
        <v>0</v>
      </c>
      <c r="AK131" t="str">
        <f ca="1"/>
        <v>20x1L</v>
      </c>
      <c r="AL131">
        <f ca="1"/>
        <v>46939</v>
      </c>
      <c r="AM131">
        <f ca="1"/>
        <v>5234.9130434782637</v>
      </c>
      <c r="AN131" t="str">
        <f ca="1"/>
        <v>O-45679-D-0006</v>
      </c>
      <c r="AO131" t="str">
        <f ca="1"/>
        <v>Delivered</v>
      </c>
    </row>
    <row r="132" spans="1:41" x14ac:dyDescent="0.5">
      <c r="A132" t="str">
        <f ca="1"/>
        <v>F-136</v>
      </c>
      <c r="B132" s="1">
        <f ca="1"/>
        <v>45679</v>
      </c>
      <c r="C132" t="str">
        <f ca="1"/>
        <v>D-0006</v>
      </c>
      <c r="D132" t="str">
        <f ca="1"/>
        <v>Shohag Servicing Centre</v>
      </c>
      <c r="E132" t="str">
        <f ca="1"/>
        <v>Mirpur -10</v>
      </c>
      <c r="F132" t="str">
        <f ca="1"/>
        <v>01942-214488</v>
      </c>
      <c r="G132" t="str">
        <f ca="1"/>
        <v>Sayed Al Amin Apu</v>
      </c>
      <c r="H132" t="str">
        <f ca="1"/>
        <v>Abdul Matin</v>
      </c>
      <c r="I132" t="str">
        <f ca="1"/>
        <v>Maliha Enterprise</v>
      </c>
      <c r="J132" t="str">
        <f ca="1"/>
        <v>Savar</v>
      </c>
      <c r="K132" t="str">
        <f ca="1"/>
        <v>LO00071</v>
      </c>
      <c r="L132" t="str">
        <f ca="1"/>
        <v>31004T GOLD 10W30</v>
      </c>
      <c r="M132">
        <f ca="1"/>
        <v>60</v>
      </c>
      <c r="N132">
        <f ca="1"/>
        <v>590</v>
      </c>
      <c r="O132">
        <f ca="1"/>
        <v>60</v>
      </c>
      <c r="P132">
        <f ca="1"/>
        <v>0</v>
      </c>
      <c r="Q132">
        <f ca="1"/>
        <v>0</v>
      </c>
      <c r="R132">
        <f ca="1"/>
        <v>590</v>
      </c>
      <c r="S132">
        <f ca="1"/>
        <v>60</v>
      </c>
      <c r="T132">
        <f ca="1"/>
        <v>60</v>
      </c>
      <c r="U132">
        <f ca="1"/>
        <v>35400</v>
      </c>
      <c r="V132">
        <f ca="1"/>
        <v>0</v>
      </c>
      <c r="W132">
        <f ca="1"/>
        <v>35400</v>
      </c>
      <c r="X132">
        <f ca="1"/>
        <v>4617.391304347826</v>
      </c>
      <c r="Y132">
        <f ca="1"/>
        <v>30782.608695652172</v>
      </c>
      <c r="Z132" t="str">
        <f ca="1"/>
        <v>Cash</v>
      </c>
      <c r="AA132">
        <f ca="1"/>
        <v>605</v>
      </c>
      <c r="AB132" t="str">
        <f ca="1"/>
        <v>Flat Discount</v>
      </c>
      <c r="AC132">
        <f ca="1"/>
        <v>45680</v>
      </c>
      <c r="AD132" t="str">
        <f ca="1"/>
        <v/>
      </c>
      <c r="AE132" t="str">
        <f ca="1"/>
        <v>Central</v>
      </c>
      <c r="AF132" t="str">
        <f ca="1"/>
        <v>Technosynthese</v>
      </c>
      <c r="AG132" t="str">
        <f ca="1"/>
        <v>MCO</v>
      </c>
      <c r="AH132" t="str">
        <f ca="1"/>
        <v>10W30</v>
      </c>
      <c r="AI132" t="str">
        <f ca="1"/>
        <v>3100</v>
      </c>
      <c r="AJ132">
        <f ca="1"/>
        <v>0</v>
      </c>
      <c r="AK132" t="str">
        <f ca="1"/>
        <v>20x1L</v>
      </c>
      <c r="AL132">
        <f ca="1"/>
        <v>25506</v>
      </c>
      <c r="AM132">
        <f ca="1"/>
        <v>5276.6086956521722</v>
      </c>
      <c r="AN132" t="str">
        <f ca="1"/>
        <v>O-45679-D-0006</v>
      </c>
      <c r="AO132" t="str">
        <f ca="1"/>
        <v>Delivered</v>
      </c>
    </row>
    <row r="133" spans="1:41" x14ac:dyDescent="0.5">
      <c r="A133" t="str">
        <f ca="1"/>
        <v>F-136</v>
      </c>
      <c r="B133" s="1">
        <f ca="1"/>
        <v>45679</v>
      </c>
      <c r="C133" t="str">
        <f ca="1"/>
        <v>D-0006</v>
      </c>
      <c r="D133" t="str">
        <f ca="1"/>
        <v>Shohag Servicing Centre</v>
      </c>
      <c r="E133" t="str">
        <f ca="1"/>
        <v>Mirpur -10</v>
      </c>
      <c r="F133" t="str">
        <f ca="1"/>
        <v>01942-214488</v>
      </c>
      <c r="G133" t="str">
        <f ca="1"/>
        <v>Sayed Al Amin Apu</v>
      </c>
      <c r="H133" t="str">
        <f ca="1"/>
        <v>Abdul Matin</v>
      </c>
      <c r="I133" t="str">
        <f ca="1"/>
        <v>Maliha Enterprise</v>
      </c>
      <c r="J133" t="str">
        <f ca="1"/>
        <v>Savar</v>
      </c>
      <c r="K133" t="str">
        <f ca="1"/>
        <v>LO00045</v>
      </c>
      <c r="L133" t="str">
        <f ca="1"/>
        <v>51004T 10W30 ESTER</v>
      </c>
      <c r="M133">
        <f ca="1"/>
        <v>36</v>
      </c>
      <c r="N133">
        <f ca="1"/>
        <v>860</v>
      </c>
      <c r="O133">
        <f ca="1"/>
        <v>36</v>
      </c>
      <c r="P133">
        <f ca="1"/>
        <v>0</v>
      </c>
      <c r="Q133">
        <f ca="1"/>
        <v>0</v>
      </c>
      <c r="R133">
        <f ca="1"/>
        <v>860</v>
      </c>
      <c r="S133">
        <f ca="1"/>
        <v>36</v>
      </c>
      <c r="T133">
        <f ca="1"/>
        <v>36</v>
      </c>
      <c r="U133">
        <f ca="1"/>
        <v>30960</v>
      </c>
      <c r="V133">
        <f ca="1"/>
        <v>0</v>
      </c>
      <c r="W133">
        <f ca="1"/>
        <v>30960</v>
      </c>
      <c r="X133">
        <f ca="1"/>
        <v>4038.2608695652175</v>
      </c>
      <c r="Y133">
        <f ca="1"/>
        <v>26921.739130434784</v>
      </c>
      <c r="Z133" t="str">
        <f ca="1"/>
        <v>Cash</v>
      </c>
      <c r="AA133">
        <f ca="1"/>
        <v>605</v>
      </c>
      <c r="AB133" t="str">
        <f ca="1"/>
        <v>Flat Discount</v>
      </c>
      <c r="AC133">
        <f ca="1"/>
        <v>45680</v>
      </c>
      <c r="AD133" t="str">
        <f ca="1"/>
        <v/>
      </c>
      <c r="AE133" t="str">
        <f ca="1"/>
        <v>Central</v>
      </c>
      <c r="AF133" t="str">
        <f ca="1"/>
        <v>Technosynthese</v>
      </c>
      <c r="AG133" t="str">
        <f ca="1"/>
        <v>MCO</v>
      </c>
      <c r="AH133" t="str">
        <f ca="1"/>
        <v>10W30</v>
      </c>
      <c r="AI133" t="str">
        <f ca="1"/>
        <v>5100</v>
      </c>
      <c r="AJ133">
        <f ca="1"/>
        <v>0</v>
      </c>
      <c r="AK133" t="str">
        <f ca="1"/>
        <v>12x1L</v>
      </c>
      <c r="AL133">
        <f ca="1"/>
        <v>21695.040000000001</v>
      </c>
      <c r="AM133">
        <f ca="1"/>
        <v>5226.699130434783</v>
      </c>
      <c r="AN133" t="str">
        <f ca="1"/>
        <v>O-45679-D-0006</v>
      </c>
      <c r="AO133" t="str">
        <f ca="1"/>
        <v>Delivered</v>
      </c>
    </row>
    <row r="134" spans="1:41" x14ac:dyDescent="0.5">
      <c r="A134" t="str">
        <f ca="1"/>
        <v>F-136</v>
      </c>
      <c r="B134" s="1">
        <f ca="1"/>
        <v>45679</v>
      </c>
      <c r="C134" t="str">
        <f ca="1"/>
        <v>D-0006</v>
      </c>
      <c r="D134" t="str">
        <f ca="1"/>
        <v>Shohag Servicing Centre</v>
      </c>
      <c r="E134" t="str">
        <f ca="1"/>
        <v>Mirpur -10</v>
      </c>
      <c r="F134" t="str">
        <f ca="1"/>
        <v>01942-214488</v>
      </c>
      <c r="G134" t="str">
        <f ca="1"/>
        <v>Sayed Al Amin Apu</v>
      </c>
      <c r="H134" t="str">
        <f ca="1"/>
        <v>Abdul Matin</v>
      </c>
      <c r="I134" t="str">
        <f ca="1"/>
        <v>Maliha Enterprise</v>
      </c>
      <c r="J134" t="str">
        <f ca="1"/>
        <v>Savar</v>
      </c>
      <c r="K134" t="str">
        <f ca="1"/>
        <v>LO00074</v>
      </c>
      <c r="L134" t="str">
        <f ca="1"/>
        <v>7100 4T 10W30 ESTER CORE®</v>
      </c>
      <c r="M134">
        <f ca="1"/>
        <v>36</v>
      </c>
      <c r="N134">
        <f ca="1"/>
        <v>1060</v>
      </c>
      <c r="O134">
        <f ca="1"/>
        <v>36</v>
      </c>
      <c r="P134">
        <f ca="1"/>
        <v>0</v>
      </c>
      <c r="Q134">
        <f ca="1"/>
        <v>0</v>
      </c>
      <c r="R134">
        <f ca="1"/>
        <v>1060</v>
      </c>
      <c r="S134">
        <f ca="1"/>
        <v>36</v>
      </c>
      <c r="T134">
        <f ca="1"/>
        <v>36</v>
      </c>
      <c r="U134">
        <f ca="1"/>
        <v>38160</v>
      </c>
      <c r="V134">
        <f ca="1"/>
        <v>0</v>
      </c>
      <c r="W134">
        <f ca="1"/>
        <v>38160</v>
      </c>
      <c r="X134">
        <f ca="1"/>
        <v>4977.391304347826</v>
      </c>
      <c r="Y134">
        <f ca="1"/>
        <v>33182.608695652176</v>
      </c>
      <c r="Z134" t="str">
        <f ca="1"/>
        <v>Cash</v>
      </c>
      <c r="AA134">
        <f ca="1"/>
        <v>605</v>
      </c>
      <c r="AB134" t="str">
        <f ca="1"/>
        <v>Flat Discount</v>
      </c>
      <c r="AC134">
        <f ca="1"/>
        <v>45680</v>
      </c>
      <c r="AD134" t="str">
        <f ca="1"/>
        <v/>
      </c>
      <c r="AE134" t="str">
        <f ca="1"/>
        <v>Central</v>
      </c>
      <c r="AF134" t="str">
        <f ca="1"/>
        <v>Synthetic</v>
      </c>
      <c r="AG134" t="str">
        <f ca="1"/>
        <v>MCO</v>
      </c>
      <c r="AH134" t="str">
        <f ca="1"/>
        <v>10W30</v>
      </c>
      <c r="AI134" t="str">
        <f ca="1"/>
        <v>7100</v>
      </c>
      <c r="AJ134">
        <f ca="1"/>
        <v>0</v>
      </c>
      <c r="AK134" t="str">
        <f ca="1"/>
        <v>12x1L</v>
      </c>
      <c r="AL134">
        <f ca="1"/>
        <v>24834.959999999999</v>
      </c>
      <c r="AM134">
        <f ca="1"/>
        <v>8347.6486956521767</v>
      </c>
      <c r="AN134" t="str">
        <f ca="1"/>
        <v>O-45679-D-0006</v>
      </c>
      <c r="AO134" t="str">
        <f ca="1"/>
        <v>Delivered</v>
      </c>
    </row>
    <row r="135" spans="1:41" x14ac:dyDescent="0.5">
      <c r="A135" t="str">
        <f ca="1"/>
        <v>F-136</v>
      </c>
      <c r="B135" s="1">
        <f ca="1"/>
        <v>45679</v>
      </c>
      <c r="C135" t="str">
        <f ca="1"/>
        <v>D-0006</v>
      </c>
      <c r="D135" t="str">
        <f ca="1"/>
        <v>Shohag Servicing Centre</v>
      </c>
      <c r="E135" t="str">
        <f ca="1"/>
        <v>Mirpur -10</v>
      </c>
      <c r="F135" t="str">
        <f ca="1"/>
        <v>01942-214488</v>
      </c>
      <c r="G135" t="str">
        <f ca="1"/>
        <v>Sayed Al Amin Apu</v>
      </c>
      <c r="H135" t="str">
        <f ca="1"/>
        <v>Abdul Matin</v>
      </c>
      <c r="I135" t="str">
        <f ca="1"/>
        <v>Maliha Enterprise</v>
      </c>
      <c r="J135" t="str">
        <f ca="1"/>
        <v>Savar</v>
      </c>
      <c r="K135" t="str">
        <f ca="1"/>
        <v>LO00048</v>
      </c>
      <c r="L135" t="str">
        <f ca="1"/>
        <v>7100 4T 20W50 ESTER CORE®</v>
      </c>
      <c r="M135">
        <f ca="1"/>
        <v>36</v>
      </c>
      <c r="N135">
        <f ca="1"/>
        <v>1070</v>
      </c>
      <c r="O135">
        <f ca="1"/>
        <v>36</v>
      </c>
      <c r="P135">
        <f ca="1"/>
        <v>0</v>
      </c>
      <c r="Q135">
        <f ca="1"/>
        <v>0</v>
      </c>
      <c r="R135">
        <f ca="1"/>
        <v>1070</v>
      </c>
      <c r="S135">
        <f ca="1"/>
        <v>36</v>
      </c>
      <c r="T135">
        <f ca="1"/>
        <v>36</v>
      </c>
      <c r="U135">
        <f ca="1"/>
        <v>38520</v>
      </c>
      <c r="V135">
        <f ca="1"/>
        <v>0</v>
      </c>
      <c r="W135">
        <f ca="1"/>
        <v>38520</v>
      </c>
      <c r="X135">
        <f ca="1"/>
        <v>5024.347826086957</v>
      </c>
      <c r="Y135">
        <f ca="1"/>
        <v>33495.65217391304</v>
      </c>
      <c r="Z135" t="str">
        <f ca="1"/>
        <v>Cash</v>
      </c>
      <c r="AA135">
        <f ca="1"/>
        <v>605</v>
      </c>
      <c r="AB135" t="str">
        <f ca="1"/>
        <v>Flat Discount</v>
      </c>
      <c r="AC135">
        <f ca="1"/>
        <v>45680</v>
      </c>
      <c r="AD135" t="str">
        <f ca="1"/>
        <v/>
      </c>
      <c r="AE135" t="str">
        <f ca="1"/>
        <v>Central</v>
      </c>
      <c r="AF135" t="str">
        <f ca="1"/>
        <v>Synthetic</v>
      </c>
      <c r="AG135" t="str">
        <f ca="1"/>
        <v>MCO</v>
      </c>
      <c r="AH135" t="str">
        <f ca="1"/>
        <v>20W50</v>
      </c>
      <c r="AI135" t="str">
        <f ca="1"/>
        <v>7100</v>
      </c>
      <c r="AJ135">
        <f ca="1"/>
        <v>0</v>
      </c>
      <c r="AK135" t="str">
        <f ca="1"/>
        <v>12x1L</v>
      </c>
      <c r="AL135">
        <f ca="1"/>
        <v>27493.142400000001</v>
      </c>
      <c r="AM135">
        <f ca="1"/>
        <v>6002.5097739130397</v>
      </c>
      <c r="AN135" t="str">
        <f ca="1"/>
        <v>O-45679-D-0006</v>
      </c>
      <c r="AO135" t="str">
        <f ca="1"/>
        <v>Delivered</v>
      </c>
    </row>
    <row r="136" spans="1:41" x14ac:dyDescent="0.5">
      <c r="A136" t="str">
        <f ca="1"/>
        <v>F-136</v>
      </c>
      <c r="B136" s="1">
        <f ca="1"/>
        <v>45679</v>
      </c>
      <c r="C136" t="str">
        <f ca="1"/>
        <v>D-0006</v>
      </c>
      <c r="D136" t="str">
        <f ca="1"/>
        <v>Shohag Servicing Centre</v>
      </c>
      <c r="E136" t="str">
        <f ca="1"/>
        <v>Mirpur -10</v>
      </c>
      <c r="F136" t="str">
        <f ca="1"/>
        <v>01942-214488</v>
      </c>
      <c r="G136" t="str">
        <f ca="1"/>
        <v>Sayed Al Amin Apu</v>
      </c>
      <c r="H136" t="str">
        <f ca="1"/>
        <v>Abdul Matin</v>
      </c>
      <c r="I136" t="str">
        <f ca="1"/>
        <v>Maliha Enterprise</v>
      </c>
      <c r="J136" t="str">
        <f ca="1"/>
        <v>Savar</v>
      </c>
      <c r="K136" t="str">
        <f ca="1"/>
        <v>LO00119</v>
      </c>
      <c r="L136" t="str">
        <f ca="1"/>
        <v>3000 4T 20W50</v>
      </c>
      <c r="M136">
        <f ca="1"/>
        <v>100</v>
      </c>
      <c r="N136">
        <f ca="1"/>
        <v>495</v>
      </c>
      <c r="O136">
        <f ca="1"/>
        <v>100</v>
      </c>
      <c r="P136">
        <f ca="1"/>
        <v>0</v>
      </c>
      <c r="Q136">
        <f ca="1"/>
        <v>0</v>
      </c>
      <c r="R136">
        <f ca="1"/>
        <v>495</v>
      </c>
      <c r="S136">
        <f ca="1"/>
        <v>100</v>
      </c>
      <c r="T136">
        <f ca="1"/>
        <v>100</v>
      </c>
      <c r="U136">
        <f ca="1"/>
        <v>49500</v>
      </c>
      <c r="V136">
        <f ca="1"/>
        <v>0</v>
      </c>
      <c r="W136">
        <f ca="1"/>
        <v>49500</v>
      </c>
      <c r="X136">
        <f ca="1"/>
        <v>6456.521739130435</v>
      </c>
      <c r="Y136">
        <f ca="1"/>
        <v>43043.478260869568</v>
      </c>
      <c r="Z136" t="str">
        <f ca="1"/>
        <v>Cash</v>
      </c>
      <c r="AA136">
        <f ca="1"/>
        <v>605</v>
      </c>
      <c r="AB136" t="str">
        <f ca="1"/>
        <v>Flat Discount</v>
      </c>
      <c r="AC136">
        <f ca="1"/>
        <v>45680</v>
      </c>
      <c r="AD136" t="str">
        <f ca="1"/>
        <v/>
      </c>
      <c r="AE136" t="str">
        <f ca="1"/>
        <v>Central</v>
      </c>
      <c r="AF136" t="str">
        <f ca="1"/>
        <v>Mineral</v>
      </c>
      <c r="AG136" t="str">
        <f ca="1"/>
        <v>MCO</v>
      </c>
      <c r="AH136" t="str">
        <f ca="1"/>
        <v>20W50</v>
      </c>
      <c r="AI136" t="str">
        <f ca="1"/>
        <v>3000</v>
      </c>
      <c r="AJ136">
        <f ca="1"/>
        <v>0</v>
      </c>
      <c r="AK136" t="str">
        <f ca="1"/>
        <v>20x1L</v>
      </c>
      <c r="AL136">
        <f ca="1"/>
        <v>36492</v>
      </c>
      <c r="AM136">
        <f ca="1"/>
        <v>6551.4782608695677</v>
      </c>
      <c r="AN136" t="str">
        <f ca="1"/>
        <v>O-45679-D-0006</v>
      </c>
      <c r="AO136" t="str">
        <f ca="1"/>
        <v>Delivered</v>
      </c>
    </row>
    <row r="137" spans="1:41" x14ac:dyDescent="0.5">
      <c r="A137" t="str">
        <f ca="1"/>
        <v>F-136</v>
      </c>
      <c r="B137" s="1">
        <f ca="1"/>
        <v>45679</v>
      </c>
      <c r="C137" t="str">
        <f ca="1"/>
        <v>D-0006</v>
      </c>
      <c r="D137" t="str">
        <f ca="1"/>
        <v>Shohag Servicing Centre</v>
      </c>
      <c r="E137" t="str">
        <f ca="1"/>
        <v>Mirpur -10</v>
      </c>
      <c r="F137" t="str">
        <f ca="1"/>
        <v>01942-214488</v>
      </c>
      <c r="G137" t="str">
        <f ca="1"/>
        <v>Sayed Al Amin Apu</v>
      </c>
      <c r="H137" t="str">
        <f ca="1"/>
        <v>Abdul Matin</v>
      </c>
      <c r="I137" t="str">
        <f ca="1"/>
        <v>Maliha Enterprise</v>
      </c>
      <c r="J137" t="str">
        <f ca="1"/>
        <v>Savar</v>
      </c>
      <c r="K137" t="str">
        <f ca="1"/>
        <v>LO00120</v>
      </c>
      <c r="L137" t="str">
        <f ca="1"/>
        <v>3000 4T 20W50</v>
      </c>
      <c r="M137">
        <f ca="1"/>
        <v>100</v>
      </c>
      <c r="N137">
        <f ca="1"/>
        <v>595</v>
      </c>
      <c r="O137">
        <f ca="1"/>
        <v>120</v>
      </c>
      <c r="P137">
        <f ca="1"/>
        <v>0</v>
      </c>
      <c r="Q137">
        <f ca="1"/>
        <v>0</v>
      </c>
      <c r="R137">
        <f ca="1"/>
        <v>595</v>
      </c>
      <c r="S137">
        <f ca="1"/>
        <v>100</v>
      </c>
      <c r="T137">
        <f ca="1"/>
        <v>120</v>
      </c>
      <c r="U137">
        <f ca="1"/>
        <v>59500</v>
      </c>
      <c r="V137">
        <f ca="1"/>
        <v>0</v>
      </c>
      <c r="W137">
        <f ca="1"/>
        <v>59500</v>
      </c>
      <c r="X137">
        <f ca="1"/>
        <v>7760.869565217391</v>
      </c>
      <c r="Y137">
        <f ca="1"/>
        <v>51739.130434782608</v>
      </c>
      <c r="Z137" t="str">
        <f ca="1"/>
        <v>Cash</v>
      </c>
      <c r="AA137">
        <f ca="1"/>
        <v>605</v>
      </c>
      <c r="AB137" t="str">
        <f ca="1"/>
        <v>Flat Discount</v>
      </c>
      <c r="AC137">
        <f ca="1"/>
        <v>45680</v>
      </c>
      <c r="AD137" t="str">
        <f ca="1"/>
        <v/>
      </c>
      <c r="AE137" t="str">
        <f ca="1"/>
        <v>Central</v>
      </c>
      <c r="AF137" t="str">
        <f ca="1"/>
        <v>Mineral</v>
      </c>
      <c r="AG137" t="str">
        <f ca="1"/>
        <v>MCO</v>
      </c>
      <c r="AH137" t="str">
        <f ca="1"/>
        <v>20W50</v>
      </c>
      <c r="AI137" t="str">
        <f ca="1"/>
        <v>3000</v>
      </c>
      <c r="AJ137">
        <f ca="1"/>
        <v>0</v>
      </c>
      <c r="AK137" t="str">
        <f ca="1"/>
        <v>20x1.2L</v>
      </c>
      <c r="AL137">
        <f ca="1"/>
        <v>43461</v>
      </c>
      <c r="AM137">
        <f ca="1"/>
        <v>8278.1304347826081</v>
      </c>
      <c r="AN137" t="str">
        <f ca="1"/>
        <v>O-45679-D-0006</v>
      </c>
      <c r="AO137" t="str">
        <f ca="1"/>
        <v>Delivered</v>
      </c>
    </row>
    <row r="138" spans="1:41" x14ac:dyDescent="0.5">
      <c r="A138" t="str">
        <f ca="1"/>
        <v>F-132</v>
      </c>
      <c r="B138" s="1">
        <f ca="1"/>
        <v>45679</v>
      </c>
      <c r="C138" t="str">
        <f ca="1"/>
        <v>D-0025</v>
      </c>
      <c r="D138" t="str">
        <f ca="1"/>
        <v>Rancon Motor Bikes Ltd</v>
      </c>
      <c r="E138" t="str">
        <f ca="1"/>
        <v>Dhaka</v>
      </c>
      <c r="F138" t="str">
        <f ca="1"/>
        <v/>
      </c>
      <c r="G138" t="str">
        <f ca="1"/>
        <v>Captive Sales</v>
      </c>
      <c r="H138" t="str">
        <f ca="1"/>
        <v>Captive Sales</v>
      </c>
      <c r="I138" t="str">
        <f ca="1"/>
        <v>Rancon Motor Bikes Ltd</v>
      </c>
      <c r="J138" t="str">
        <f ca="1"/>
        <v>Dhaka</v>
      </c>
      <c r="K138" t="str">
        <f ca="1"/>
        <v>LO00097</v>
      </c>
      <c r="L138" t="str">
        <f ca="1"/>
        <v>31004T GOLD 10W40</v>
      </c>
      <c r="M138">
        <f ca="1"/>
        <v>460</v>
      </c>
      <c r="N138">
        <f ca="1"/>
        <v>565</v>
      </c>
      <c r="O138">
        <f ca="1"/>
        <v>460</v>
      </c>
      <c r="P138">
        <f ca="1"/>
        <v>0</v>
      </c>
      <c r="Q138">
        <f ca="1"/>
        <v>0</v>
      </c>
      <c r="R138">
        <f ca="1"/>
        <v>565</v>
      </c>
      <c r="S138">
        <f ca="1"/>
        <v>460</v>
      </c>
      <c r="T138">
        <f ca="1"/>
        <v>460</v>
      </c>
      <c r="U138">
        <f ca="1"/>
        <v>259900</v>
      </c>
      <c r="V138">
        <f ca="1"/>
        <v>0</v>
      </c>
      <c r="W138">
        <f ca="1"/>
        <v>259900</v>
      </c>
      <c r="X138">
        <f ca="1"/>
        <v>33900</v>
      </c>
      <c r="Y138">
        <f ca="1"/>
        <v>226000</v>
      </c>
      <c r="Z138" t="str">
        <f ca="1"/>
        <v>Credit</v>
      </c>
      <c r="AA138">
        <f ca="1"/>
        <v>601</v>
      </c>
      <c r="AB138" t="str">
        <f ca="1"/>
        <v>Flat Discount</v>
      </c>
      <c r="AC138">
        <f ca="1"/>
        <v>45679</v>
      </c>
      <c r="AD138" t="str">
        <f ca="1"/>
        <v/>
      </c>
      <c r="AE138" t="str">
        <f ca="1"/>
        <v>Captive Sales</v>
      </c>
      <c r="AF138" t="str">
        <f ca="1"/>
        <v>Technosynthese</v>
      </c>
      <c r="AG138" t="str">
        <f ca="1"/>
        <v>MCO</v>
      </c>
      <c r="AH138" t="str">
        <f ca="1"/>
        <v>10W40</v>
      </c>
      <c r="AI138" t="str">
        <f ca="1"/>
        <v>3100</v>
      </c>
      <c r="AJ138">
        <f ca="1"/>
        <v>0</v>
      </c>
      <c r="AK138" t="str">
        <f ca="1"/>
        <v>20x1L</v>
      </c>
      <c r="AL138">
        <f ca="1"/>
        <v>192500.80000000002</v>
      </c>
      <c r="AM138">
        <f ca="1"/>
        <v>33499.199999999983</v>
      </c>
      <c r="AN138" t="str">
        <f ca="1"/>
        <v>O-45679-D-0025</v>
      </c>
      <c r="AO138" t="str">
        <f ca="1"/>
        <v>Delivered</v>
      </c>
    </row>
    <row r="139" spans="1:41" x14ac:dyDescent="0.5">
      <c r="A139" t="str">
        <f ca="1"/>
        <v>F-132</v>
      </c>
      <c r="B139" s="1">
        <f ca="1"/>
        <v>45679</v>
      </c>
      <c r="C139" t="str">
        <f ca="1"/>
        <v>D-0025</v>
      </c>
      <c r="D139" t="str">
        <f ca="1"/>
        <v>Rancon Motor Bikes Ltd</v>
      </c>
      <c r="E139" t="str">
        <f ca="1"/>
        <v>Dhaka</v>
      </c>
      <c r="F139" t="str">
        <f ca="1"/>
        <v/>
      </c>
      <c r="G139" t="str">
        <f ca="1"/>
        <v>Captive Sales</v>
      </c>
      <c r="H139" t="str">
        <f ca="1"/>
        <v>Captive Sales</v>
      </c>
      <c r="I139" t="str">
        <f ca="1"/>
        <v>Rancon Motor Bikes Ltd</v>
      </c>
      <c r="J139" t="str">
        <f ca="1"/>
        <v>Dhaka</v>
      </c>
      <c r="K139" t="str">
        <f ca="1"/>
        <v>LO00047</v>
      </c>
      <c r="L139" t="str">
        <f ca="1"/>
        <v>7100 4T 10W40 ESTER CORE®</v>
      </c>
      <c r="M139">
        <f ca="1"/>
        <v>4994</v>
      </c>
      <c r="N139">
        <f ca="1"/>
        <v>1040</v>
      </c>
      <c r="O139">
        <f ca="1"/>
        <v>4994</v>
      </c>
      <c r="P139">
        <f ca="1"/>
        <v>0</v>
      </c>
      <c r="Q139">
        <f ca="1"/>
        <v>0</v>
      </c>
      <c r="R139">
        <f ca="1"/>
        <v>1040</v>
      </c>
      <c r="S139">
        <f ca="1"/>
        <v>4994</v>
      </c>
      <c r="T139">
        <f ca="1"/>
        <v>4994</v>
      </c>
      <c r="U139">
        <f ca="1"/>
        <v>5193760</v>
      </c>
      <c r="V139">
        <f ca="1"/>
        <v>0</v>
      </c>
      <c r="W139">
        <f ca="1"/>
        <v>5193760</v>
      </c>
      <c r="X139">
        <f ca="1"/>
        <v>677446.95652173914</v>
      </c>
      <c r="Y139">
        <f ca="1"/>
        <v>4516313.0434782607</v>
      </c>
      <c r="Z139" t="str">
        <f ca="1"/>
        <v>Credit</v>
      </c>
      <c r="AA139">
        <f ca="1"/>
        <v>601</v>
      </c>
      <c r="AB139" t="str">
        <f ca="1"/>
        <v>Flat Discount</v>
      </c>
      <c r="AC139">
        <f ca="1"/>
        <v>45679</v>
      </c>
      <c r="AD139" t="str">
        <f ca="1"/>
        <v/>
      </c>
      <c r="AE139" t="str">
        <f ca="1"/>
        <v>Captive Sales</v>
      </c>
      <c r="AF139" t="str">
        <f ca="1"/>
        <v>Synthetic</v>
      </c>
      <c r="AG139" t="str">
        <f ca="1"/>
        <v>MCO</v>
      </c>
      <c r="AH139" t="str">
        <f ca="1"/>
        <v>10W40</v>
      </c>
      <c r="AI139" t="str">
        <f ca="1"/>
        <v>7100</v>
      </c>
      <c r="AJ139">
        <f ca="1"/>
        <v>0</v>
      </c>
      <c r="AK139" t="str">
        <f ca="1"/>
        <v>12x1L</v>
      </c>
      <c r="AL139">
        <f ca="1"/>
        <v>3465786.06</v>
      </c>
      <c r="AM139">
        <f ca="1"/>
        <v>1050526.9834782607</v>
      </c>
      <c r="AN139" t="str">
        <f ca="1"/>
        <v>O-45679-D-0025</v>
      </c>
      <c r="AO139" t="str">
        <f ca="1"/>
        <v>Delivered</v>
      </c>
    </row>
    <row r="140" spans="1:41" x14ac:dyDescent="0.5">
      <c r="A140" t="str">
        <f ca="1"/>
        <v>F-132</v>
      </c>
      <c r="B140" s="1">
        <f ca="1"/>
        <v>45679</v>
      </c>
      <c r="C140" t="str">
        <f ca="1"/>
        <v>D-0025</v>
      </c>
      <c r="D140" t="str">
        <f ca="1"/>
        <v>Rancon Motor Bikes Ltd</v>
      </c>
      <c r="E140" t="str">
        <f ca="1"/>
        <v>Dhaka</v>
      </c>
      <c r="F140" t="str">
        <f ca="1"/>
        <v/>
      </c>
      <c r="G140" t="str">
        <f ca="1"/>
        <v>Captive Sales</v>
      </c>
      <c r="H140" t="str">
        <f ca="1"/>
        <v>Captive Sales</v>
      </c>
      <c r="I140" t="str">
        <f ca="1"/>
        <v>Rancon Motor Bikes Ltd</v>
      </c>
      <c r="J140" t="str">
        <f ca="1"/>
        <v>Dhaka</v>
      </c>
      <c r="K140" t="str">
        <f ca="1"/>
        <v>LO00064</v>
      </c>
      <c r="L140" t="str">
        <f ca="1"/>
        <v>Fork Oil Expert</v>
      </c>
      <c r="M140">
        <f ca="1"/>
        <v>700</v>
      </c>
      <c r="N140">
        <f ca="1"/>
        <v>220</v>
      </c>
      <c r="O140">
        <f ca="1"/>
        <v>244.99999999999997</v>
      </c>
      <c r="P140">
        <f ca="1"/>
        <v>0</v>
      </c>
      <c r="Q140">
        <f ca="1"/>
        <v>0</v>
      </c>
      <c r="R140">
        <f ca="1"/>
        <v>220</v>
      </c>
      <c r="S140">
        <f ca="1"/>
        <v>700</v>
      </c>
      <c r="T140">
        <f ca="1"/>
        <v>244.99999999999997</v>
      </c>
      <c r="U140">
        <f ca="1"/>
        <v>154000</v>
      </c>
      <c r="V140">
        <f ca="1"/>
        <v>0</v>
      </c>
      <c r="W140">
        <f ca="1"/>
        <v>154000</v>
      </c>
      <c r="X140">
        <f ca="1"/>
        <v>20086.956521739132</v>
      </c>
      <c r="Y140">
        <f ca="1"/>
        <v>133913.04347826086</v>
      </c>
      <c r="Z140" t="str">
        <f ca="1"/>
        <v>Credit</v>
      </c>
      <c r="AA140">
        <f ca="1"/>
        <v>601</v>
      </c>
      <c r="AB140" t="str">
        <f ca="1"/>
        <v>Flat Discount</v>
      </c>
      <c r="AC140">
        <f ca="1"/>
        <v>45679</v>
      </c>
      <c r="AD140" t="str">
        <f ca="1"/>
        <v/>
      </c>
      <c r="AE140" t="str">
        <f ca="1"/>
        <v>Captive Sales</v>
      </c>
      <c r="AF140" t="str">
        <f ca="1"/>
        <v>Care Products</v>
      </c>
      <c r="AG140" t="str">
        <f ca="1"/>
        <v>Care Products</v>
      </c>
      <c r="AH140" t="str">
        <f ca="1"/>
        <v>Care Products</v>
      </c>
      <c r="AI140" t="str">
        <f ca="1"/>
        <v>Fork Oil</v>
      </c>
      <c r="AJ140">
        <f ca="1"/>
        <v>0</v>
      </c>
      <c r="AK140" t="str">
        <f ca="1"/>
        <v>20x0.35L</v>
      </c>
      <c r="AL140">
        <f ca="1"/>
        <v>115297</v>
      </c>
      <c r="AM140">
        <f ca="1"/>
        <v>18616.043478260865</v>
      </c>
      <c r="AN140" t="str">
        <f ca="1"/>
        <v>O-45679-D-0025</v>
      </c>
      <c r="AO140" t="str">
        <f ca="1"/>
        <v>Delivered</v>
      </c>
    </row>
    <row r="141" spans="1:41" x14ac:dyDescent="0.5">
      <c r="A141" t="str">
        <f ca="1"/>
        <v>F-132</v>
      </c>
      <c r="B141" s="1">
        <f ca="1"/>
        <v>45679</v>
      </c>
      <c r="C141" t="str">
        <f ca="1"/>
        <v>D-0025</v>
      </c>
      <c r="D141" t="str">
        <f ca="1"/>
        <v>Rancon Motor Bikes Ltd</v>
      </c>
      <c r="E141" t="str">
        <f ca="1"/>
        <v>Dhaka</v>
      </c>
      <c r="F141" t="str">
        <f ca="1"/>
        <v/>
      </c>
      <c r="G141" t="str">
        <f ca="1"/>
        <v>Captive Sales</v>
      </c>
      <c r="H141" t="str">
        <f ca="1"/>
        <v>Captive Sales</v>
      </c>
      <c r="I141" t="str">
        <f ca="1"/>
        <v>Rancon Motor Bikes Ltd</v>
      </c>
      <c r="J141" t="str">
        <f ca="1"/>
        <v>Dhaka</v>
      </c>
      <c r="K141" t="str">
        <f ca="1"/>
        <v>LO00072</v>
      </c>
      <c r="L141" t="str">
        <f ca="1"/>
        <v>Scooter LE 4T 10W30 HC-TECH®</v>
      </c>
      <c r="M141">
        <f ca="1"/>
        <v>500</v>
      </c>
      <c r="N141">
        <f ca="1"/>
        <v>450</v>
      </c>
      <c r="O141">
        <f ca="1"/>
        <v>400</v>
      </c>
      <c r="P141">
        <f ca="1"/>
        <v>0</v>
      </c>
      <c r="Q141">
        <f ca="1"/>
        <v>0</v>
      </c>
      <c r="R141">
        <f ca="1"/>
        <v>450</v>
      </c>
      <c r="S141">
        <f ca="1"/>
        <v>500</v>
      </c>
      <c r="T141">
        <f ca="1"/>
        <v>400</v>
      </c>
      <c r="U141">
        <f ca="1"/>
        <v>225000</v>
      </c>
      <c r="V141">
        <f ca="1"/>
        <v>0</v>
      </c>
      <c r="W141">
        <f ca="1"/>
        <v>225000</v>
      </c>
      <c r="X141">
        <f ca="1"/>
        <v>29347.82608695652</v>
      </c>
      <c r="Y141">
        <f ca="1"/>
        <v>195652.17391304349</v>
      </c>
      <c r="Z141" t="str">
        <f ca="1"/>
        <v>Credit</v>
      </c>
      <c r="AA141">
        <f ca="1"/>
        <v>601</v>
      </c>
      <c r="AB141" t="str">
        <f ca="1"/>
        <v>Flat Discount</v>
      </c>
      <c r="AC141">
        <f ca="1"/>
        <v>45679</v>
      </c>
      <c r="AD141" t="str">
        <f ca="1"/>
        <v/>
      </c>
      <c r="AE141" t="str">
        <f ca="1"/>
        <v>Captive Sales</v>
      </c>
      <c r="AF141" t="str">
        <f ca="1"/>
        <v>Mineral</v>
      </c>
      <c r="AG141" t="str">
        <f ca="1"/>
        <v>MCO</v>
      </c>
      <c r="AH141" t="str">
        <f ca="1"/>
        <v>10W30</v>
      </c>
      <c r="AI141" t="str">
        <f ca="1"/>
        <v>Scooter</v>
      </c>
      <c r="AJ141">
        <f ca="1"/>
        <v>0</v>
      </c>
      <c r="AK141" t="str">
        <f ca="1"/>
        <v>20x0.8L</v>
      </c>
      <c r="AL141">
        <f ca="1"/>
        <v>166665</v>
      </c>
      <c r="AM141">
        <f ca="1"/>
        <v>28987.173913043487</v>
      </c>
      <c r="AN141" t="str">
        <f ca="1"/>
        <v>O-45679-D-0025</v>
      </c>
      <c r="AO141" t="str">
        <f ca="1"/>
        <v>Delivered</v>
      </c>
    </row>
    <row r="142" spans="1:41" x14ac:dyDescent="0.5">
      <c r="A142" t="str">
        <f ca="1"/>
        <v>F-132</v>
      </c>
      <c r="B142" s="1">
        <f ca="1"/>
        <v>45679</v>
      </c>
      <c r="C142" t="str">
        <f ca="1"/>
        <v>D-0025</v>
      </c>
      <c r="D142" t="str">
        <f ca="1"/>
        <v>Rancon Motor Bikes Ltd</v>
      </c>
      <c r="E142" t="str">
        <f ca="1"/>
        <v>Dhaka</v>
      </c>
      <c r="F142" t="str">
        <f ca="1"/>
        <v/>
      </c>
      <c r="G142" t="str">
        <f ca="1"/>
        <v>Captive Sales</v>
      </c>
      <c r="H142" t="str">
        <f ca="1"/>
        <v>Captive Sales</v>
      </c>
      <c r="I142" t="str">
        <f ca="1"/>
        <v>Rancon Motor Bikes Ltd</v>
      </c>
      <c r="J142" t="str">
        <f ca="1"/>
        <v>Dhaka</v>
      </c>
      <c r="K142" t="str">
        <f ca="1"/>
        <v>LO00118</v>
      </c>
      <c r="L142" t="str">
        <f ca="1"/>
        <v>System Keep Clean Petrol</v>
      </c>
      <c r="M142">
        <f ca="1"/>
        <v>480</v>
      </c>
      <c r="N142">
        <f ca="1"/>
        <v>170</v>
      </c>
      <c r="O142">
        <f ca="1"/>
        <v>24</v>
      </c>
      <c r="P142">
        <f ca="1"/>
        <v>0</v>
      </c>
      <c r="Q142">
        <f ca="1"/>
        <v>0</v>
      </c>
      <c r="R142">
        <f ca="1"/>
        <v>170</v>
      </c>
      <c r="S142">
        <f ca="1"/>
        <v>480</v>
      </c>
      <c r="T142">
        <f ca="1"/>
        <v>24</v>
      </c>
      <c r="U142">
        <f ca="1"/>
        <v>81600</v>
      </c>
      <c r="V142">
        <f ca="1"/>
        <v>0</v>
      </c>
      <c r="W142">
        <f ca="1"/>
        <v>81600</v>
      </c>
      <c r="X142">
        <f ca="1"/>
        <v>10643.478260869566</v>
      </c>
      <c r="Y142">
        <f ca="1"/>
        <v>70956.521739130432</v>
      </c>
      <c r="Z142" t="str">
        <f ca="1"/>
        <v>Credit</v>
      </c>
      <c r="AA142">
        <f ca="1"/>
        <v>601</v>
      </c>
      <c r="AB142" t="str">
        <f ca="1"/>
        <v>Flat Discount</v>
      </c>
      <c r="AC142">
        <f ca="1"/>
        <v>45679</v>
      </c>
      <c r="AD142" t="str">
        <f ca="1"/>
        <v/>
      </c>
      <c r="AE142" t="str">
        <f ca="1"/>
        <v>Captive Sales</v>
      </c>
      <c r="AF142" t="str">
        <f ca="1"/>
        <v>Care Products</v>
      </c>
      <c r="AG142" t="str">
        <f ca="1"/>
        <v>Care Products</v>
      </c>
      <c r="AH142" t="str">
        <f ca="1"/>
        <v>Care Products</v>
      </c>
      <c r="AI142" t="str">
        <f ca="1"/>
        <v>Clean</v>
      </c>
      <c r="AJ142">
        <f ca="1"/>
        <v>0</v>
      </c>
      <c r="AK142" t="str">
        <f ca="1"/>
        <v>24x0.05L</v>
      </c>
      <c r="AL142">
        <f ca="1"/>
        <v>63393.599999999999</v>
      </c>
      <c r="AM142">
        <f ca="1"/>
        <v>7562.9217391304337</v>
      </c>
      <c r="AN142" t="str">
        <f ca="1"/>
        <v>O-45679-D-0025</v>
      </c>
      <c r="AO142" t="str">
        <f ca="1"/>
        <v>Delivered</v>
      </c>
    </row>
    <row r="143" spans="1:41" x14ac:dyDescent="0.5">
      <c r="A143" t="str">
        <f ca="1"/>
        <v>F-133</v>
      </c>
      <c r="B143" s="1">
        <f ca="1"/>
        <v>45677</v>
      </c>
      <c r="C143" t="str">
        <f ca="1"/>
        <v>D-0003</v>
      </c>
      <c r="D143" t="str">
        <f ca="1"/>
        <v>Bike Fashion</v>
      </c>
      <c r="E143" t="str">
        <f ca="1"/>
        <v>Kodalipol, Moulvibazar</v>
      </c>
      <c r="F143" t="str">
        <f ca="1"/>
        <v>01784-667321</v>
      </c>
      <c r="G143" t="str">
        <f ca="1"/>
        <v>Md. Robin Sheikh</v>
      </c>
      <c r="H143" t="str">
        <f ca="1"/>
        <v>Razur Rahman (Bipul)</v>
      </c>
      <c r="I143" t="str">
        <f ca="1"/>
        <v>Bajaj Parts Center</v>
      </c>
      <c r="J143" t="str">
        <f ca="1"/>
        <v>Taltola</v>
      </c>
      <c r="K143" t="str">
        <f ca="1"/>
        <v>LO00041</v>
      </c>
      <c r="L143" t="str">
        <f ca="1"/>
        <v>3000 4T PLUS 10W30</v>
      </c>
      <c r="M143">
        <f ca="1"/>
        <v>20</v>
      </c>
      <c r="N143">
        <f ca="1"/>
        <v>530</v>
      </c>
      <c r="O143">
        <f ca="1"/>
        <v>20</v>
      </c>
      <c r="P143">
        <f ca="1"/>
        <v>0</v>
      </c>
      <c r="Q143">
        <f ca="1"/>
        <v>0</v>
      </c>
      <c r="R143">
        <f ca="1"/>
        <v>530</v>
      </c>
      <c r="S143">
        <f ca="1"/>
        <v>20</v>
      </c>
      <c r="T143">
        <f ca="1"/>
        <v>20</v>
      </c>
      <c r="U143">
        <f ca="1"/>
        <v>10600</v>
      </c>
      <c r="V143">
        <f ca="1"/>
        <v>0</v>
      </c>
      <c r="W143">
        <f ca="1"/>
        <v>10600</v>
      </c>
      <c r="X143">
        <f ca="1"/>
        <v>1382.608695652174</v>
      </c>
      <c r="Y143">
        <f ca="1"/>
        <v>9217.391304347826</v>
      </c>
      <c r="Z143" t="str">
        <f ca="1"/>
        <v>Cash</v>
      </c>
      <c r="AA143">
        <f ca="1"/>
        <v>602</v>
      </c>
      <c r="AB143" t="str">
        <f ca="1"/>
        <v>Flat Discount</v>
      </c>
      <c r="AC143">
        <f ca="1"/>
        <v>45679</v>
      </c>
      <c r="AD143" t="str">
        <f ca="1"/>
        <v/>
      </c>
      <c r="AE143" t="str">
        <f ca="1"/>
        <v>Eastern</v>
      </c>
      <c r="AF143" t="str">
        <f ca="1"/>
        <v>Mineral</v>
      </c>
      <c r="AG143" t="str">
        <f ca="1"/>
        <v>MCO</v>
      </c>
      <c r="AH143" t="str">
        <f ca="1"/>
        <v>10W30</v>
      </c>
      <c r="AI143" t="str">
        <f ca="1"/>
        <v>3000</v>
      </c>
      <c r="AJ143">
        <f ca="1"/>
        <v>0</v>
      </c>
      <c r="AK143" t="str">
        <f ca="1"/>
        <v>20x1L</v>
      </c>
      <c r="AL143">
        <f ca="1"/>
        <v>7586.5999999999995</v>
      </c>
      <c r="AM143">
        <f ca="1"/>
        <v>1630.7913043478266</v>
      </c>
      <c r="AN143" t="str">
        <f ca="1"/>
        <v>O-45677-D-0003</v>
      </c>
      <c r="AO143" t="str">
        <f ca="1"/>
        <v>Delivered</v>
      </c>
    </row>
    <row r="144" spans="1:41" x14ac:dyDescent="0.5">
      <c r="A144" t="str">
        <f ca="1"/>
        <v>F-133</v>
      </c>
      <c r="B144" s="1">
        <f ca="1"/>
        <v>45677</v>
      </c>
      <c r="C144" t="str">
        <f ca="1"/>
        <v>D-0003</v>
      </c>
      <c r="D144" t="str">
        <f ca="1"/>
        <v>Bike Fashion</v>
      </c>
      <c r="E144" t="str">
        <f ca="1"/>
        <v>Kodalipol, Moulvibazar</v>
      </c>
      <c r="F144" t="str">
        <f ca="1"/>
        <v>01784-667321</v>
      </c>
      <c r="G144" t="str">
        <f ca="1"/>
        <v>Md. Robin Sheikh</v>
      </c>
      <c r="H144" t="str">
        <f ca="1"/>
        <v>Razur Rahman (Bipul)</v>
      </c>
      <c r="I144" t="str">
        <f ca="1"/>
        <v>Bajaj Parts Center</v>
      </c>
      <c r="J144" t="str">
        <f ca="1"/>
        <v>Taltola</v>
      </c>
      <c r="K144" t="str">
        <f ca="1"/>
        <v>LO00074</v>
      </c>
      <c r="L144" t="str">
        <f ca="1"/>
        <v>7100 4T 10W30 ESTER CORE®</v>
      </c>
      <c r="M144">
        <f ca="1"/>
        <v>12</v>
      </c>
      <c r="N144">
        <f ca="1"/>
        <v>1060</v>
      </c>
      <c r="O144">
        <f ca="1"/>
        <v>12</v>
      </c>
      <c r="P144">
        <f ca="1"/>
        <v>0</v>
      </c>
      <c r="Q144">
        <f ca="1"/>
        <v>0</v>
      </c>
      <c r="R144">
        <f ca="1"/>
        <v>1060</v>
      </c>
      <c r="S144">
        <f ca="1"/>
        <v>12</v>
      </c>
      <c r="T144">
        <f ca="1"/>
        <v>12</v>
      </c>
      <c r="U144">
        <f ca="1"/>
        <v>12720</v>
      </c>
      <c r="V144">
        <f ca="1"/>
        <v>0</v>
      </c>
      <c r="W144">
        <f ca="1"/>
        <v>12720</v>
      </c>
      <c r="X144">
        <f ca="1"/>
        <v>1659.1304347826087</v>
      </c>
      <c r="Y144">
        <f ca="1"/>
        <v>11060.869565217392</v>
      </c>
      <c r="Z144" t="str">
        <f ca="1"/>
        <v>Cash</v>
      </c>
      <c r="AA144">
        <f ca="1"/>
        <v>602</v>
      </c>
      <c r="AB144" t="str">
        <f ca="1"/>
        <v>Flat Discount</v>
      </c>
      <c r="AC144">
        <f ca="1"/>
        <v>45679</v>
      </c>
      <c r="AD144" t="str">
        <f ca="1"/>
        <v/>
      </c>
      <c r="AE144" t="str">
        <f ca="1"/>
        <v>Eastern</v>
      </c>
      <c r="AF144" t="str">
        <f ca="1"/>
        <v>Synthetic</v>
      </c>
      <c r="AG144" t="str">
        <f ca="1"/>
        <v>MCO</v>
      </c>
      <c r="AH144" t="str">
        <f ca="1"/>
        <v>10W30</v>
      </c>
      <c r="AI144" t="str">
        <f ca="1"/>
        <v>7100</v>
      </c>
      <c r="AJ144">
        <f ca="1"/>
        <v>0</v>
      </c>
      <c r="AK144" t="str">
        <f ca="1"/>
        <v>12x1L</v>
      </c>
      <c r="AL144">
        <f ca="1"/>
        <v>8278.32</v>
      </c>
      <c r="AM144">
        <f ca="1"/>
        <v>2782.5495652173922</v>
      </c>
      <c r="AN144" t="str">
        <f ca="1"/>
        <v>O-45677-D-0003</v>
      </c>
      <c r="AO144" t="str">
        <f ca="1"/>
        <v>Delivered</v>
      </c>
    </row>
    <row r="145" spans="1:41" x14ac:dyDescent="0.5">
      <c r="A145" t="str">
        <f ca="1"/>
        <v>F-134</v>
      </c>
      <c r="B145" s="1">
        <f ca="1"/>
        <v>45677</v>
      </c>
      <c r="C145" t="str">
        <f ca="1"/>
        <v>D-0003</v>
      </c>
      <c r="D145" t="str">
        <f ca="1"/>
        <v>Bikers Club</v>
      </c>
      <c r="E145" t="str">
        <f ca="1"/>
        <v>Kazitula, Sylhet</v>
      </c>
      <c r="F145" t="str">
        <f ca="1"/>
        <v>01772-180923</v>
      </c>
      <c r="G145" t="str">
        <f ca="1"/>
        <v>Md. Robin Sheikh</v>
      </c>
      <c r="H145" t="str">
        <f ca="1"/>
        <v>Razur Rahman (Bipul)</v>
      </c>
      <c r="I145" t="str">
        <f ca="1"/>
        <v>Bajaj Parts Center</v>
      </c>
      <c r="J145" t="str">
        <f ca="1"/>
        <v>Taltola</v>
      </c>
      <c r="K145" t="str">
        <f ca="1"/>
        <v>LO00043</v>
      </c>
      <c r="L145" t="str">
        <f ca="1"/>
        <v>3000 4T PLUS 10W40</v>
      </c>
      <c r="M145">
        <f ca="1"/>
        <v>20</v>
      </c>
      <c r="N145">
        <f ca="1"/>
        <v>535</v>
      </c>
      <c r="O145">
        <f ca="1"/>
        <v>20</v>
      </c>
      <c r="P145">
        <f ca="1"/>
        <v>0</v>
      </c>
      <c r="Q145">
        <f ca="1"/>
        <v>0</v>
      </c>
      <c r="R145">
        <f ca="1"/>
        <v>535</v>
      </c>
      <c r="S145">
        <f ca="1"/>
        <v>20</v>
      </c>
      <c r="T145">
        <f ca="1"/>
        <v>20</v>
      </c>
      <c r="U145">
        <f ca="1"/>
        <v>10700</v>
      </c>
      <c r="V145">
        <f ca="1"/>
        <v>0</v>
      </c>
      <c r="W145">
        <f ca="1"/>
        <v>10700</v>
      </c>
      <c r="X145">
        <f ca="1"/>
        <v>1395.6521739130435</v>
      </c>
      <c r="Y145">
        <f ca="1"/>
        <v>9304.347826086956</v>
      </c>
      <c r="Z145" t="str">
        <f ca="1"/>
        <v>Cash</v>
      </c>
      <c r="AA145">
        <f ca="1"/>
        <v>603</v>
      </c>
      <c r="AB145" t="str">
        <f ca="1"/>
        <v>Flat Discount</v>
      </c>
      <c r="AC145">
        <f ca="1"/>
        <v>45679</v>
      </c>
      <c r="AD145" t="str">
        <f ca="1"/>
        <v/>
      </c>
      <c r="AE145" t="str">
        <f ca="1"/>
        <v>Eastern</v>
      </c>
      <c r="AF145" t="str">
        <f ca="1"/>
        <v>Mineral</v>
      </c>
      <c r="AG145" t="str">
        <f ca="1"/>
        <v>MCO</v>
      </c>
      <c r="AH145" t="str">
        <f ca="1"/>
        <v>10W40</v>
      </c>
      <c r="AI145" t="str">
        <f ca="1"/>
        <v>3000</v>
      </c>
      <c r="AJ145">
        <f ca="1"/>
        <v>0</v>
      </c>
      <c r="AK145" t="str">
        <f ca="1"/>
        <v>20x1L</v>
      </c>
      <c r="AL145">
        <f ca="1"/>
        <v>7697</v>
      </c>
      <c r="AM145">
        <f ca="1"/>
        <v>1607.347826086956</v>
      </c>
      <c r="AN145" t="str">
        <f ca="1"/>
        <v>O-45677-D-0003</v>
      </c>
      <c r="AO145" t="str">
        <f ca="1"/>
        <v>Delivered</v>
      </c>
    </row>
    <row r="146" spans="1:41" x14ac:dyDescent="0.5">
      <c r="A146" t="str">
        <f ca="1"/>
        <v>F-134</v>
      </c>
      <c r="B146" s="1">
        <f ca="1"/>
        <v>45677</v>
      </c>
      <c r="C146" t="str">
        <f ca="1"/>
        <v>D-0003</v>
      </c>
      <c r="D146" t="str">
        <f ca="1"/>
        <v>Bikers Club</v>
      </c>
      <c r="E146" t="str">
        <f ca="1"/>
        <v>Kazitula, Sylhet</v>
      </c>
      <c r="F146" t="str">
        <f ca="1"/>
        <v>01772-180923</v>
      </c>
      <c r="G146" t="str">
        <f ca="1"/>
        <v>Md. Robin Sheikh</v>
      </c>
      <c r="H146" t="str">
        <f ca="1"/>
        <v>Razur Rahman (Bipul)</v>
      </c>
      <c r="I146" t="str">
        <f ca="1"/>
        <v>Bajaj Parts Center</v>
      </c>
      <c r="J146" t="str">
        <f ca="1"/>
        <v>Taltola</v>
      </c>
      <c r="K146" t="str">
        <f ca="1"/>
        <v>LO00104</v>
      </c>
      <c r="L146" t="str">
        <f ca="1"/>
        <v>7100 4T 10W30 ESTER CORE®</v>
      </c>
      <c r="M146">
        <f ca="1"/>
        <v>20</v>
      </c>
      <c r="N146">
        <f ca="1"/>
        <v>1260</v>
      </c>
      <c r="O146">
        <f ca="1"/>
        <v>24</v>
      </c>
      <c r="P146">
        <f ca="1"/>
        <v>0</v>
      </c>
      <c r="Q146">
        <f ca="1"/>
        <v>0</v>
      </c>
      <c r="R146">
        <f ca="1"/>
        <v>1260</v>
      </c>
      <c r="S146">
        <f ca="1"/>
        <v>20</v>
      </c>
      <c r="T146">
        <f ca="1"/>
        <v>24</v>
      </c>
      <c r="U146">
        <f ca="1"/>
        <v>25200</v>
      </c>
      <c r="V146">
        <f ca="1"/>
        <v>0</v>
      </c>
      <c r="W146">
        <f ca="1"/>
        <v>25200</v>
      </c>
      <c r="X146">
        <f ca="1"/>
        <v>3286.9565217391305</v>
      </c>
      <c r="Y146">
        <f ca="1"/>
        <v>21913.043478260868</v>
      </c>
      <c r="Z146" t="str">
        <f ca="1"/>
        <v>Cash</v>
      </c>
      <c r="AA146">
        <f ca="1"/>
        <v>603</v>
      </c>
      <c r="AB146" t="str">
        <f ca="1"/>
        <v>Flat Discount</v>
      </c>
      <c r="AC146">
        <f ca="1"/>
        <v>45679</v>
      </c>
      <c r="AD146" t="str">
        <f ca="1"/>
        <v/>
      </c>
      <c r="AE146" t="str">
        <f ca="1"/>
        <v>Eastern</v>
      </c>
      <c r="AF146" t="str">
        <f ca="1"/>
        <v>Synthetic</v>
      </c>
      <c r="AG146" t="str">
        <f ca="1"/>
        <v>MCO</v>
      </c>
      <c r="AH146" t="str">
        <f ca="1"/>
        <v>10W30</v>
      </c>
      <c r="AI146" t="str">
        <f ca="1"/>
        <v>7100</v>
      </c>
      <c r="AJ146">
        <f ca="1"/>
        <v>0</v>
      </c>
      <c r="AK146" t="str">
        <f ca="1"/>
        <v>20x1.2L</v>
      </c>
      <c r="AL146">
        <f ca="1"/>
        <v>15546</v>
      </c>
      <c r="AM146">
        <f ca="1"/>
        <v>6367.0434782608681</v>
      </c>
      <c r="AN146" t="str">
        <f ca="1"/>
        <v>O-45677-D-0003</v>
      </c>
      <c r="AO146" t="str">
        <f ca="1"/>
        <v>Delivered</v>
      </c>
    </row>
    <row r="147" spans="1:41" x14ac:dyDescent="0.5">
      <c r="A147" t="str">
        <f ca="1"/>
        <v>F-135</v>
      </c>
      <c r="B147" s="1">
        <f ca="1"/>
        <v>45677</v>
      </c>
      <c r="C147" t="str">
        <f ca="1"/>
        <v>D-0023</v>
      </c>
      <c r="D147" t="str">
        <f ca="1"/>
        <v xml:space="preserve">Bishass Mobil House </v>
      </c>
      <c r="E147" t="str">
        <f ca="1"/>
        <v xml:space="preserve">Thana Road,Gobindaganj, Gaibandha </v>
      </c>
      <c r="F147">
        <f ca="1"/>
        <v>1710792122</v>
      </c>
      <c r="G147" t="str">
        <f ca="1"/>
        <v>Monirul Islam</v>
      </c>
      <c r="H147" t="str">
        <f ca="1"/>
        <v>Raihan Siddiqui</v>
      </c>
      <c r="I147" t="str">
        <f ca="1"/>
        <v>Bondhu Motors</v>
      </c>
      <c r="J147" t="str">
        <f ca="1"/>
        <v>Rangpur</v>
      </c>
      <c r="K147" t="str">
        <f ca="1"/>
        <v>LO00041</v>
      </c>
      <c r="L147" t="str">
        <f ca="1"/>
        <v>3000 4T PLUS 10W30</v>
      </c>
      <c r="M147">
        <f ca="1"/>
        <v>100</v>
      </c>
      <c r="N147">
        <f ca="1"/>
        <v>530</v>
      </c>
      <c r="O147">
        <f ca="1"/>
        <v>100</v>
      </c>
      <c r="P147">
        <f ca="1"/>
        <v>0</v>
      </c>
      <c r="Q147">
        <f ca="1"/>
        <v>0</v>
      </c>
      <c r="R147">
        <f ca="1"/>
        <v>530</v>
      </c>
      <c r="S147">
        <f ca="1"/>
        <v>100</v>
      </c>
      <c r="T147">
        <f ca="1"/>
        <v>100</v>
      </c>
      <c r="U147">
        <f ca="1"/>
        <v>53000</v>
      </c>
      <c r="V147">
        <f ca="1"/>
        <v>0</v>
      </c>
      <c r="W147">
        <f ca="1"/>
        <v>53000</v>
      </c>
      <c r="X147">
        <f ca="1"/>
        <v>6913.04347826087</v>
      </c>
      <c r="Y147">
        <f ca="1"/>
        <v>46086.956521739128</v>
      </c>
      <c r="Z147" t="str">
        <f ca="1"/>
        <v>Cash</v>
      </c>
      <c r="AA147">
        <f ca="1"/>
        <v>604</v>
      </c>
      <c r="AB147" t="str">
        <f ca="1"/>
        <v>Flat Discount</v>
      </c>
      <c r="AC147">
        <f ca="1"/>
        <v>45679</v>
      </c>
      <c r="AD147" t="str">
        <f ca="1"/>
        <v/>
      </c>
      <c r="AE147" t="str">
        <f ca="1"/>
        <v>Northern</v>
      </c>
      <c r="AF147" t="str">
        <f ca="1"/>
        <v>Mineral</v>
      </c>
      <c r="AG147" t="str">
        <f ca="1"/>
        <v>MCO</v>
      </c>
      <c r="AH147" t="str">
        <f ca="1"/>
        <v>10W30</v>
      </c>
      <c r="AI147" t="str">
        <f ca="1"/>
        <v>3000</v>
      </c>
      <c r="AJ147">
        <f ca="1"/>
        <v>0</v>
      </c>
      <c r="AK147" t="str">
        <f ca="1"/>
        <v>20x1L</v>
      </c>
      <c r="AL147">
        <f ca="1"/>
        <v>37933</v>
      </c>
      <c r="AM147">
        <f ca="1"/>
        <v>8153.9565217391282</v>
      </c>
      <c r="AN147" t="str">
        <f ca="1"/>
        <v>O-45677-D-0023</v>
      </c>
      <c r="AO147" t="str">
        <f ca="1"/>
        <v>Delivered</v>
      </c>
    </row>
    <row r="148" spans="1:41" x14ac:dyDescent="0.5">
      <c r="A148" t="str">
        <f ca="1"/>
        <v>F-135</v>
      </c>
      <c r="B148" s="1">
        <f ca="1"/>
        <v>45677</v>
      </c>
      <c r="C148" t="str">
        <f ca="1"/>
        <v>D-0023</v>
      </c>
      <c r="D148" t="str">
        <f ca="1"/>
        <v xml:space="preserve">Bishass Mobil House </v>
      </c>
      <c r="E148" t="str">
        <f ca="1"/>
        <v xml:space="preserve">Thana Road,Gobindaganj, Gaibandha </v>
      </c>
      <c r="F148">
        <f ca="1"/>
        <v>1710792122</v>
      </c>
      <c r="G148" t="str">
        <f ca="1"/>
        <v>Monirul Islam</v>
      </c>
      <c r="H148" t="str">
        <f ca="1"/>
        <v>Raihan Siddiqui</v>
      </c>
      <c r="I148" t="str">
        <f ca="1"/>
        <v>Bondhu Motors</v>
      </c>
      <c r="J148" t="str">
        <f ca="1"/>
        <v>Rangpur</v>
      </c>
      <c r="K148" t="str">
        <f ca="1"/>
        <v>LO00043</v>
      </c>
      <c r="L148" t="str">
        <f ca="1"/>
        <v>3000 4T PLUS 10W40</v>
      </c>
      <c r="M148">
        <f ca="1"/>
        <v>200</v>
      </c>
      <c r="N148">
        <f ca="1"/>
        <v>535</v>
      </c>
      <c r="O148">
        <f ca="1"/>
        <v>200</v>
      </c>
      <c r="P148">
        <f ca="1"/>
        <v>0</v>
      </c>
      <c r="Q148">
        <f ca="1"/>
        <v>0</v>
      </c>
      <c r="R148">
        <f ca="1"/>
        <v>535</v>
      </c>
      <c r="S148">
        <f ca="1"/>
        <v>200</v>
      </c>
      <c r="T148">
        <f ca="1"/>
        <v>200</v>
      </c>
      <c r="U148">
        <f ca="1"/>
        <v>107000</v>
      </c>
      <c r="V148">
        <f ca="1"/>
        <v>0</v>
      </c>
      <c r="W148">
        <f ca="1"/>
        <v>107000</v>
      </c>
      <c r="X148">
        <f ca="1"/>
        <v>13956.521739130434</v>
      </c>
      <c r="Y148">
        <f ca="1"/>
        <v>93043.478260869568</v>
      </c>
      <c r="Z148" t="str">
        <f ca="1"/>
        <v>Cash</v>
      </c>
      <c r="AA148">
        <f ca="1"/>
        <v>604</v>
      </c>
      <c r="AB148" t="str">
        <f ca="1"/>
        <v>Flat Discount</v>
      </c>
      <c r="AC148">
        <f ca="1"/>
        <v>45679</v>
      </c>
      <c r="AD148" t="str">
        <f ca="1"/>
        <v/>
      </c>
      <c r="AE148" t="str">
        <f ca="1"/>
        <v>Northern</v>
      </c>
      <c r="AF148" t="str">
        <f ca="1"/>
        <v>Mineral</v>
      </c>
      <c r="AG148" t="str">
        <f ca="1"/>
        <v>MCO</v>
      </c>
      <c r="AH148" t="str">
        <f ca="1"/>
        <v>10W40</v>
      </c>
      <c r="AI148" t="str">
        <f ca="1"/>
        <v>3000</v>
      </c>
      <c r="AJ148">
        <f ca="1"/>
        <v>0</v>
      </c>
      <c r="AK148" t="str">
        <f ca="1"/>
        <v>20x1L</v>
      </c>
      <c r="AL148">
        <f ca="1"/>
        <v>76970</v>
      </c>
      <c r="AM148">
        <f ca="1"/>
        <v>16073.478260869568</v>
      </c>
      <c r="AN148" t="str">
        <f ca="1"/>
        <v>O-45677-D-0023</v>
      </c>
      <c r="AO148" t="str">
        <f ca="1"/>
        <v>Delivered</v>
      </c>
    </row>
    <row r="149" spans="1:41" x14ac:dyDescent="0.5">
      <c r="A149" t="str">
        <f ca="1"/>
        <v>F-137</v>
      </c>
      <c r="B149" s="1">
        <f ca="1"/>
        <v>45680</v>
      </c>
      <c r="C149" t="str">
        <f ca="1"/>
        <v>D-0008</v>
      </c>
      <c r="D149" t="str">
        <f ca="1"/>
        <v xml:space="preserve">Reliant Trading </v>
      </c>
      <c r="E149" t="str">
        <f ca="1"/>
        <v>Notullabad, Barishal.</v>
      </c>
      <c r="F149" t="str">
        <f ca="1"/>
        <v>01739-786222</v>
      </c>
      <c r="G149" t="str">
        <f ca="1"/>
        <v>Md. Mafsidul Haque(Rana)</v>
      </c>
      <c r="H149" t="str">
        <f ca="1"/>
        <v>Abdul Matin</v>
      </c>
      <c r="I149" t="str">
        <f ca="1"/>
        <v>Reliant Trading</v>
      </c>
      <c r="J149" t="str">
        <f ca="1"/>
        <v>Barishal Sadar</v>
      </c>
      <c r="K149" t="str">
        <f ca="1"/>
        <v>LO00073</v>
      </c>
      <c r="L149" t="str">
        <f ca="1"/>
        <v>3000 4T PLUS 10W30</v>
      </c>
      <c r="M149">
        <f ca="1"/>
        <v>40</v>
      </c>
      <c r="N149">
        <f ca="1"/>
        <v>640</v>
      </c>
      <c r="O149">
        <f ca="1"/>
        <v>48</v>
      </c>
      <c r="P149">
        <f ca="1"/>
        <v>0</v>
      </c>
      <c r="Q149">
        <f ca="1"/>
        <v>0</v>
      </c>
      <c r="R149">
        <f ca="1"/>
        <v>640</v>
      </c>
      <c r="S149">
        <f ca="1"/>
        <v>40</v>
      </c>
      <c r="T149">
        <f ca="1"/>
        <v>48</v>
      </c>
      <c r="U149">
        <f ca="1"/>
        <v>25600</v>
      </c>
      <c r="V149">
        <f ca="1"/>
        <v>0</v>
      </c>
      <c r="W149">
        <f ca="1"/>
        <v>25600</v>
      </c>
      <c r="X149">
        <f ca="1"/>
        <v>3339.1304347826085</v>
      </c>
      <c r="Y149">
        <f ca="1"/>
        <v>22260.869565217392</v>
      </c>
      <c r="Z149" t="str">
        <f ca="1"/>
        <v>Cash</v>
      </c>
      <c r="AA149">
        <f ca="1"/>
        <v>606</v>
      </c>
      <c r="AB149" t="str">
        <f ca="1"/>
        <v>Flat Discount</v>
      </c>
      <c r="AC149">
        <f ca="1"/>
        <v>45680</v>
      </c>
      <c r="AD149" t="str">
        <f ca="1"/>
        <v/>
      </c>
      <c r="AE149" t="str">
        <f ca="1"/>
        <v>Central</v>
      </c>
      <c r="AF149" t="str">
        <f ca="1"/>
        <v>Mineral</v>
      </c>
      <c r="AG149" t="str">
        <f ca="1"/>
        <v>MCO</v>
      </c>
      <c r="AH149" t="str">
        <f ca="1"/>
        <v>10W30</v>
      </c>
      <c r="AI149" t="str">
        <f ca="1"/>
        <v>3000</v>
      </c>
      <c r="AJ149">
        <f ca="1"/>
        <v>0</v>
      </c>
      <c r="AK149" t="str">
        <f ca="1"/>
        <v>20x1.2L</v>
      </c>
      <c r="AL149">
        <f ca="1"/>
        <v>17556</v>
      </c>
      <c r="AM149">
        <f ca="1"/>
        <v>4704.8695652173919</v>
      </c>
      <c r="AN149" t="str">
        <f ca="1"/>
        <v>O-45680-D-0008</v>
      </c>
      <c r="AO149" t="str">
        <f ca="1"/>
        <v>Delivered</v>
      </c>
    </row>
    <row r="150" spans="1:41" x14ac:dyDescent="0.5">
      <c r="A150" t="str">
        <f ca="1"/>
        <v>F-137</v>
      </c>
      <c r="B150" s="1">
        <f ca="1"/>
        <v>45680</v>
      </c>
      <c r="C150" t="str">
        <f ca="1"/>
        <v>D-0008</v>
      </c>
      <c r="D150" t="str">
        <f ca="1"/>
        <v xml:space="preserve">Reliant Trading </v>
      </c>
      <c r="E150" t="str">
        <f ca="1"/>
        <v>Notullabad, Barishal.</v>
      </c>
      <c r="F150" t="str">
        <f ca="1"/>
        <v>01739-786222</v>
      </c>
      <c r="G150" t="str">
        <f ca="1"/>
        <v>Md. Mafsidul Haque(Rana)</v>
      </c>
      <c r="H150" t="str">
        <f ca="1"/>
        <v>Abdul Matin</v>
      </c>
      <c r="I150" t="str">
        <f ca="1"/>
        <v>Reliant Trading</v>
      </c>
      <c r="J150" t="str">
        <f ca="1"/>
        <v>Barishal Sadar</v>
      </c>
      <c r="K150" t="str">
        <f ca="1"/>
        <v>LO00045</v>
      </c>
      <c r="L150" t="str">
        <f ca="1"/>
        <v>51004T 10W30 ESTER</v>
      </c>
      <c r="M150">
        <f ca="1"/>
        <v>24</v>
      </c>
      <c r="N150">
        <f ca="1"/>
        <v>860</v>
      </c>
      <c r="O150">
        <f ca="1"/>
        <v>24</v>
      </c>
      <c r="P150">
        <f ca="1"/>
        <v>0</v>
      </c>
      <c r="Q150">
        <f ca="1"/>
        <v>0</v>
      </c>
      <c r="R150">
        <f ca="1"/>
        <v>860</v>
      </c>
      <c r="S150">
        <f ca="1"/>
        <v>24</v>
      </c>
      <c r="T150">
        <f ca="1"/>
        <v>24</v>
      </c>
      <c r="U150">
        <f ca="1"/>
        <v>20640</v>
      </c>
      <c r="V150">
        <f ca="1"/>
        <v>0</v>
      </c>
      <c r="W150">
        <f ca="1"/>
        <v>20640</v>
      </c>
      <c r="X150">
        <f ca="1"/>
        <v>2692.1739130434785</v>
      </c>
      <c r="Y150">
        <f ca="1"/>
        <v>17947.82608695652</v>
      </c>
      <c r="Z150" t="str">
        <f ca="1"/>
        <v>Cash</v>
      </c>
      <c r="AA150">
        <f ca="1"/>
        <v>606</v>
      </c>
      <c r="AB150" t="str">
        <f ca="1"/>
        <v>Flat Discount</v>
      </c>
      <c r="AC150">
        <f ca="1"/>
        <v>45680</v>
      </c>
      <c r="AD150" t="str">
        <f ca="1"/>
        <v/>
      </c>
      <c r="AE150" t="str">
        <f ca="1"/>
        <v>Central</v>
      </c>
      <c r="AF150" t="str">
        <f ca="1"/>
        <v>Technosynthese</v>
      </c>
      <c r="AG150" t="str">
        <f ca="1"/>
        <v>MCO</v>
      </c>
      <c r="AH150" t="str">
        <f ca="1"/>
        <v>10W30</v>
      </c>
      <c r="AI150" t="str">
        <f ca="1"/>
        <v>5100</v>
      </c>
      <c r="AJ150">
        <f ca="1"/>
        <v>0</v>
      </c>
      <c r="AK150" t="str">
        <f ca="1"/>
        <v>12x1L</v>
      </c>
      <c r="AL150">
        <f ca="1"/>
        <v>14463.36</v>
      </c>
      <c r="AM150">
        <f ca="1"/>
        <v>3484.4660869565196</v>
      </c>
      <c r="AN150" t="str">
        <f ca="1"/>
        <v>O-45680-D-0008</v>
      </c>
      <c r="AO150" t="str">
        <f ca="1"/>
        <v>Delivered</v>
      </c>
    </row>
    <row r="151" spans="1:41" x14ac:dyDescent="0.5">
      <c r="A151" t="str">
        <f ca="1"/>
        <v>F-137</v>
      </c>
      <c r="B151" s="1">
        <f ca="1"/>
        <v>45680</v>
      </c>
      <c r="C151" t="str">
        <f ca="1"/>
        <v>D-0008</v>
      </c>
      <c r="D151" t="str">
        <f ca="1"/>
        <v xml:space="preserve">Reliant Trading </v>
      </c>
      <c r="E151" t="str">
        <f ca="1"/>
        <v>Notullabad, Barishal.</v>
      </c>
      <c r="F151" t="str">
        <f ca="1"/>
        <v>01739-786222</v>
      </c>
      <c r="G151" t="str">
        <f ca="1"/>
        <v>Md. Mafsidul Haque(Rana)</v>
      </c>
      <c r="H151" t="str">
        <f ca="1"/>
        <v>Abdul Matin</v>
      </c>
      <c r="I151" t="str">
        <f ca="1"/>
        <v>Reliant Trading</v>
      </c>
      <c r="J151" t="str">
        <f ca="1"/>
        <v>Barishal Sadar</v>
      </c>
      <c r="K151" t="str">
        <f ca="1"/>
        <v>LO00104</v>
      </c>
      <c r="L151" t="str">
        <f ca="1"/>
        <v>7100 4T 10W30 ESTER CORE®</v>
      </c>
      <c r="M151">
        <f ca="1"/>
        <v>20</v>
      </c>
      <c r="N151">
        <f ca="1"/>
        <v>1260</v>
      </c>
      <c r="O151">
        <f ca="1"/>
        <v>24</v>
      </c>
      <c r="P151">
        <f ca="1"/>
        <v>0</v>
      </c>
      <c r="Q151">
        <f ca="1"/>
        <v>0</v>
      </c>
      <c r="R151">
        <f ca="1"/>
        <v>1260</v>
      </c>
      <c r="S151">
        <f ca="1"/>
        <v>20</v>
      </c>
      <c r="T151">
        <f ca="1"/>
        <v>24</v>
      </c>
      <c r="U151">
        <f ca="1"/>
        <v>25200</v>
      </c>
      <c r="V151">
        <f ca="1"/>
        <v>0</v>
      </c>
      <c r="W151">
        <f ca="1"/>
        <v>25200</v>
      </c>
      <c r="X151">
        <f ca="1"/>
        <v>3286.9565217391305</v>
      </c>
      <c r="Y151">
        <f ca="1"/>
        <v>21913.043478260868</v>
      </c>
      <c r="Z151" t="str">
        <f ca="1"/>
        <v>Cash</v>
      </c>
      <c r="AA151">
        <f ca="1"/>
        <v>606</v>
      </c>
      <c r="AB151" t="str">
        <f ca="1"/>
        <v>Flat Discount</v>
      </c>
      <c r="AC151">
        <f ca="1"/>
        <v>45680</v>
      </c>
      <c r="AD151" t="str">
        <f ca="1"/>
        <v/>
      </c>
      <c r="AE151" t="str">
        <f ca="1"/>
        <v>Central</v>
      </c>
      <c r="AF151" t="str">
        <f ca="1"/>
        <v>Synthetic</v>
      </c>
      <c r="AG151" t="str">
        <f ca="1"/>
        <v>MCO</v>
      </c>
      <c r="AH151" t="str">
        <f ca="1"/>
        <v>10W30</v>
      </c>
      <c r="AI151" t="str">
        <f ca="1"/>
        <v>7100</v>
      </c>
      <c r="AJ151">
        <f ca="1"/>
        <v>0</v>
      </c>
      <c r="AK151" t="str">
        <f ca="1"/>
        <v>20x1.2L</v>
      </c>
      <c r="AL151">
        <f ca="1"/>
        <v>15546</v>
      </c>
      <c r="AM151">
        <f ca="1"/>
        <v>6367.0434782608681</v>
      </c>
      <c r="AN151" t="str">
        <f ca="1"/>
        <v>O-45680-D-0008</v>
      </c>
      <c r="AO151" t="str">
        <f ca="1"/>
        <v>Delivered</v>
      </c>
    </row>
    <row r="152" spans="1:41" x14ac:dyDescent="0.5">
      <c r="A152" t="str">
        <f ca="1"/>
        <v>F-138</v>
      </c>
      <c r="B152" s="1">
        <f ca="1"/>
        <v>45680</v>
      </c>
      <c r="C152" t="str">
        <f ca="1"/>
        <v>D-0008</v>
      </c>
      <c r="D152" t="str">
        <f ca="1"/>
        <v xml:space="preserve">Reliant Trading </v>
      </c>
      <c r="E152" t="str">
        <f ca="1"/>
        <v>Notullabad, Barishal.</v>
      </c>
      <c r="F152" t="str">
        <f ca="1"/>
        <v>01739-786222</v>
      </c>
      <c r="G152" t="str">
        <f ca="1"/>
        <v>Md. Mafsidul Haque(Rana)</v>
      </c>
      <c r="H152" t="str">
        <f ca="1"/>
        <v>Abdul Matin</v>
      </c>
      <c r="I152" t="str">
        <f ca="1"/>
        <v>Reliant Trading</v>
      </c>
      <c r="J152" t="str">
        <f ca="1"/>
        <v>Barishal Sadar</v>
      </c>
      <c r="K152" t="str">
        <f ca="1"/>
        <v>LO00071</v>
      </c>
      <c r="L152" t="str">
        <f ca="1"/>
        <v>31004T GOLD 10W30</v>
      </c>
      <c r="M152">
        <f ca="1"/>
        <v>40</v>
      </c>
      <c r="N152">
        <f ca="1"/>
        <v>0</v>
      </c>
      <c r="O152">
        <f ca="1"/>
        <v>40</v>
      </c>
      <c r="P152">
        <f ca="1"/>
        <v>0</v>
      </c>
      <c r="Q152">
        <f ca="1"/>
        <v>0</v>
      </c>
      <c r="R152">
        <f ca="1"/>
        <v>0</v>
      </c>
      <c r="S152">
        <f ca="1"/>
        <v>40</v>
      </c>
      <c r="T152">
        <f ca="1"/>
        <v>40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</v>
      </c>
      <c r="Z152" t="str">
        <f ca="1"/>
        <v>Free</v>
      </c>
      <c r="AA152">
        <f ca="1"/>
        <v>607</v>
      </c>
      <c r="AB152" t="str">
        <f ca="1"/>
        <v>Flat Discount</v>
      </c>
      <c r="AC152">
        <f ca="1"/>
        <v>45680</v>
      </c>
      <c r="AD152" t="str">
        <f ca="1"/>
        <v>Free from Ceo</v>
      </c>
      <c r="AE152" t="str">
        <f ca="1"/>
        <v>Central</v>
      </c>
      <c r="AF152" t="str">
        <f ca="1"/>
        <v>Technosynthese</v>
      </c>
      <c r="AG152" t="str">
        <f ca="1"/>
        <v>MCO</v>
      </c>
      <c r="AH152" t="str">
        <f ca="1"/>
        <v>10W30</v>
      </c>
      <c r="AI152" t="str">
        <f ca="1"/>
        <v>3100</v>
      </c>
      <c r="AJ152">
        <f ca="1"/>
        <v>0</v>
      </c>
      <c r="AK152" t="str">
        <f ca="1"/>
        <v>20x1L</v>
      </c>
      <c r="AL152">
        <f ca="1"/>
        <v>17004</v>
      </c>
      <c r="AM152">
        <f ca="1"/>
        <v>-17004</v>
      </c>
      <c r="AN152" t="str">
        <f ca="1"/>
        <v>O-45680-D-0008</v>
      </c>
      <c r="AO152" t="str">
        <f ca="1"/>
        <v>Delivered</v>
      </c>
    </row>
    <row r="153" spans="1:41" x14ac:dyDescent="0.5">
      <c r="A153" t="str">
        <f ca="1"/>
        <v>F-139</v>
      </c>
      <c r="B153" s="1">
        <f ca="1"/>
        <v>45677</v>
      </c>
      <c r="C153" t="str">
        <f ca="1"/>
        <v>D-0006</v>
      </c>
      <c r="D153" t="str">
        <f ca="1"/>
        <v>Maliha Enterprise</v>
      </c>
      <c r="E153" t="str">
        <f ca="1"/>
        <v>C/25/5, Thana Road Bus stand, Savar, Dhaka.</v>
      </c>
      <c r="F153" t="str">
        <f ca="1"/>
        <v>01715414646</v>
      </c>
      <c r="G153" t="str">
        <f ca="1"/>
        <v>Sayed Al Amin Apu</v>
      </c>
      <c r="H153" t="str">
        <f ca="1"/>
        <v>Abdul Matin</v>
      </c>
      <c r="I153" t="str">
        <f ca="1"/>
        <v>Maliha Enterprise</v>
      </c>
      <c r="J153" t="str">
        <f ca="1"/>
        <v>Savar</v>
      </c>
      <c r="K153" t="str">
        <f ca="1"/>
        <v>LO00041</v>
      </c>
      <c r="L153" t="str">
        <f ca="1"/>
        <v>3000 4T PLUS 10W30</v>
      </c>
      <c r="M153">
        <f ca="1"/>
        <v>300</v>
      </c>
      <c r="N153">
        <f ca="1"/>
        <v>528</v>
      </c>
      <c r="O153">
        <f ca="1"/>
        <v>300</v>
      </c>
      <c r="P153">
        <f ca="1"/>
        <v>0</v>
      </c>
      <c r="Q153">
        <f ca="1"/>
        <v>0</v>
      </c>
      <c r="R153">
        <f ca="1"/>
        <v>528</v>
      </c>
      <c r="S153">
        <f ca="1"/>
        <v>300</v>
      </c>
      <c r="T153">
        <f ca="1"/>
        <v>300</v>
      </c>
      <c r="U153">
        <f ca="1"/>
        <v>158400</v>
      </c>
      <c r="V153">
        <f ca="1"/>
        <v>0</v>
      </c>
      <c r="W153">
        <f ca="1"/>
        <v>158400</v>
      </c>
      <c r="X153">
        <f ca="1"/>
        <v>20660.869565217392</v>
      </c>
      <c r="Y153">
        <f ca="1"/>
        <v>137739.13043478262</v>
      </c>
      <c r="Z153" t="str">
        <f ca="1"/>
        <v>Cash</v>
      </c>
      <c r="AA153">
        <f ca="1"/>
        <v>608</v>
      </c>
      <c r="AB153" t="str">
        <f ca="1"/>
        <v>Flat Discount</v>
      </c>
      <c r="AC153">
        <f ca="1"/>
        <v>45683</v>
      </c>
      <c r="AD153" t="str">
        <f ca="1"/>
        <v>Special Discount 2 Taka Per Liter will be provided.</v>
      </c>
      <c r="AE153" t="str">
        <f ca="1"/>
        <v>Central</v>
      </c>
      <c r="AF153" t="str">
        <f ca="1"/>
        <v>Mineral</v>
      </c>
      <c r="AG153" t="str">
        <f ca="1"/>
        <v>MCO</v>
      </c>
      <c r="AH153" t="str">
        <f ca="1"/>
        <v>10W30</v>
      </c>
      <c r="AI153" t="str">
        <f ca="1"/>
        <v>3000</v>
      </c>
      <c r="AJ153">
        <f ca="1"/>
        <v>0</v>
      </c>
      <c r="AK153" t="str">
        <f ca="1"/>
        <v>20x1L</v>
      </c>
      <c r="AL153">
        <f ca="1"/>
        <v>113799</v>
      </c>
      <c r="AM153">
        <f ca="1"/>
        <v>23940.130434782623</v>
      </c>
      <c r="AN153" t="str">
        <f ca="1"/>
        <v>O-45677-D-0006</v>
      </c>
      <c r="AO153" t="str">
        <f ca="1"/>
        <v>Delivered</v>
      </c>
    </row>
    <row r="154" spans="1:41" x14ac:dyDescent="0.5">
      <c r="A154" t="str">
        <f ca="1"/>
        <v>F-139</v>
      </c>
      <c r="B154" s="1">
        <f ca="1"/>
        <v>45677</v>
      </c>
      <c r="C154" t="str">
        <f ca="1"/>
        <v>D-0006</v>
      </c>
      <c r="D154" t="str">
        <f ca="1"/>
        <v>Maliha Enterprise</v>
      </c>
      <c r="E154" t="str">
        <f ca="1"/>
        <v>C/25/5, Thana Road Bus stand, Savar, Dhaka.</v>
      </c>
      <c r="F154" t="str">
        <f ca="1"/>
        <v>01715414646</v>
      </c>
      <c r="G154" t="str">
        <f ca="1"/>
        <v>Sayed Al Amin Apu</v>
      </c>
      <c r="H154" t="str">
        <f ca="1"/>
        <v>Abdul Matin</v>
      </c>
      <c r="I154" t="str">
        <f ca="1"/>
        <v>Maliha Enterprise</v>
      </c>
      <c r="J154" t="str">
        <f ca="1"/>
        <v>Savar</v>
      </c>
      <c r="K154" t="str">
        <f ca="1"/>
        <v>LO00042</v>
      </c>
      <c r="L154" t="str">
        <f ca="1"/>
        <v>3000 4T PLUS 20W40</v>
      </c>
      <c r="M154">
        <f ca="1"/>
        <v>100</v>
      </c>
      <c r="N154">
        <f ca="1"/>
        <v>528</v>
      </c>
      <c r="O154">
        <f ca="1"/>
        <v>100</v>
      </c>
      <c r="P154">
        <f ca="1"/>
        <v>0</v>
      </c>
      <c r="Q154">
        <f ca="1"/>
        <v>0</v>
      </c>
      <c r="R154">
        <f ca="1"/>
        <v>528</v>
      </c>
      <c r="S154">
        <f ca="1"/>
        <v>100</v>
      </c>
      <c r="T154">
        <f ca="1"/>
        <v>100</v>
      </c>
      <c r="U154">
        <f ca="1"/>
        <v>52800</v>
      </c>
      <c r="V154">
        <f ca="1"/>
        <v>0</v>
      </c>
      <c r="W154">
        <f ca="1"/>
        <v>52800</v>
      </c>
      <c r="X154">
        <f ca="1"/>
        <v>6886.95652173913</v>
      </c>
      <c r="Y154">
        <f ca="1"/>
        <v>45913.043478260872</v>
      </c>
      <c r="Z154" t="str">
        <f ca="1"/>
        <v>Cash</v>
      </c>
      <c r="AA154">
        <f ca="1"/>
        <v>608</v>
      </c>
      <c r="AB154" t="str">
        <f ca="1"/>
        <v>Flat Discount</v>
      </c>
      <c r="AC154">
        <f ca="1"/>
        <v>45683</v>
      </c>
      <c r="AD154" t="str">
        <f ca="1"/>
        <v>Special Discount 2 Taka Per Liter will be provided.</v>
      </c>
      <c r="AE154" t="str">
        <f ca="1"/>
        <v>Central</v>
      </c>
      <c r="AF154" t="str">
        <f ca="1"/>
        <v>Mineral</v>
      </c>
      <c r="AG154" t="str">
        <f ca="1"/>
        <v>MCO</v>
      </c>
      <c r="AH154" t="str">
        <f ca="1"/>
        <v>20W40</v>
      </c>
      <c r="AI154" t="str">
        <f ca="1"/>
        <v>3000</v>
      </c>
      <c r="AJ154">
        <f ca="1"/>
        <v>0</v>
      </c>
      <c r="AK154" t="str">
        <f ca="1"/>
        <v>20x1L</v>
      </c>
      <c r="AL154">
        <f ca="1"/>
        <v>41276</v>
      </c>
      <c r="AM154">
        <f ca="1"/>
        <v>4637.0434782608718</v>
      </c>
      <c r="AN154" t="str">
        <f ca="1"/>
        <v>O-45677-D-0006</v>
      </c>
      <c r="AO154" t="str">
        <f ca="1"/>
        <v>Delivered</v>
      </c>
    </row>
    <row r="155" spans="1:41" x14ac:dyDescent="0.5">
      <c r="A155" t="str">
        <f ca="1"/>
        <v>F-139</v>
      </c>
      <c r="B155" s="1">
        <f ca="1"/>
        <v>45677</v>
      </c>
      <c r="C155" t="str">
        <f ca="1"/>
        <v>D-0006</v>
      </c>
      <c r="D155" t="str">
        <f ca="1"/>
        <v>Maliha Enterprise</v>
      </c>
      <c r="E155" t="str">
        <f ca="1"/>
        <v>C/25/5, Thana Road Bus stand, Savar, Dhaka.</v>
      </c>
      <c r="F155" t="str">
        <f ca="1"/>
        <v>01715414646</v>
      </c>
      <c r="G155" t="str">
        <f ca="1"/>
        <v>Sayed Al Amin Apu</v>
      </c>
      <c r="H155" t="str">
        <f ca="1"/>
        <v>Abdul Matin</v>
      </c>
      <c r="I155" t="str">
        <f ca="1"/>
        <v>Maliha Enterprise</v>
      </c>
      <c r="J155" t="str">
        <f ca="1"/>
        <v>Savar</v>
      </c>
      <c r="K155" t="str">
        <f ca="1"/>
        <v>LO00043</v>
      </c>
      <c r="L155" t="str">
        <f ca="1"/>
        <v>3000 4T PLUS 10W40</v>
      </c>
      <c r="M155">
        <f ca="1"/>
        <v>600</v>
      </c>
      <c r="N155">
        <f ca="1"/>
        <v>533</v>
      </c>
      <c r="O155">
        <f ca="1"/>
        <v>600</v>
      </c>
      <c r="P155">
        <f ca="1"/>
        <v>0</v>
      </c>
      <c r="Q155">
        <f ca="1"/>
        <v>0</v>
      </c>
      <c r="R155">
        <f ca="1"/>
        <v>533</v>
      </c>
      <c r="S155">
        <f ca="1"/>
        <v>600</v>
      </c>
      <c r="T155">
        <f ca="1"/>
        <v>600</v>
      </c>
      <c r="U155">
        <f ca="1"/>
        <v>319800</v>
      </c>
      <c r="V155">
        <f ca="1"/>
        <v>0</v>
      </c>
      <c r="W155">
        <f ca="1"/>
        <v>319800</v>
      </c>
      <c r="X155">
        <f ca="1"/>
        <v>41713.043478260872</v>
      </c>
      <c r="Y155">
        <f ca="1"/>
        <v>278086.95652173914</v>
      </c>
      <c r="Z155" t="str">
        <f ca="1"/>
        <v>Cash</v>
      </c>
      <c r="AA155">
        <f ca="1"/>
        <v>608</v>
      </c>
      <c r="AB155" t="str">
        <f ca="1"/>
        <v>Flat Discount</v>
      </c>
      <c r="AC155">
        <f ca="1"/>
        <v>45683</v>
      </c>
      <c r="AD155" t="str">
        <f ca="1"/>
        <v>Special Discount 2 Taka Per Liter will be provided.</v>
      </c>
      <c r="AE155" t="str">
        <f ca="1"/>
        <v>Central</v>
      </c>
      <c r="AF155" t="str">
        <f ca="1"/>
        <v>Mineral</v>
      </c>
      <c r="AG155" t="str">
        <f ca="1"/>
        <v>MCO</v>
      </c>
      <c r="AH155" t="str">
        <f ca="1"/>
        <v>10W40</v>
      </c>
      <c r="AI155" t="str">
        <f ca="1"/>
        <v>3000</v>
      </c>
      <c r="AJ155">
        <f ca="1"/>
        <v>0</v>
      </c>
      <c r="AK155" t="str">
        <f ca="1"/>
        <v>20x1L</v>
      </c>
      <c r="AL155">
        <f ca="1"/>
        <v>230910</v>
      </c>
      <c r="AM155">
        <f ca="1"/>
        <v>47176.956521739135</v>
      </c>
      <c r="AN155" t="str">
        <f ca="1"/>
        <v>O-45677-D-0006</v>
      </c>
      <c r="AO155" t="str">
        <f ca="1"/>
        <v>Delivered</v>
      </c>
    </row>
    <row r="156" spans="1:41" x14ac:dyDescent="0.5">
      <c r="A156" t="str">
        <f ca="1"/>
        <v>F-139</v>
      </c>
      <c r="B156" s="1">
        <f ca="1"/>
        <v>45677</v>
      </c>
      <c r="C156" t="str">
        <f ca="1"/>
        <v>D-0006</v>
      </c>
      <c r="D156" t="str">
        <f ca="1"/>
        <v>Maliha Enterprise</v>
      </c>
      <c r="E156" t="str">
        <f ca="1"/>
        <v>C/25/5, Thana Road Bus stand, Savar, Dhaka.</v>
      </c>
      <c r="F156" t="str">
        <f ca="1"/>
        <v>01715414646</v>
      </c>
      <c r="G156" t="str">
        <f ca="1"/>
        <v>Sayed Al Amin Apu</v>
      </c>
      <c r="H156" t="str">
        <f ca="1"/>
        <v>Abdul Matin</v>
      </c>
      <c r="I156" t="str">
        <f ca="1"/>
        <v>Maliha Enterprise</v>
      </c>
      <c r="J156" t="str">
        <f ca="1"/>
        <v>Savar</v>
      </c>
      <c r="K156" t="str">
        <f ca="1"/>
        <v>LO00119</v>
      </c>
      <c r="L156" t="str">
        <f ca="1"/>
        <v>3000 4T 20W50</v>
      </c>
      <c r="M156">
        <f ca="1"/>
        <v>200</v>
      </c>
      <c r="N156">
        <f ca="1"/>
        <v>493</v>
      </c>
      <c r="O156">
        <f ca="1"/>
        <v>200</v>
      </c>
      <c r="P156">
        <f ca="1"/>
        <v>0</v>
      </c>
      <c r="Q156">
        <f ca="1"/>
        <v>0</v>
      </c>
      <c r="R156">
        <f ca="1"/>
        <v>493</v>
      </c>
      <c r="S156">
        <f ca="1"/>
        <v>200</v>
      </c>
      <c r="T156">
        <f ca="1"/>
        <v>200</v>
      </c>
      <c r="U156">
        <f ca="1"/>
        <v>98600</v>
      </c>
      <c r="V156">
        <f ca="1"/>
        <v>0</v>
      </c>
      <c r="W156">
        <f ca="1"/>
        <v>98600</v>
      </c>
      <c r="X156">
        <f ca="1"/>
        <v>12860.869565217392</v>
      </c>
      <c r="Y156">
        <f ca="1"/>
        <v>85739.130434782608</v>
      </c>
      <c r="Z156" t="str">
        <f ca="1"/>
        <v>Cash</v>
      </c>
      <c r="AA156">
        <f ca="1"/>
        <v>608</v>
      </c>
      <c r="AB156" t="str">
        <f ca="1"/>
        <v>Flat Discount</v>
      </c>
      <c r="AC156">
        <f ca="1"/>
        <v>45683</v>
      </c>
      <c r="AD156" t="str">
        <f ca="1"/>
        <v>Special Discount 2 Taka Per Liter will be provided.</v>
      </c>
      <c r="AE156" t="str">
        <f ca="1"/>
        <v>Central</v>
      </c>
      <c r="AF156" t="str">
        <f ca="1"/>
        <v>Mineral</v>
      </c>
      <c r="AG156" t="str">
        <f ca="1"/>
        <v>MCO</v>
      </c>
      <c r="AH156" t="str">
        <f ca="1"/>
        <v>20W50</v>
      </c>
      <c r="AI156" t="str">
        <f ca="1"/>
        <v>3000</v>
      </c>
      <c r="AJ156">
        <f ca="1"/>
        <v>0</v>
      </c>
      <c r="AK156" t="str">
        <f ca="1"/>
        <v>20x1L</v>
      </c>
      <c r="AL156">
        <f ca="1"/>
        <v>72984</v>
      </c>
      <c r="AM156">
        <f ca="1"/>
        <v>12755.130434782608</v>
      </c>
      <c r="AN156" t="str">
        <f ca="1"/>
        <v>O-45677-D-0006</v>
      </c>
      <c r="AO156" t="str">
        <f ca="1"/>
        <v>Delivered</v>
      </c>
    </row>
    <row r="157" spans="1:41" x14ac:dyDescent="0.5">
      <c r="A157" t="str">
        <f ca="1"/>
        <v>F-140</v>
      </c>
      <c r="B157" s="1">
        <f ca="1"/>
        <v>45680</v>
      </c>
      <c r="C157" t="str">
        <f ca="1"/>
        <v>D-0023</v>
      </c>
      <c r="D157" t="str">
        <f ca="1"/>
        <v>Bondhu Motors &amp;Mobil Ghor</v>
      </c>
      <c r="E157" t="str">
        <f ca="1"/>
        <v>Salo Market, Shapla Chottor,Rangpur</v>
      </c>
      <c r="F157">
        <f ca="1"/>
        <v>1737144950</v>
      </c>
      <c r="G157" t="str">
        <f ca="1"/>
        <v>Monirul Islam</v>
      </c>
      <c r="H157" t="str">
        <f ca="1"/>
        <v>Raihan Siddiqui</v>
      </c>
      <c r="I157" t="str">
        <f ca="1"/>
        <v>Bondhu Motors</v>
      </c>
      <c r="J157" t="str">
        <f ca="1"/>
        <v>Rangpur</v>
      </c>
      <c r="K157" t="str">
        <f ca="1"/>
        <v>LO00043</v>
      </c>
      <c r="L157" t="str">
        <f ca="1"/>
        <v>3000 4T PLUS 10W40</v>
      </c>
      <c r="M157">
        <f ca="1"/>
        <v>400</v>
      </c>
      <c r="N157">
        <f ca="1"/>
        <v>535</v>
      </c>
      <c r="O157">
        <f ca="1"/>
        <v>400</v>
      </c>
      <c r="P157">
        <f ca="1"/>
        <v>0</v>
      </c>
      <c r="Q157">
        <f ca="1"/>
        <v>0</v>
      </c>
      <c r="R157">
        <f ca="1"/>
        <v>535</v>
      </c>
      <c r="S157">
        <f ca="1"/>
        <v>400</v>
      </c>
      <c r="T157">
        <f ca="1"/>
        <v>400</v>
      </c>
      <c r="U157">
        <f ca="1"/>
        <v>214000</v>
      </c>
      <c r="V157">
        <f ca="1"/>
        <v>0</v>
      </c>
      <c r="W157">
        <f ca="1"/>
        <v>214000</v>
      </c>
      <c r="X157">
        <f ca="1"/>
        <v>27913.043478260868</v>
      </c>
      <c r="Y157">
        <f ca="1"/>
        <v>186086.95652173914</v>
      </c>
      <c r="Z157" t="str">
        <f ca="1"/>
        <v>Cash</v>
      </c>
      <c r="AA157">
        <f ca="1"/>
        <v>609</v>
      </c>
      <c r="AB157" t="str">
        <f ca="1"/>
        <v>Flat Discount</v>
      </c>
      <c r="AC157">
        <f ca="1"/>
        <v>45683</v>
      </c>
      <c r="AD157" t="str">
        <f ca="1"/>
        <v/>
      </c>
      <c r="AE157" t="str">
        <f ca="1"/>
        <v>Northern</v>
      </c>
      <c r="AF157" t="str">
        <f ca="1"/>
        <v>Mineral</v>
      </c>
      <c r="AG157" t="str">
        <f ca="1"/>
        <v>MCO</v>
      </c>
      <c r="AH157" t="str">
        <f ca="1"/>
        <v>10W40</v>
      </c>
      <c r="AI157" t="str">
        <f ca="1"/>
        <v>3000</v>
      </c>
      <c r="AJ157">
        <f ca="1"/>
        <v>0</v>
      </c>
      <c r="AK157" t="str">
        <f ca="1"/>
        <v>20x1L</v>
      </c>
      <c r="AL157">
        <f ca="1"/>
        <v>153940</v>
      </c>
      <c r="AM157">
        <f ca="1"/>
        <v>32146.956521739135</v>
      </c>
      <c r="AN157" t="str">
        <f ca="1"/>
        <v>O-45680-D-0023</v>
      </c>
      <c r="AO157" t="str">
        <f ca="1"/>
        <v>Delivered</v>
      </c>
    </row>
    <row r="158" spans="1:41" x14ac:dyDescent="0.5">
      <c r="A158" t="str">
        <f ca="1"/>
        <v>F-140</v>
      </c>
      <c r="B158" s="1">
        <f ca="1"/>
        <v>45680</v>
      </c>
      <c r="C158" t="str">
        <f ca="1"/>
        <v>D-0023</v>
      </c>
      <c r="D158" t="str">
        <f ca="1"/>
        <v>Bondhu Motors &amp;Mobil Ghor</v>
      </c>
      <c r="E158" t="str">
        <f ca="1"/>
        <v>Salo Market, Shapla Chottor,Rangpur</v>
      </c>
      <c r="F158">
        <f ca="1"/>
        <v>1737144950</v>
      </c>
      <c r="G158" t="str">
        <f ca="1"/>
        <v>Monirul Islam</v>
      </c>
      <c r="H158" t="str">
        <f ca="1"/>
        <v>Raihan Siddiqui</v>
      </c>
      <c r="I158" t="str">
        <f ca="1"/>
        <v>Bondhu Motors</v>
      </c>
      <c r="J158" t="str">
        <f ca="1"/>
        <v>Rangpur</v>
      </c>
      <c r="K158" t="str">
        <f ca="1"/>
        <v>LO00074</v>
      </c>
      <c r="L158" t="str">
        <f ca="1"/>
        <v>7100 4T 10W30 ESTER CORE®</v>
      </c>
      <c r="M158">
        <f ca="1"/>
        <v>24</v>
      </c>
      <c r="N158">
        <f ca="1"/>
        <v>1060</v>
      </c>
      <c r="O158">
        <f ca="1"/>
        <v>24</v>
      </c>
      <c r="P158">
        <f ca="1"/>
        <v>0</v>
      </c>
      <c r="Q158">
        <f ca="1"/>
        <v>0</v>
      </c>
      <c r="R158">
        <f ca="1"/>
        <v>1060</v>
      </c>
      <c r="S158">
        <f ca="1"/>
        <v>24</v>
      </c>
      <c r="T158">
        <f ca="1"/>
        <v>24</v>
      </c>
      <c r="U158">
        <f ca="1"/>
        <v>25440</v>
      </c>
      <c r="V158">
        <f ca="1"/>
        <v>0</v>
      </c>
      <c r="W158">
        <f ca="1"/>
        <v>25440</v>
      </c>
      <c r="X158">
        <f ca="1"/>
        <v>3318.2608695652175</v>
      </c>
      <c r="Y158">
        <f ca="1"/>
        <v>22121.739130434784</v>
      </c>
      <c r="Z158" t="str">
        <f ca="1"/>
        <v>Cash</v>
      </c>
      <c r="AA158">
        <f ca="1"/>
        <v>609</v>
      </c>
      <c r="AB158" t="str">
        <f ca="1"/>
        <v>Flat Discount</v>
      </c>
      <c r="AC158">
        <f ca="1"/>
        <v>45683</v>
      </c>
      <c r="AD158" t="str">
        <f ca="1"/>
        <v/>
      </c>
      <c r="AE158" t="str">
        <f ca="1"/>
        <v>Northern</v>
      </c>
      <c r="AF158" t="str">
        <f ca="1"/>
        <v>Synthetic</v>
      </c>
      <c r="AG158" t="str">
        <f ca="1"/>
        <v>MCO</v>
      </c>
      <c r="AH158" t="str">
        <f ca="1"/>
        <v>10W30</v>
      </c>
      <c r="AI158" t="str">
        <f ca="1"/>
        <v>7100</v>
      </c>
      <c r="AJ158">
        <f ca="1"/>
        <v>0</v>
      </c>
      <c r="AK158" t="str">
        <f ca="1"/>
        <v>12x1L</v>
      </c>
      <c r="AL158">
        <f ca="1"/>
        <v>16556.64</v>
      </c>
      <c r="AM158">
        <f ca="1"/>
        <v>5565.0991304347845</v>
      </c>
      <c r="AN158" t="str">
        <f ca="1"/>
        <v>O-45680-D-0023</v>
      </c>
      <c r="AO158" t="str">
        <f ca="1"/>
        <v>Delivered</v>
      </c>
    </row>
    <row r="159" spans="1:41" x14ac:dyDescent="0.5">
      <c r="A159" t="str">
        <f ca="1"/>
        <v>F-140</v>
      </c>
      <c r="B159" s="1">
        <f ca="1"/>
        <v>45680</v>
      </c>
      <c r="C159" t="str">
        <f ca="1"/>
        <v>D-0023</v>
      </c>
      <c r="D159" t="str">
        <f ca="1"/>
        <v>Bondhu Motors &amp;Mobil Ghor</v>
      </c>
      <c r="E159" t="str">
        <f ca="1"/>
        <v>Salo Market, Shapla Chottor,Rangpur</v>
      </c>
      <c r="F159">
        <f ca="1"/>
        <v>1737144950</v>
      </c>
      <c r="G159" t="str">
        <f ca="1"/>
        <v>Monirul Islam</v>
      </c>
      <c r="H159" t="str">
        <f ca="1"/>
        <v>Raihan Siddiqui</v>
      </c>
      <c r="I159" t="str">
        <f ca="1"/>
        <v>Bondhu Motors</v>
      </c>
      <c r="J159" t="str">
        <f ca="1"/>
        <v>Rangpur</v>
      </c>
      <c r="K159" t="str">
        <f ca="1"/>
        <v>LO00048</v>
      </c>
      <c r="L159" t="str">
        <f ca="1"/>
        <v>7100 4T 20W50 ESTER CORE®</v>
      </c>
      <c r="M159">
        <f ca="1"/>
        <v>24</v>
      </c>
      <c r="N159">
        <f ca="1"/>
        <v>1070</v>
      </c>
      <c r="O159">
        <f ca="1"/>
        <v>24</v>
      </c>
      <c r="P159">
        <f ca="1"/>
        <v>0</v>
      </c>
      <c r="Q159">
        <f ca="1"/>
        <v>0</v>
      </c>
      <c r="R159">
        <f ca="1"/>
        <v>1070</v>
      </c>
      <c r="S159">
        <f ca="1"/>
        <v>24</v>
      </c>
      <c r="T159">
        <f ca="1"/>
        <v>24</v>
      </c>
      <c r="U159">
        <f ca="1"/>
        <v>25680</v>
      </c>
      <c r="V159">
        <f ca="1"/>
        <v>0</v>
      </c>
      <c r="W159">
        <f ca="1"/>
        <v>25680</v>
      </c>
      <c r="X159">
        <f ca="1"/>
        <v>3349.5652173913045</v>
      </c>
      <c r="Y159">
        <f ca="1"/>
        <v>22330.434782608696</v>
      </c>
      <c r="Z159" t="str">
        <f ca="1"/>
        <v>Cash</v>
      </c>
      <c r="AA159">
        <f ca="1"/>
        <v>609</v>
      </c>
      <c r="AB159" t="str">
        <f ca="1"/>
        <v>Flat Discount</v>
      </c>
      <c r="AC159">
        <f ca="1"/>
        <v>45683</v>
      </c>
      <c r="AD159" t="str">
        <f ca="1"/>
        <v/>
      </c>
      <c r="AE159" t="str">
        <f ca="1"/>
        <v>Northern</v>
      </c>
      <c r="AF159" t="str">
        <f ca="1"/>
        <v>Synthetic</v>
      </c>
      <c r="AG159" t="str">
        <f ca="1"/>
        <v>MCO</v>
      </c>
      <c r="AH159" t="str">
        <f ca="1"/>
        <v>20W50</v>
      </c>
      <c r="AI159" t="str">
        <f ca="1"/>
        <v>7100</v>
      </c>
      <c r="AJ159">
        <f ca="1"/>
        <v>0</v>
      </c>
      <c r="AK159" t="str">
        <f ca="1"/>
        <v>12x1L</v>
      </c>
      <c r="AL159">
        <f ca="1"/>
        <v>18328.761599999998</v>
      </c>
      <c r="AM159">
        <f ca="1"/>
        <v>4001.673182608698</v>
      </c>
      <c r="AN159" t="str">
        <f ca="1"/>
        <v>O-45680-D-0023</v>
      </c>
      <c r="AO159" t="str">
        <f ca="1"/>
        <v>Delivered</v>
      </c>
    </row>
    <row r="160" spans="1:41" x14ac:dyDescent="0.5">
      <c r="A160" t="str">
        <f ca="1"/>
        <v>F-141</v>
      </c>
      <c r="B160" s="1">
        <f ca="1"/>
        <v>45683</v>
      </c>
      <c r="C160" t="str">
        <f ca="1"/>
        <v>D-0003</v>
      </c>
      <c r="D160" t="str">
        <f ca="1"/>
        <v>Bajaj Parts Center</v>
      </c>
      <c r="E160" t="str">
        <f ca="1"/>
        <v>Taltola, Sylhet</v>
      </c>
      <c r="F160" t="str">
        <f ca="1"/>
        <v>01711-700652</v>
      </c>
      <c r="G160" t="str">
        <f ca="1"/>
        <v>Md. Robin Sheikh</v>
      </c>
      <c r="H160" t="str">
        <f ca="1"/>
        <v>Razur Rahman (Bipul)</v>
      </c>
      <c r="I160" t="str">
        <f ca="1"/>
        <v>Bajaj Parts Center</v>
      </c>
      <c r="J160" t="str">
        <f ca="1"/>
        <v>Taltola</v>
      </c>
      <c r="K160" t="str">
        <f ca="1"/>
        <v>LO00075</v>
      </c>
      <c r="L160" t="str">
        <f ca="1"/>
        <v>2000 Multi Power 20W50</v>
      </c>
      <c r="M160">
        <f ca="1"/>
        <v>1</v>
      </c>
      <c r="N160">
        <f ca="1"/>
        <v>1800</v>
      </c>
      <c r="O160">
        <f ca="1"/>
        <v>4</v>
      </c>
      <c r="P160">
        <f ca="1"/>
        <v>0</v>
      </c>
      <c r="Q160">
        <f ca="1"/>
        <v>0</v>
      </c>
      <c r="R160">
        <f ca="1"/>
        <v>1800</v>
      </c>
      <c r="S160">
        <f ca="1"/>
        <v>1</v>
      </c>
      <c r="T160">
        <f ca="1"/>
        <v>4</v>
      </c>
      <c r="U160">
        <f ca="1"/>
        <v>1800</v>
      </c>
      <c r="V160">
        <f ca="1"/>
        <v>0</v>
      </c>
      <c r="W160">
        <f ca="1"/>
        <v>1800</v>
      </c>
      <c r="X160">
        <f ca="1"/>
        <v>234.78260869565219</v>
      </c>
      <c r="Y160">
        <f ca="1"/>
        <v>1565.2173913043478</v>
      </c>
      <c r="Z160" t="str">
        <f ca="1"/>
        <v>Cash</v>
      </c>
      <c r="AA160">
        <f ca="1"/>
        <v>610</v>
      </c>
      <c r="AB160" t="str">
        <f ca="1"/>
        <v>Flat Discount</v>
      </c>
      <c r="AC160">
        <f ca="1"/>
        <v>45684</v>
      </c>
      <c r="AD160" t="str">
        <f ca="1"/>
        <v/>
      </c>
      <c r="AE160" t="str">
        <f ca="1"/>
        <v>Eastern</v>
      </c>
      <c r="AF160" t="str">
        <f ca="1"/>
        <v>Mineral</v>
      </c>
      <c r="AG160" t="str">
        <f ca="1"/>
        <v>PCMO</v>
      </c>
      <c r="AH160" t="str">
        <f ca="1"/>
        <v>20W50</v>
      </c>
      <c r="AI160" t="str">
        <f ca="1"/>
        <v>2000</v>
      </c>
      <c r="AJ160">
        <f ca="1"/>
        <v>0</v>
      </c>
      <c r="AK160" t="str">
        <f ca="1"/>
        <v>4X4L</v>
      </c>
      <c r="AL160">
        <f ca="1"/>
        <v>1095.45</v>
      </c>
      <c r="AM160">
        <f ca="1"/>
        <v>469.76739130434771</v>
      </c>
      <c r="AN160" t="str">
        <f ca="1"/>
        <v>O-45683-D-0003</v>
      </c>
      <c r="AO160" t="str">
        <f ca="1"/>
        <v>Delivered</v>
      </c>
    </row>
    <row r="161" spans="1:41" x14ac:dyDescent="0.5">
      <c r="A161" t="str">
        <f ca="1"/>
        <v>F-141</v>
      </c>
      <c r="B161" s="1">
        <f ca="1"/>
        <v>45683</v>
      </c>
      <c r="C161" t="str">
        <f ca="1"/>
        <v>D-0003</v>
      </c>
      <c r="D161" t="str">
        <f ca="1"/>
        <v>Bajaj Parts Center</v>
      </c>
      <c r="E161" t="str">
        <f ca="1"/>
        <v>Taltola, Sylhet</v>
      </c>
      <c r="F161" t="str">
        <f ca="1"/>
        <v>01711-700652</v>
      </c>
      <c r="G161" t="str">
        <f ca="1"/>
        <v>Md. Robin Sheikh</v>
      </c>
      <c r="H161" t="str">
        <f ca="1"/>
        <v>Razur Rahman (Bipul)</v>
      </c>
      <c r="I161" t="str">
        <f ca="1"/>
        <v>Bajaj Parts Center</v>
      </c>
      <c r="J161" t="str">
        <f ca="1"/>
        <v>Taltola</v>
      </c>
      <c r="K161" t="str">
        <f ca="1"/>
        <v>LO00087</v>
      </c>
      <c r="L161" t="str">
        <f ca="1"/>
        <v>4000 Motion Plus 15W40</v>
      </c>
      <c r="M161">
        <f ca="1"/>
        <v>3</v>
      </c>
      <c r="N161">
        <f ca="1"/>
        <v>2700</v>
      </c>
      <c r="O161">
        <f ca="1"/>
        <v>12</v>
      </c>
      <c r="P161">
        <f ca="1"/>
        <v>0</v>
      </c>
      <c r="Q161">
        <f ca="1"/>
        <v>0</v>
      </c>
      <c r="R161">
        <f ca="1"/>
        <v>2700</v>
      </c>
      <c r="S161">
        <f ca="1"/>
        <v>3</v>
      </c>
      <c r="T161">
        <f ca="1"/>
        <v>12</v>
      </c>
      <c r="U161">
        <f ca="1"/>
        <v>8100</v>
      </c>
      <c r="V161">
        <f ca="1"/>
        <v>0</v>
      </c>
      <c r="W161">
        <f ca="1"/>
        <v>8100</v>
      </c>
      <c r="X161">
        <f ca="1"/>
        <v>1056.5217391304348</v>
      </c>
      <c r="Y161">
        <f ca="1"/>
        <v>7043.478260869565</v>
      </c>
      <c r="Z161" t="str">
        <f ca="1"/>
        <v>Cash</v>
      </c>
      <c r="AA161">
        <f ca="1"/>
        <v>610</v>
      </c>
      <c r="AB161" t="str">
        <f ca="1"/>
        <v>Flat Discount</v>
      </c>
      <c r="AC161">
        <f ca="1"/>
        <v>45684</v>
      </c>
      <c r="AD161" t="str">
        <f ca="1"/>
        <v/>
      </c>
      <c r="AE161" t="str">
        <f ca="1"/>
        <v>Eastern</v>
      </c>
      <c r="AF161" t="str">
        <f ca="1"/>
        <v>Mineral</v>
      </c>
      <c r="AG161" t="str">
        <f ca="1"/>
        <v>PCMO</v>
      </c>
      <c r="AH161" t="str">
        <f ca="1"/>
        <v>15W40</v>
      </c>
      <c r="AI161" t="str">
        <f ca="1"/>
        <v>4000</v>
      </c>
      <c r="AJ161">
        <f ca="1"/>
        <v>0</v>
      </c>
      <c r="AK161" t="str">
        <f ca="1"/>
        <v>4x4L</v>
      </c>
      <c r="AL161">
        <f ca="1"/>
        <v>3968.31</v>
      </c>
      <c r="AM161">
        <f ca="1"/>
        <v>3075.1682608695651</v>
      </c>
      <c r="AN161" t="str">
        <f ca="1"/>
        <v>O-45683-D-0003</v>
      </c>
      <c r="AO161" t="str">
        <f ca="1"/>
        <v>Delivered</v>
      </c>
    </row>
    <row r="162" spans="1:41" x14ac:dyDescent="0.5">
      <c r="A162" t="str">
        <f ca="1"/>
        <v>F-141</v>
      </c>
      <c r="B162" s="1">
        <f ca="1"/>
        <v>45683</v>
      </c>
      <c r="C162" t="str">
        <f ca="1"/>
        <v>D-0003</v>
      </c>
      <c r="D162" t="str">
        <f ca="1"/>
        <v>Bajaj Parts Center</v>
      </c>
      <c r="E162" t="str">
        <f ca="1"/>
        <v>Taltola, Sylhet</v>
      </c>
      <c r="F162" t="str">
        <f ca="1"/>
        <v>01711-700652</v>
      </c>
      <c r="G162" t="str">
        <f ca="1"/>
        <v>Md. Robin Sheikh</v>
      </c>
      <c r="H162" t="str">
        <f ca="1"/>
        <v>Razur Rahman (Bipul)</v>
      </c>
      <c r="I162" t="str">
        <f ca="1"/>
        <v>Bajaj Parts Center</v>
      </c>
      <c r="J162" t="str">
        <f ca="1"/>
        <v>Taltola</v>
      </c>
      <c r="K162" t="str">
        <f ca="1"/>
        <v>LO00108</v>
      </c>
      <c r="L162" t="str">
        <f ca="1"/>
        <v>ECO TEC Clean 0W20</v>
      </c>
      <c r="M162">
        <f ca="1"/>
        <v>1</v>
      </c>
      <c r="N162">
        <f ca="1"/>
        <v>4000</v>
      </c>
      <c r="O162">
        <f ca="1"/>
        <v>4</v>
      </c>
      <c r="P162">
        <f ca="1"/>
        <v>0</v>
      </c>
      <c r="Q162">
        <f ca="1"/>
        <v>0</v>
      </c>
      <c r="R162">
        <f ca="1"/>
        <v>4000</v>
      </c>
      <c r="S162">
        <f ca="1"/>
        <v>1</v>
      </c>
      <c r="T162">
        <f ca="1"/>
        <v>4</v>
      </c>
      <c r="U162">
        <f ca="1"/>
        <v>4000</v>
      </c>
      <c r="V162">
        <f ca="1"/>
        <v>0</v>
      </c>
      <c r="W162">
        <f ca="1"/>
        <v>4000</v>
      </c>
      <c r="X162">
        <f ca="1"/>
        <v>521.73913043478262</v>
      </c>
      <c r="Y162">
        <f ca="1"/>
        <v>3478.2608695652175</v>
      </c>
      <c r="Z162" t="str">
        <f ca="1"/>
        <v>Cash</v>
      </c>
      <c r="AA162">
        <f ca="1"/>
        <v>610</v>
      </c>
      <c r="AB162" t="str">
        <f ca="1"/>
        <v>Flat Discount</v>
      </c>
      <c r="AC162">
        <f ca="1"/>
        <v>45684</v>
      </c>
      <c r="AD162" t="str">
        <f ca="1"/>
        <v/>
      </c>
      <c r="AE162" t="str">
        <f ca="1"/>
        <v>Eastern</v>
      </c>
      <c r="AF162" t="str">
        <f ca="1"/>
        <v>Synthetic</v>
      </c>
      <c r="AG162" t="str">
        <f ca="1"/>
        <v>PCMO</v>
      </c>
      <c r="AH162" t="str">
        <f ca="1"/>
        <v>0W20</v>
      </c>
      <c r="AI162" t="str">
        <f ca="1"/>
        <v>Clean</v>
      </c>
      <c r="AJ162">
        <f ca="1"/>
        <v>0</v>
      </c>
      <c r="AK162" t="str">
        <f ca="1"/>
        <v>4x4L</v>
      </c>
      <c r="AL162">
        <f ca="1"/>
        <v>2323.52</v>
      </c>
      <c r="AM162">
        <f ca="1"/>
        <v>1154.7408695652175</v>
      </c>
      <c r="AN162" t="str">
        <f ca="1"/>
        <v>O-45683-D-0003</v>
      </c>
      <c r="AO162" t="str">
        <f ca="1"/>
        <v>Delivered</v>
      </c>
    </row>
    <row r="163" spans="1:41" x14ac:dyDescent="0.5">
      <c r="A163" t="str">
        <f ca="1"/>
        <v>F-142</v>
      </c>
      <c r="B163" s="1">
        <f ca="1"/>
        <v>45684</v>
      </c>
      <c r="C163" t="str">
        <f ca="1"/>
        <v>D-0029</v>
      </c>
      <c r="D163" t="str">
        <f ca="1"/>
        <v xml:space="preserve">Rehena Distribution </v>
      </c>
      <c r="E163" t="str">
        <f ca="1"/>
        <v>Feni</v>
      </c>
      <c r="F163" t="str">
        <f ca="1"/>
        <v>0 18 3110 9784</v>
      </c>
      <c r="G163" t="str">
        <f ca="1"/>
        <v>Sultan Anisul Islam</v>
      </c>
      <c r="H163" t="str">
        <f ca="1"/>
        <v>Razur Rahman (Bipul)</v>
      </c>
      <c r="I163" t="str">
        <f ca="1"/>
        <v>Rehana Distribution</v>
      </c>
      <c r="J163" t="str">
        <f ca="1"/>
        <v>Feni</v>
      </c>
      <c r="K163" t="str">
        <f ca="1"/>
        <v>LO00041</v>
      </c>
      <c r="L163" t="str">
        <f ca="1"/>
        <v>3000 4T PLUS 10W30</v>
      </c>
      <c r="M163">
        <f ca="1"/>
        <v>20</v>
      </c>
      <c r="N163">
        <f ca="1"/>
        <v>530</v>
      </c>
      <c r="O163">
        <f ca="1"/>
        <v>20</v>
      </c>
      <c r="P163">
        <f ca="1"/>
        <v>0</v>
      </c>
      <c r="Q163">
        <f ca="1"/>
        <v>0</v>
      </c>
      <c r="R163">
        <f ca="1"/>
        <v>530</v>
      </c>
      <c r="S163">
        <f ca="1"/>
        <v>20</v>
      </c>
      <c r="T163">
        <f ca="1"/>
        <v>20</v>
      </c>
      <c r="U163">
        <f ca="1"/>
        <v>10600</v>
      </c>
      <c r="V163">
        <f ca="1"/>
        <v>0</v>
      </c>
      <c r="W163">
        <f ca="1"/>
        <v>10600</v>
      </c>
      <c r="X163">
        <f ca="1"/>
        <v>1382.608695652174</v>
      </c>
      <c r="Y163">
        <f ca="1"/>
        <v>9217.391304347826</v>
      </c>
      <c r="Z163" t="str">
        <f ca="1"/>
        <v>Cash</v>
      </c>
      <c r="AA163">
        <f ca="1"/>
        <v>611</v>
      </c>
      <c r="AB163" t="str">
        <f ca="1"/>
        <v>Flat Discount</v>
      </c>
      <c r="AC163">
        <f ca="1"/>
        <v>45684</v>
      </c>
      <c r="AD163" t="str">
        <f ca="1"/>
        <v xml:space="preserve"> </v>
      </c>
      <c r="AE163" t="str">
        <f ca="1"/>
        <v>Eastern</v>
      </c>
      <c r="AF163" t="str">
        <f ca="1"/>
        <v>Mineral</v>
      </c>
      <c r="AG163" t="str">
        <f ca="1"/>
        <v>MCO</v>
      </c>
      <c r="AH163" t="str">
        <f ca="1"/>
        <v>10W30</v>
      </c>
      <c r="AI163" t="str">
        <f ca="1"/>
        <v>3000</v>
      </c>
      <c r="AJ163">
        <f ca="1"/>
        <v>0</v>
      </c>
      <c r="AK163" t="str">
        <f ca="1"/>
        <v>20x1L</v>
      </c>
      <c r="AL163">
        <f ca="1"/>
        <v>7586.5999999999995</v>
      </c>
      <c r="AM163">
        <f ca="1"/>
        <v>1630.7913043478266</v>
      </c>
      <c r="AN163" t="str">
        <f ca="1"/>
        <v>O-45684-D-0029</v>
      </c>
      <c r="AO163" t="str">
        <f ca="1"/>
        <v>Delivered</v>
      </c>
    </row>
    <row r="164" spans="1:41" x14ac:dyDescent="0.5">
      <c r="A164" t="str">
        <f ca="1"/>
        <v>F-142</v>
      </c>
      <c r="B164" s="1">
        <f ca="1"/>
        <v>45684</v>
      </c>
      <c r="C164" t="str">
        <f ca="1"/>
        <v>D-0029</v>
      </c>
      <c r="D164" t="str">
        <f ca="1"/>
        <v xml:space="preserve">Rehena Distribution </v>
      </c>
      <c r="E164" t="str">
        <f ca="1"/>
        <v>Feni</v>
      </c>
      <c r="F164" t="str">
        <f ca="1"/>
        <v>0 18 3110 9784</v>
      </c>
      <c r="G164" t="str">
        <f ca="1"/>
        <v>Sultan Anisul Islam</v>
      </c>
      <c r="H164" t="str">
        <f ca="1"/>
        <v>Razur Rahman (Bipul)</v>
      </c>
      <c r="I164" t="str">
        <f ca="1"/>
        <v>Rehana Distribution</v>
      </c>
      <c r="J164" t="str">
        <f ca="1"/>
        <v>Feni</v>
      </c>
      <c r="K164" t="str">
        <f ca="1"/>
        <v>LO00042</v>
      </c>
      <c r="L164" t="str">
        <f ca="1"/>
        <v>3000 4T PLUS 20W40</v>
      </c>
      <c r="M164">
        <f ca="1"/>
        <v>20</v>
      </c>
      <c r="N164">
        <f ca="1"/>
        <v>530</v>
      </c>
      <c r="O164">
        <f ca="1"/>
        <v>20</v>
      </c>
      <c r="P164">
        <f ca="1"/>
        <v>0</v>
      </c>
      <c r="Q164">
        <f ca="1"/>
        <v>0</v>
      </c>
      <c r="R164">
        <f ca="1"/>
        <v>530</v>
      </c>
      <c r="S164">
        <f ca="1"/>
        <v>20</v>
      </c>
      <c r="T164">
        <f ca="1"/>
        <v>20</v>
      </c>
      <c r="U164">
        <f ca="1"/>
        <v>10600</v>
      </c>
      <c r="V164">
        <f ca="1"/>
        <v>0</v>
      </c>
      <c r="W164">
        <f ca="1"/>
        <v>10600</v>
      </c>
      <c r="X164">
        <f ca="1"/>
        <v>1382.608695652174</v>
      </c>
      <c r="Y164">
        <f ca="1"/>
        <v>9217.391304347826</v>
      </c>
      <c r="Z164" t="str">
        <f ca="1"/>
        <v>Cash</v>
      </c>
      <c r="AA164">
        <f ca="1"/>
        <v>611</v>
      </c>
      <c r="AB164" t="str">
        <f ca="1"/>
        <v>Flat Discount</v>
      </c>
      <c r="AC164">
        <f ca="1"/>
        <v>45684</v>
      </c>
      <c r="AD164" t="str">
        <f ca="1"/>
        <v xml:space="preserve"> </v>
      </c>
      <c r="AE164" t="str">
        <f ca="1"/>
        <v>Eastern</v>
      </c>
      <c r="AF164" t="str">
        <f ca="1"/>
        <v>Mineral</v>
      </c>
      <c r="AG164" t="str">
        <f ca="1"/>
        <v>MCO</v>
      </c>
      <c r="AH164" t="str">
        <f ca="1"/>
        <v>20W40</v>
      </c>
      <c r="AI164" t="str">
        <f ca="1"/>
        <v>3000</v>
      </c>
      <c r="AJ164">
        <f ca="1"/>
        <v>0</v>
      </c>
      <c r="AK164" t="str">
        <f ca="1"/>
        <v>20x1L</v>
      </c>
      <c r="AL164">
        <f ca="1"/>
        <v>8255.2000000000007</v>
      </c>
      <c r="AM164">
        <f ca="1"/>
        <v>962.19130434782528</v>
      </c>
      <c r="AN164" t="str">
        <f ca="1"/>
        <v>O-45684-D-0029</v>
      </c>
      <c r="AO164" t="str">
        <f ca="1"/>
        <v>Delivered</v>
      </c>
    </row>
    <row r="165" spans="1:41" x14ac:dyDescent="0.5">
      <c r="A165" t="str">
        <f ca="1"/>
        <v>F-142</v>
      </c>
      <c r="B165" s="1">
        <f ca="1"/>
        <v>45684</v>
      </c>
      <c r="C165" t="str">
        <f ca="1"/>
        <v>D-0029</v>
      </c>
      <c r="D165" t="str">
        <f ca="1"/>
        <v xml:space="preserve">Rehena Distribution </v>
      </c>
      <c r="E165" t="str">
        <f ca="1"/>
        <v>Feni</v>
      </c>
      <c r="F165" t="str">
        <f ca="1"/>
        <v>0 18 3110 9784</v>
      </c>
      <c r="G165" t="str">
        <f ca="1"/>
        <v>Sultan Anisul Islam</v>
      </c>
      <c r="H165" t="str">
        <f ca="1"/>
        <v>Razur Rahman (Bipul)</v>
      </c>
      <c r="I165" t="str">
        <f ca="1"/>
        <v>Rehana Distribution</v>
      </c>
      <c r="J165" t="str">
        <f ca="1"/>
        <v>Feni</v>
      </c>
      <c r="K165" t="str">
        <f ca="1"/>
        <v>LO00043</v>
      </c>
      <c r="L165" t="str">
        <f ca="1"/>
        <v>3000 4T PLUS 10W40</v>
      </c>
      <c r="M165">
        <f ca="1"/>
        <v>80</v>
      </c>
      <c r="N165">
        <f ca="1"/>
        <v>535</v>
      </c>
      <c r="O165">
        <f ca="1"/>
        <v>80</v>
      </c>
      <c r="P165">
        <f ca="1"/>
        <v>0</v>
      </c>
      <c r="Q165">
        <f ca="1"/>
        <v>0</v>
      </c>
      <c r="R165">
        <f ca="1"/>
        <v>535</v>
      </c>
      <c r="S165">
        <f ca="1"/>
        <v>80</v>
      </c>
      <c r="T165">
        <f ca="1"/>
        <v>80</v>
      </c>
      <c r="U165">
        <f ca="1"/>
        <v>42800</v>
      </c>
      <c r="V165">
        <f ca="1"/>
        <v>0</v>
      </c>
      <c r="W165">
        <f ca="1"/>
        <v>42800</v>
      </c>
      <c r="X165">
        <f ca="1"/>
        <v>5582.608695652174</v>
      </c>
      <c r="Y165">
        <f ca="1"/>
        <v>37217.391304347824</v>
      </c>
      <c r="Z165" t="str">
        <f ca="1"/>
        <v>Cash</v>
      </c>
      <c r="AA165">
        <f ca="1"/>
        <v>611</v>
      </c>
      <c r="AB165" t="str">
        <f ca="1"/>
        <v>Flat Discount</v>
      </c>
      <c r="AC165">
        <f ca="1"/>
        <v>45684</v>
      </c>
      <c r="AD165" t="str">
        <f ca="1"/>
        <v xml:space="preserve"> </v>
      </c>
      <c r="AE165" t="str">
        <f ca="1"/>
        <v>Eastern</v>
      </c>
      <c r="AF165" t="str">
        <f ca="1"/>
        <v>Mineral</v>
      </c>
      <c r="AG165" t="str">
        <f ca="1"/>
        <v>MCO</v>
      </c>
      <c r="AH165" t="str">
        <f ca="1"/>
        <v>10W40</v>
      </c>
      <c r="AI165" t="str">
        <f ca="1"/>
        <v>3000</v>
      </c>
      <c r="AJ165">
        <f ca="1"/>
        <v>0</v>
      </c>
      <c r="AK165" t="str">
        <f ca="1"/>
        <v>20x1L</v>
      </c>
      <c r="AL165">
        <f ca="1"/>
        <v>30788</v>
      </c>
      <c r="AM165">
        <f ca="1"/>
        <v>6429.3913043478242</v>
      </c>
      <c r="AN165" t="str">
        <f ca="1"/>
        <v>O-45684-D-0029</v>
      </c>
      <c r="AO165" t="str">
        <f ca="1"/>
        <v>Delivered</v>
      </c>
    </row>
    <row r="166" spans="1:41" x14ac:dyDescent="0.5">
      <c r="A166" t="str">
        <f ca="1"/>
        <v>F-142</v>
      </c>
      <c r="B166" s="1">
        <f ca="1"/>
        <v>45684</v>
      </c>
      <c r="C166" t="str">
        <f ca="1"/>
        <v>D-0029</v>
      </c>
      <c r="D166" t="str">
        <f ca="1"/>
        <v xml:space="preserve">Rehena Distribution </v>
      </c>
      <c r="E166" t="str">
        <f ca="1"/>
        <v>Feni</v>
      </c>
      <c r="F166" t="str">
        <f ca="1"/>
        <v>0 18 3110 9784</v>
      </c>
      <c r="G166" t="str">
        <f ca="1"/>
        <v>Sultan Anisul Islam</v>
      </c>
      <c r="H166" t="str">
        <f ca="1"/>
        <v>Razur Rahman (Bipul)</v>
      </c>
      <c r="I166" t="str">
        <f ca="1"/>
        <v>Rehana Distribution</v>
      </c>
      <c r="J166" t="str">
        <f ca="1"/>
        <v>Feni</v>
      </c>
      <c r="K166" t="str">
        <f ca="1"/>
        <v>LO00119</v>
      </c>
      <c r="L166" t="str">
        <f ca="1"/>
        <v>3000 4T 20W50</v>
      </c>
      <c r="M166">
        <f ca="1"/>
        <v>20</v>
      </c>
      <c r="N166">
        <f ca="1"/>
        <v>495</v>
      </c>
      <c r="O166">
        <f ca="1"/>
        <v>20</v>
      </c>
      <c r="P166">
        <f ca="1"/>
        <v>0</v>
      </c>
      <c r="Q166">
        <f ca="1"/>
        <v>0</v>
      </c>
      <c r="R166">
        <f ca="1"/>
        <v>495</v>
      </c>
      <c r="S166">
        <f ca="1"/>
        <v>20</v>
      </c>
      <c r="T166">
        <f ca="1"/>
        <v>20</v>
      </c>
      <c r="U166">
        <f ca="1"/>
        <v>9900</v>
      </c>
      <c r="V166">
        <f ca="1"/>
        <v>0</v>
      </c>
      <c r="W166">
        <f ca="1"/>
        <v>9900</v>
      </c>
      <c r="X166">
        <f ca="1"/>
        <v>1291.304347826087</v>
      </c>
      <c r="Y166">
        <f ca="1"/>
        <v>8608.6956521739139</v>
      </c>
      <c r="Z166" t="str">
        <f ca="1"/>
        <v>Cash</v>
      </c>
      <c r="AA166">
        <f ca="1"/>
        <v>611</v>
      </c>
      <c r="AB166" t="str">
        <f ca="1"/>
        <v>Flat Discount</v>
      </c>
      <c r="AC166">
        <f ca="1"/>
        <v>45684</v>
      </c>
      <c r="AD166" t="str">
        <f ca="1"/>
        <v xml:space="preserve"> </v>
      </c>
      <c r="AE166" t="str">
        <f ca="1"/>
        <v>Eastern</v>
      </c>
      <c r="AF166" t="str">
        <f ca="1"/>
        <v>Mineral</v>
      </c>
      <c r="AG166" t="str">
        <f ca="1"/>
        <v>MCO</v>
      </c>
      <c r="AH166" t="str">
        <f ca="1"/>
        <v>20W50</v>
      </c>
      <c r="AI166" t="str">
        <f ca="1"/>
        <v>3000</v>
      </c>
      <c r="AJ166">
        <f ca="1"/>
        <v>0</v>
      </c>
      <c r="AK166" t="str">
        <f ca="1"/>
        <v>20x1L</v>
      </c>
      <c r="AL166">
        <f ca="1"/>
        <v>7298.4000000000005</v>
      </c>
      <c r="AM166">
        <f ca="1"/>
        <v>1310.2956521739134</v>
      </c>
      <c r="AN166" t="str">
        <f ca="1"/>
        <v>O-45684-D-0029</v>
      </c>
      <c r="AO166" t="str">
        <f ca="1"/>
        <v>Delivered</v>
      </c>
    </row>
    <row r="167" spans="1:41" x14ac:dyDescent="0.5">
      <c r="A167" t="str">
        <f ca="1"/>
        <v>F-143</v>
      </c>
      <c r="B167" s="1">
        <f ca="1"/>
        <v>45683</v>
      </c>
      <c r="C167" t="str">
        <f ca="1"/>
        <v>D-0011</v>
      </c>
      <c r="D167" t="str">
        <f ca="1"/>
        <v xml:space="preserve">R. Hossain Motors </v>
      </c>
      <c r="E167" t="str">
        <f ca="1"/>
        <v>Registry Para, Tangail Sadar</v>
      </c>
      <c r="F167" t="str">
        <f ca="1"/>
        <v>01521-308494</v>
      </c>
      <c r="G167" t="str">
        <f ca="1"/>
        <v>Md. Hasemi Rafsan</v>
      </c>
      <c r="H167" t="str">
        <f ca="1"/>
        <v>Raihan Siddiqui</v>
      </c>
      <c r="I167" t="str">
        <f ca="1"/>
        <v>Tuba Motors</v>
      </c>
      <c r="J167" t="str">
        <f ca="1"/>
        <v>Bogura Sadar</v>
      </c>
      <c r="K167" t="str">
        <f ca="1"/>
        <v>LO00042</v>
      </c>
      <c r="L167" t="str">
        <f ca="1"/>
        <v>3000 4T PLUS 20W40</v>
      </c>
      <c r="M167">
        <f ca="1"/>
        <v>40</v>
      </c>
      <c r="N167">
        <f ca="1"/>
        <v>530</v>
      </c>
      <c r="O167">
        <f ca="1"/>
        <v>40</v>
      </c>
      <c r="P167">
        <f ca="1"/>
        <v>0</v>
      </c>
      <c r="Q167">
        <f ca="1"/>
        <v>0</v>
      </c>
      <c r="R167">
        <f ca="1"/>
        <v>530</v>
      </c>
      <c r="S167">
        <f ca="1"/>
        <v>40</v>
      </c>
      <c r="T167">
        <f ca="1"/>
        <v>40</v>
      </c>
      <c r="U167">
        <f ca="1"/>
        <v>21200</v>
      </c>
      <c r="V167">
        <f ca="1"/>
        <v>0</v>
      </c>
      <c r="W167">
        <f ca="1"/>
        <v>21200</v>
      </c>
      <c r="X167">
        <f ca="1"/>
        <v>2765.217391304348</v>
      </c>
      <c r="Y167">
        <f ca="1"/>
        <v>18434.782608695652</v>
      </c>
      <c r="Z167" t="str">
        <f ca="1"/>
        <v>Cash</v>
      </c>
      <c r="AA167">
        <f ca="1"/>
        <v>612</v>
      </c>
      <c r="AB167" t="str">
        <f ca="1"/>
        <v>Flat Discount</v>
      </c>
      <c r="AC167">
        <f ca="1"/>
        <v>45685</v>
      </c>
      <c r="AD167" t="str">
        <f ca="1"/>
        <v/>
      </c>
      <c r="AE167" t="str">
        <f ca="1"/>
        <v>Northern</v>
      </c>
      <c r="AF167" t="str">
        <f ca="1"/>
        <v>Mineral</v>
      </c>
      <c r="AG167" t="str">
        <f ca="1"/>
        <v>MCO</v>
      </c>
      <c r="AH167" t="str">
        <f ca="1"/>
        <v>20W40</v>
      </c>
      <c r="AI167" t="str">
        <f ca="1"/>
        <v>3000</v>
      </c>
      <c r="AJ167">
        <f ca="1"/>
        <v>0</v>
      </c>
      <c r="AK167" t="str">
        <f ca="1"/>
        <v>20x1L</v>
      </c>
      <c r="AL167">
        <f ca="1"/>
        <v>16510.400000000001</v>
      </c>
      <c r="AM167">
        <f ca="1"/>
        <v>1924.3826086956506</v>
      </c>
      <c r="AN167" t="str">
        <f ca="1"/>
        <v>O-45683-D-0011</v>
      </c>
      <c r="AO167" t="str">
        <f ca="1"/>
        <v>Delivered</v>
      </c>
    </row>
    <row r="168" spans="1:41" x14ac:dyDescent="0.5">
      <c r="A168" t="str">
        <f ca="1"/>
        <v>F-143</v>
      </c>
      <c r="B168" s="1">
        <f ca="1"/>
        <v>45683</v>
      </c>
      <c r="C168" t="str">
        <f ca="1"/>
        <v>D-0011</v>
      </c>
      <c r="D168" t="str">
        <f ca="1"/>
        <v xml:space="preserve">R. Hossain Motors </v>
      </c>
      <c r="E168" t="str">
        <f ca="1"/>
        <v>Registry Para, Tangail Sadar</v>
      </c>
      <c r="F168" t="str">
        <f ca="1"/>
        <v>01521-308494</v>
      </c>
      <c r="G168" t="str">
        <f ca="1"/>
        <v>Md. Hasemi Rafsan</v>
      </c>
      <c r="H168" t="str">
        <f ca="1"/>
        <v>Raihan Siddiqui</v>
      </c>
      <c r="I168" t="str">
        <f ca="1"/>
        <v>Tuba Motors</v>
      </c>
      <c r="J168" t="str">
        <f ca="1"/>
        <v>Bogura Sadar</v>
      </c>
      <c r="K168" t="str">
        <f ca="1"/>
        <v>LO00043</v>
      </c>
      <c r="L168" t="str">
        <f ca="1"/>
        <v>3000 4T PLUS 10W40</v>
      </c>
      <c r="M168">
        <f ca="1"/>
        <v>120</v>
      </c>
      <c r="N168">
        <f ca="1"/>
        <v>535</v>
      </c>
      <c r="O168">
        <f ca="1"/>
        <v>120</v>
      </c>
      <c r="P168">
        <f ca="1"/>
        <v>0</v>
      </c>
      <c r="Q168">
        <f ca="1"/>
        <v>0</v>
      </c>
      <c r="R168">
        <f ca="1"/>
        <v>535</v>
      </c>
      <c r="S168">
        <f ca="1"/>
        <v>120</v>
      </c>
      <c r="T168">
        <f ca="1"/>
        <v>120</v>
      </c>
      <c r="U168">
        <f ca="1"/>
        <v>64200</v>
      </c>
      <c r="V168">
        <f ca="1"/>
        <v>0</v>
      </c>
      <c r="W168">
        <f ca="1"/>
        <v>64200</v>
      </c>
      <c r="X168">
        <f ca="1"/>
        <v>8373.9130434782601</v>
      </c>
      <c r="Y168">
        <f ca="1"/>
        <v>55826.086956521736</v>
      </c>
      <c r="Z168" t="str">
        <f ca="1"/>
        <v>Cash</v>
      </c>
      <c r="AA168">
        <f ca="1"/>
        <v>612</v>
      </c>
      <c r="AB168" t="str">
        <f ca="1"/>
        <v>Flat Discount</v>
      </c>
      <c r="AC168">
        <f ca="1"/>
        <v>45685</v>
      </c>
      <c r="AD168" t="str">
        <f ca="1"/>
        <v/>
      </c>
      <c r="AE168" t="str">
        <f ca="1"/>
        <v>Northern</v>
      </c>
      <c r="AF168" t="str">
        <f ca="1"/>
        <v>Mineral</v>
      </c>
      <c r="AG168" t="str">
        <f ca="1"/>
        <v>MCO</v>
      </c>
      <c r="AH168" t="str">
        <f ca="1"/>
        <v>10W40</v>
      </c>
      <c r="AI168" t="str">
        <f ca="1"/>
        <v>3000</v>
      </c>
      <c r="AJ168">
        <f ca="1"/>
        <v>0</v>
      </c>
      <c r="AK168" t="str">
        <f ca="1"/>
        <v>20x1L</v>
      </c>
      <c r="AL168">
        <f ca="1"/>
        <v>46182</v>
      </c>
      <c r="AM168">
        <f ca="1"/>
        <v>9644.0869565217363</v>
      </c>
      <c r="AN168" t="str">
        <f ca="1"/>
        <v>O-45683-D-0011</v>
      </c>
      <c r="AO168" t="str">
        <f ca="1"/>
        <v>Delivered</v>
      </c>
    </row>
    <row r="169" spans="1:41" x14ac:dyDescent="0.5">
      <c r="A169" t="str">
        <f ca="1"/>
        <v>F-143</v>
      </c>
      <c r="B169" s="1">
        <f ca="1"/>
        <v>45683</v>
      </c>
      <c r="C169" t="str">
        <f ca="1"/>
        <v>D-0011</v>
      </c>
      <c r="D169" t="str">
        <f ca="1"/>
        <v xml:space="preserve">R. Hossain Motors </v>
      </c>
      <c r="E169" t="str">
        <f ca="1"/>
        <v>Registry Para, Tangail Sadar</v>
      </c>
      <c r="F169" t="str">
        <f ca="1"/>
        <v>01521-308494</v>
      </c>
      <c r="G169" t="str">
        <f ca="1"/>
        <v>Md. Hasemi Rafsan</v>
      </c>
      <c r="H169" t="str">
        <f ca="1"/>
        <v>Raihan Siddiqui</v>
      </c>
      <c r="I169" t="str">
        <f ca="1"/>
        <v>Tuba Motors</v>
      </c>
      <c r="J169" t="str">
        <f ca="1"/>
        <v>Bogura Sadar</v>
      </c>
      <c r="K169" t="str">
        <f ca="1"/>
        <v>LO00073</v>
      </c>
      <c r="L169" t="str">
        <f ca="1"/>
        <v>3000 4T PLUS 10W30</v>
      </c>
      <c r="M169">
        <f ca="1"/>
        <v>40</v>
      </c>
      <c r="N169">
        <f ca="1"/>
        <v>640</v>
      </c>
      <c r="O169">
        <f ca="1"/>
        <v>48</v>
      </c>
      <c r="P169">
        <f ca="1"/>
        <v>0</v>
      </c>
      <c r="Q169">
        <f ca="1"/>
        <v>0</v>
      </c>
      <c r="R169">
        <f ca="1"/>
        <v>640</v>
      </c>
      <c r="S169">
        <f ca="1"/>
        <v>40</v>
      </c>
      <c r="T169">
        <f ca="1"/>
        <v>48</v>
      </c>
      <c r="U169">
        <f ca="1"/>
        <v>25600</v>
      </c>
      <c r="V169">
        <f ca="1"/>
        <v>0</v>
      </c>
      <c r="W169">
        <f ca="1"/>
        <v>25600</v>
      </c>
      <c r="X169">
        <f ca="1"/>
        <v>3339.1304347826085</v>
      </c>
      <c r="Y169">
        <f ca="1"/>
        <v>22260.869565217392</v>
      </c>
      <c r="Z169" t="str">
        <f ca="1"/>
        <v>Cash</v>
      </c>
      <c r="AA169">
        <f ca="1"/>
        <v>612</v>
      </c>
      <c r="AB169" t="str">
        <f ca="1"/>
        <v>Flat Discount</v>
      </c>
      <c r="AC169">
        <f ca="1"/>
        <v>45685</v>
      </c>
      <c r="AD169" t="str">
        <f ca="1"/>
        <v/>
      </c>
      <c r="AE169" t="str">
        <f ca="1"/>
        <v>Northern</v>
      </c>
      <c r="AF169" t="str">
        <f ca="1"/>
        <v>Mineral</v>
      </c>
      <c r="AG169" t="str">
        <f ca="1"/>
        <v>MCO</v>
      </c>
      <c r="AH169" t="str">
        <f ca="1"/>
        <v>10W30</v>
      </c>
      <c r="AI169" t="str">
        <f ca="1"/>
        <v>3000</v>
      </c>
      <c r="AJ169">
        <f ca="1"/>
        <v>0</v>
      </c>
      <c r="AK169" t="str">
        <f ca="1"/>
        <v>20x1.2L</v>
      </c>
      <c r="AL169">
        <f ca="1"/>
        <v>17556</v>
      </c>
      <c r="AM169">
        <f ca="1"/>
        <v>4704.8695652173919</v>
      </c>
      <c r="AN169" t="str">
        <f ca="1"/>
        <v>O-45683-D-0011</v>
      </c>
      <c r="AO169" t="str">
        <f ca="1"/>
        <v>Delivered</v>
      </c>
    </row>
    <row r="170" spans="1:41" x14ac:dyDescent="0.5">
      <c r="A170" t="str">
        <f ca="1"/>
        <v>F-144</v>
      </c>
      <c r="B170" s="1">
        <f ca="1"/>
        <v>45685</v>
      </c>
      <c r="C170" t="str">
        <f ca="1"/>
        <v>D-0014</v>
      </c>
      <c r="D170" t="str">
        <f ca="1"/>
        <v>Tamanna Motors</v>
      </c>
      <c r="E170" t="str">
        <f ca="1"/>
        <v>Dharmapur, Cumilla</v>
      </c>
      <c r="F170" t="str">
        <f ca="1"/>
        <v>01630-194839</v>
      </c>
      <c r="G170" t="str">
        <f ca="1"/>
        <v>Md. Robin Sheikh</v>
      </c>
      <c r="H170" t="str">
        <f ca="1"/>
        <v>Razur Rahman (Bipul)</v>
      </c>
      <c r="I170" t="str">
        <f ca="1"/>
        <v>City Lubricants</v>
      </c>
      <c r="J170" t="str">
        <f ca="1"/>
        <v>Paduar Bazar Bisso Road</v>
      </c>
      <c r="K170" t="str">
        <f ca="1"/>
        <v>LO00096</v>
      </c>
      <c r="L170" t="str">
        <f ca="1"/>
        <v>3000 4T PLUS 20W40</v>
      </c>
      <c r="M170">
        <f ca="1"/>
        <v>20</v>
      </c>
      <c r="N170">
        <f ca="1"/>
        <v>640</v>
      </c>
      <c r="O170">
        <f ca="1"/>
        <v>24</v>
      </c>
      <c r="P170">
        <f ca="1"/>
        <v>0</v>
      </c>
      <c r="Q170">
        <f ca="1"/>
        <v>0</v>
      </c>
      <c r="R170">
        <f ca="1"/>
        <v>640</v>
      </c>
      <c r="S170">
        <f ca="1"/>
        <v>20</v>
      </c>
      <c r="T170">
        <f ca="1"/>
        <v>24</v>
      </c>
      <c r="U170">
        <f ca="1"/>
        <v>12800</v>
      </c>
      <c r="V170">
        <f ca="1"/>
        <v>0</v>
      </c>
      <c r="W170">
        <f ca="1"/>
        <v>12800</v>
      </c>
      <c r="X170">
        <f ca="1"/>
        <v>1669.5652173913043</v>
      </c>
      <c r="Y170">
        <f ca="1"/>
        <v>11130.434782608696</v>
      </c>
      <c r="Z170" t="str">
        <f ca="1"/>
        <v>Cash</v>
      </c>
      <c r="AA170">
        <f ca="1"/>
        <v>613</v>
      </c>
      <c r="AB170" t="str">
        <f ca="1"/>
        <v>Flat Discount</v>
      </c>
      <c r="AC170">
        <f ca="1"/>
        <v>45685</v>
      </c>
      <c r="AD170" t="str">
        <f ca="1"/>
        <v/>
      </c>
      <c r="AE170" t="str">
        <f ca="1"/>
        <v>Eastern</v>
      </c>
      <c r="AF170" t="str">
        <f ca="1"/>
        <v>Mineral</v>
      </c>
      <c r="AG170" t="str">
        <f ca="1"/>
        <v>MCO</v>
      </c>
      <c r="AH170" t="str">
        <f ca="1"/>
        <v>20W40</v>
      </c>
      <c r="AI170" t="str">
        <f ca="1"/>
        <v>3000</v>
      </c>
      <c r="AJ170">
        <f ca="1"/>
        <v>0</v>
      </c>
      <c r="AK170" t="str">
        <f ca="1"/>
        <v>20x1.2L</v>
      </c>
      <c r="AL170">
        <f ca="1"/>
        <v>9397.9559070121941</v>
      </c>
      <c r="AM170">
        <f ca="1"/>
        <v>1732.4788755965019</v>
      </c>
      <c r="AN170" t="str">
        <f ca="1"/>
        <v>O-45685-D-0014</v>
      </c>
      <c r="AO170" t="str">
        <f ca="1"/>
        <v>Delivered</v>
      </c>
    </row>
    <row r="171" spans="1:41" x14ac:dyDescent="0.5">
      <c r="A171" t="str">
        <f ca="1"/>
        <v>F-144</v>
      </c>
      <c r="B171" s="1">
        <f ca="1"/>
        <v>45685</v>
      </c>
      <c r="C171" t="str">
        <f ca="1"/>
        <v>D-0014</v>
      </c>
      <c r="D171" t="str">
        <f ca="1"/>
        <v>Tamanna Motors</v>
      </c>
      <c r="E171" t="str">
        <f ca="1"/>
        <v>Dharmapur, Cumilla</v>
      </c>
      <c r="F171" t="str">
        <f ca="1"/>
        <v>01630-194839</v>
      </c>
      <c r="G171" t="str">
        <f ca="1"/>
        <v>Md. Robin Sheikh</v>
      </c>
      <c r="H171" t="str">
        <f ca="1"/>
        <v>Razur Rahman (Bipul)</v>
      </c>
      <c r="I171" t="str">
        <f ca="1"/>
        <v>City Lubricants</v>
      </c>
      <c r="J171" t="str">
        <f ca="1"/>
        <v>Paduar Bazar Bisso Road</v>
      </c>
      <c r="K171" t="str">
        <f ca="1"/>
        <v>LO00076</v>
      </c>
      <c r="L171" t="str">
        <f ca="1"/>
        <v>Inugel Expert Coolant</v>
      </c>
      <c r="M171">
        <f ca="1"/>
        <v>20</v>
      </c>
      <c r="N171">
        <f ca="1"/>
        <v>420</v>
      </c>
      <c r="O171">
        <f ca="1"/>
        <v>20</v>
      </c>
      <c r="P171">
        <f ca="1"/>
        <v>0</v>
      </c>
      <c r="Q171">
        <f ca="1"/>
        <v>0</v>
      </c>
      <c r="R171">
        <f ca="1"/>
        <v>420</v>
      </c>
      <c r="S171">
        <f ca="1"/>
        <v>20</v>
      </c>
      <c r="T171">
        <f ca="1"/>
        <v>20</v>
      </c>
      <c r="U171">
        <f ca="1"/>
        <v>8400</v>
      </c>
      <c r="V171">
        <f ca="1"/>
        <v>0</v>
      </c>
      <c r="W171">
        <f ca="1"/>
        <v>8400</v>
      </c>
      <c r="X171">
        <f ca="1"/>
        <v>1095.6521739130435</v>
      </c>
      <c r="Y171">
        <f ca="1"/>
        <v>7304.347826086957</v>
      </c>
      <c r="Z171" t="str">
        <f ca="1"/>
        <v>Cash</v>
      </c>
      <c r="AA171">
        <f ca="1"/>
        <v>613</v>
      </c>
      <c r="AB171" t="str">
        <f ca="1"/>
        <v>Flat Discount</v>
      </c>
      <c r="AC171">
        <f ca="1"/>
        <v>45685</v>
      </c>
      <c r="AD171" t="str">
        <f ca="1"/>
        <v/>
      </c>
      <c r="AE171" t="str">
        <f ca="1"/>
        <v>Eastern</v>
      </c>
      <c r="AF171" t="str">
        <f ca="1"/>
        <v>Care Products</v>
      </c>
      <c r="AG171" t="str">
        <f ca="1"/>
        <v>Care Products</v>
      </c>
      <c r="AH171" t="str">
        <f ca="1"/>
        <v>Care Products</v>
      </c>
      <c r="AI171" t="str">
        <f ca="1"/>
        <v>Coolant</v>
      </c>
      <c r="AJ171">
        <f ca="1"/>
        <v>0</v>
      </c>
      <c r="AK171" t="str">
        <f ca="1"/>
        <v>20x1L</v>
      </c>
      <c r="AL171">
        <f ca="1"/>
        <v>4612.7999999999993</v>
      </c>
      <c r="AM171">
        <f ca="1"/>
        <v>2691.5478260869577</v>
      </c>
      <c r="AN171" t="str">
        <f ca="1"/>
        <v>O-45685-D-0014</v>
      </c>
      <c r="AO171" t="str">
        <f ca="1"/>
        <v>Delivered</v>
      </c>
    </row>
    <row r="172" spans="1:41" x14ac:dyDescent="0.5">
      <c r="A172" t="str">
        <f ca="1"/>
        <v>F-144</v>
      </c>
      <c r="B172" s="1">
        <f ca="1"/>
        <v>45685</v>
      </c>
      <c r="C172" t="str">
        <f ca="1"/>
        <v>D-0014</v>
      </c>
      <c r="D172" t="str">
        <f ca="1"/>
        <v>Tamanna Motors</v>
      </c>
      <c r="E172" t="str">
        <f ca="1"/>
        <v>Dharmapur, Cumilla</v>
      </c>
      <c r="F172" t="str">
        <f ca="1"/>
        <v>01630-194839</v>
      </c>
      <c r="G172" t="str">
        <f ca="1"/>
        <v>Md. Robin Sheikh</v>
      </c>
      <c r="H172" t="str">
        <f ca="1"/>
        <v>Razur Rahman (Bipul)</v>
      </c>
      <c r="I172" t="str">
        <f ca="1"/>
        <v>City Lubricants</v>
      </c>
      <c r="J172" t="str">
        <f ca="1"/>
        <v>Paduar Bazar Bisso Road</v>
      </c>
      <c r="K172" t="str">
        <f ca="1"/>
        <v>LO00119</v>
      </c>
      <c r="L172" t="str">
        <f ca="1"/>
        <v>3000 4T 20W50</v>
      </c>
      <c r="M172">
        <f ca="1"/>
        <v>40</v>
      </c>
      <c r="N172">
        <f ca="1"/>
        <v>490</v>
      </c>
      <c r="O172">
        <f ca="1"/>
        <v>40</v>
      </c>
      <c r="P172">
        <f ca="1"/>
        <v>0</v>
      </c>
      <c r="Q172">
        <f ca="1"/>
        <v>0</v>
      </c>
      <c r="R172">
        <f ca="1"/>
        <v>490</v>
      </c>
      <c r="S172">
        <f ca="1"/>
        <v>40</v>
      </c>
      <c r="T172">
        <f ca="1"/>
        <v>40</v>
      </c>
      <c r="U172">
        <f ca="1"/>
        <v>19600</v>
      </c>
      <c r="V172">
        <f ca="1"/>
        <v>0</v>
      </c>
      <c r="W172">
        <f ca="1"/>
        <v>19600</v>
      </c>
      <c r="X172">
        <f ca="1"/>
        <v>2556.521739130435</v>
      </c>
      <c r="Y172">
        <f ca="1"/>
        <v>17043.478260869564</v>
      </c>
      <c r="Z172" t="str">
        <f ca="1"/>
        <v>Cash</v>
      </c>
      <c r="AA172">
        <f ca="1"/>
        <v>613</v>
      </c>
      <c r="AB172" t="str">
        <f ca="1"/>
        <v>Flat Discount</v>
      </c>
      <c r="AC172">
        <f ca="1"/>
        <v>45685</v>
      </c>
      <c r="AD172" t="str">
        <f ca="1"/>
        <v/>
      </c>
      <c r="AE172" t="str">
        <f ca="1"/>
        <v>Eastern</v>
      </c>
      <c r="AF172" t="str">
        <f ca="1"/>
        <v>Mineral</v>
      </c>
      <c r="AG172" t="str">
        <f ca="1"/>
        <v>MCO</v>
      </c>
      <c r="AH172" t="str">
        <f ca="1"/>
        <v>20W50</v>
      </c>
      <c r="AI172" t="str">
        <f ca="1"/>
        <v>3000</v>
      </c>
      <c r="AJ172">
        <f ca="1"/>
        <v>0</v>
      </c>
      <c r="AK172" t="str">
        <f ca="1"/>
        <v>20x1L</v>
      </c>
      <c r="AL172">
        <f ca="1"/>
        <v>14596.800000000001</v>
      </c>
      <c r="AM172">
        <f ca="1"/>
        <v>2446.678260869563</v>
      </c>
      <c r="AN172" t="str">
        <f ca="1"/>
        <v>O-45685-D-0014</v>
      </c>
      <c r="AO172" t="str">
        <f ca="1"/>
        <v>Delivered</v>
      </c>
    </row>
    <row r="173" spans="1:41" x14ac:dyDescent="0.5">
      <c r="A173" t="str">
        <f ca="1"/>
        <v>F-145</v>
      </c>
      <c r="B173" s="1">
        <f ca="1"/>
        <v>45685</v>
      </c>
      <c r="C173" t="str">
        <f ca="1"/>
        <v>D-0031</v>
      </c>
      <c r="D173" t="str">
        <f ca="1"/>
        <v xml:space="preserve">Banoful Traders </v>
      </c>
      <c r="E173" t="str">
        <f ca="1"/>
        <v>Khalishpur, Khulna.</v>
      </c>
      <c r="F173" t="str">
        <f ca="1"/>
        <v>01706-361484</v>
      </c>
      <c r="G173" t="str">
        <f ca="1"/>
        <v>Md. Mafsidul Haque(Rana)</v>
      </c>
      <c r="H173" t="str">
        <f ca="1"/>
        <v>Abdul Matin</v>
      </c>
      <c r="I173" t="str">
        <f ca="1"/>
        <v>Banoful Traders</v>
      </c>
      <c r="J173" t="str">
        <f ca="1"/>
        <v>Kashipur</v>
      </c>
      <c r="K173" t="str">
        <f ca="1"/>
        <v>LO00041</v>
      </c>
      <c r="L173" t="str">
        <f ca="1"/>
        <v>3000 4T PLUS 10W30</v>
      </c>
      <c r="M173">
        <f ca="1"/>
        <v>60</v>
      </c>
      <c r="N173">
        <f ca="1"/>
        <v>530</v>
      </c>
      <c r="O173">
        <f ca="1"/>
        <v>60</v>
      </c>
      <c r="P173">
        <f ca="1"/>
        <v>0</v>
      </c>
      <c r="Q173">
        <f ca="1"/>
        <v>0</v>
      </c>
      <c r="R173">
        <f ca="1"/>
        <v>530</v>
      </c>
      <c r="S173">
        <f ca="1"/>
        <v>60</v>
      </c>
      <c r="T173">
        <f ca="1"/>
        <v>60</v>
      </c>
      <c r="U173">
        <f ca="1"/>
        <v>31800</v>
      </c>
      <c r="V173">
        <f ca="1"/>
        <v>0</v>
      </c>
      <c r="W173">
        <f ca="1"/>
        <v>31800</v>
      </c>
      <c r="X173">
        <f ca="1"/>
        <v>4147.826086956522</v>
      </c>
      <c r="Y173">
        <f ca="1"/>
        <v>27652.17391304348</v>
      </c>
      <c r="Z173" t="str">
        <f ca="1"/>
        <v>Cash</v>
      </c>
      <c r="AA173">
        <f ca="1"/>
        <v>614</v>
      </c>
      <c r="AB173" t="str">
        <f ca="1"/>
        <v>Flat Discount</v>
      </c>
      <c r="AC173">
        <f ca="1"/>
        <v>45685</v>
      </c>
      <c r="AD173" t="str">
        <f ca="1"/>
        <v/>
      </c>
      <c r="AE173" t="str">
        <f ca="1"/>
        <v>Central</v>
      </c>
      <c r="AF173" t="str">
        <f ca="1"/>
        <v>Mineral</v>
      </c>
      <c r="AG173" t="str">
        <f ca="1"/>
        <v>MCO</v>
      </c>
      <c r="AH173" t="str">
        <f ca="1"/>
        <v>10W30</v>
      </c>
      <c r="AI173" t="str">
        <f ca="1"/>
        <v>3000</v>
      </c>
      <c r="AJ173">
        <f ca="1"/>
        <v>0</v>
      </c>
      <c r="AK173" t="str">
        <f ca="1"/>
        <v>20x1L</v>
      </c>
      <c r="AL173">
        <f ca="1"/>
        <v>22759.8</v>
      </c>
      <c r="AM173">
        <f ca="1"/>
        <v>4892.3739130434806</v>
      </c>
      <c r="AN173" t="str">
        <f ca="1"/>
        <v>O-45685-D-0031</v>
      </c>
      <c r="AO173" t="str">
        <f ca="1"/>
        <v>Delivered</v>
      </c>
    </row>
    <row r="174" spans="1:41" x14ac:dyDescent="0.5">
      <c r="A174" t="str">
        <f ca="1"/>
        <v>F-145</v>
      </c>
      <c r="B174" s="1">
        <f ca="1"/>
        <v>45685</v>
      </c>
      <c r="C174" t="str">
        <f ca="1"/>
        <v>D-0031</v>
      </c>
      <c r="D174" t="str">
        <f ca="1"/>
        <v xml:space="preserve">Banoful Traders </v>
      </c>
      <c r="E174" t="str">
        <f ca="1"/>
        <v>Khalishpur, Khulna.</v>
      </c>
      <c r="F174" t="str">
        <f ca="1"/>
        <v>01706-361484</v>
      </c>
      <c r="G174" t="str">
        <f ca="1"/>
        <v>Md. Mafsidul Haque(Rana)</v>
      </c>
      <c r="H174" t="str">
        <f ca="1"/>
        <v>Abdul Matin</v>
      </c>
      <c r="I174" t="str">
        <f ca="1"/>
        <v>Banoful Traders</v>
      </c>
      <c r="J174" t="str">
        <f ca="1"/>
        <v>Kashipur</v>
      </c>
      <c r="K174" t="str">
        <f ca="1"/>
        <v>LO00042</v>
      </c>
      <c r="L174" t="str">
        <f ca="1"/>
        <v>3000 4T PLUS 20W40</v>
      </c>
      <c r="M174">
        <f ca="1"/>
        <v>120</v>
      </c>
      <c r="N174">
        <f ca="1"/>
        <v>525</v>
      </c>
      <c r="O174">
        <f ca="1"/>
        <v>120</v>
      </c>
      <c r="P174">
        <f ca="1"/>
        <v>0</v>
      </c>
      <c r="Q174">
        <f ca="1"/>
        <v>0</v>
      </c>
      <c r="R174">
        <f ca="1"/>
        <v>525</v>
      </c>
      <c r="S174">
        <f ca="1"/>
        <v>120</v>
      </c>
      <c r="T174">
        <f ca="1"/>
        <v>120</v>
      </c>
      <c r="U174">
        <f ca="1"/>
        <v>63000</v>
      </c>
      <c r="V174">
        <f ca="1"/>
        <v>0</v>
      </c>
      <c r="W174">
        <f ca="1"/>
        <v>63000</v>
      </c>
      <c r="X174">
        <f ca="1"/>
        <v>8217.391304347826</v>
      </c>
      <c r="Y174">
        <f ca="1"/>
        <v>54782.608695652176</v>
      </c>
      <c r="Z174" t="str">
        <f ca="1"/>
        <v>Cash</v>
      </c>
      <c r="AA174">
        <f ca="1"/>
        <v>614</v>
      </c>
      <c r="AB174" t="str">
        <f ca="1"/>
        <v>Flat Discount</v>
      </c>
      <c r="AC174">
        <f ca="1"/>
        <v>45685</v>
      </c>
      <c r="AD174" t="str">
        <f ca="1"/>
        <v/>
      </c>
      <c r="AE174" t="str">
        <f ca="1"/>
        <v>Central</v>
      </c>
      <c r="AF174" t="str">
        <f ca="1"/>
        <v>Mineral</v>
      </c>
      <c r="AG174" t="str">
        <f ca="1"/>
        <v>MCO</v>
      </c>
      <c r="AH174" t="str">
        <f ca="1"/>
        <v>20W40</v>
      </c>
      <c r="AI174" t="str">
        <f ca="1"/>
        <v>3000</v>
      </c>
      <c r="AJ174">
        <f ca="1"/>
        <v>0</v>
      </c>
      <c r="AK174" t="str">
        <f ca="1"/>
        <v>20x1L</v>
      </c>
      <c r="AL174">
        <f ca="1"/>
        <v>49531.199999999997</v>
      </c>
      <c r="AM174">
        <f ca="1"/>
        <v>5251.4086956521787</v>
      </c>
      <c r="AN174" t="str">
        <f ca="1"/>
        <v>O-45685-D-0031</v>
      </c>
      <c r="AO174" t="str">
        <f ca="1"/>
        <v>Delivered</v>
      </c>
    </row>
    <row r="175" spans="1:41" x14ac:dyDescent="0.5">
      <c r="A175" t="str">
        <f ca="1"/>
        <v>F-145</v>
      </c>
      <c r="B175" s="1">
        <f ca="1"/>
        <v>45685</v>
      </c>
      <c r="C175" t="str">
        <f ca="1"/>
        <v>D-0031</v>
      </c>
      <c r="D175" t="str">
        <f ca="1"/>
        <v xml:space="preserve">Banoful Traders </v>
      </c>
      <c r="E175" t="str">
        <f ca="1"/>
        <v>Khalishpur, Khulna.</v>
      </c>
      <c r="F175" t="str">
        <f ca="1"/>
        <v>01706-361484</v>
      </c>
      <c r="G175" t="str">
        <f ca="1"/>
        <v>Md. Mafsidul Haque(Rana)</v>
      </c>
      <c r="H175" t="str">
        <f ca="1"/>
        <v>Abdul Matin</v>
      </c>
      <c r="I175" t="str">
        <f ca="1"/>
        <v>Banoful Traders</v>
      </c>
      <c r="J175" t="str">
        <f ca="1"/>
        <v>Kashipur</v>
      </c>
      <c r="K175" t="str">
        <f ca="1"/>
        <v>LO00044</v>
      </c>
      <c r="L175" t="str">
        <f ca="1"/>
        <v>31004T GOLD 20W50</v>
      </c>
      <c r="M175">
        <f ca="1"/>
        <v>20</v>
      </c>
      <c r="N175">
        <f ca="1"/>
        <v>590</v>
      </c>
      <c r="O175">
        <f ca="1"/>
        <v>20</v>
      </c>
      <c r="P175">
        <f ca="1"/>
        <v>0</v>
      </c>
      <c r="Q175">
        <f ca="1"/>
        <v>0</v>
      </c>
      <c r="R175">
        <f ca="1"/>
        <v>590</v>
      </c>
      <c r="S175">
        <f ca="1"/>
        <v>20</v>
      </c>
      <c r="T175">
        <f ca="1"/>
        <v>20</v>
      </c>
      <c r="U175">
        <f ca="1"/>
        <v>11800</v>
      </c>
      <c r="V175">
        <f ca="1"/>
        <v>0</v>
      </c>
      <c r="W175">
        <f ca="1"/>
        <v>11800</v>
      </c>
      <c r="X175">
        <f ca="1"/>
        <v>1539.1304347826087</v>
      </c>
      <c r="Y175">
        <f ca="1"/>
        <v>10260.869565217392</v>
      </c>
      <c r="Z175" t="str">
        <f ca="1"/>
        <v>Cash</v>
      </c>
      <c r="AA175">
        <f ca="1"/>
        <v>614</v>
      </c>
      <c r="AB175" t="str">
        <f ca="1"/>
        <v>Flat Discount</v>
      </c>
      <c r="AC175">
        <f ca="1"/>
        <v>45685</v>
      </c>
      <c r="AD175" t="str">
        <f ca="1"/>
        <v/>
      </c>
      <c r="AE175" t="str">
        <f ca="1"/>
        <v>Central</v>
      </c>
      <c r="AF175" t="str">
        <f ca="1"/>
        <v>Technosynthese</v>
      </c>
      <c r="AG175" t="str">
        <f ca="1"/>
        <v>MCO</v>
      </c>
      <c r="AH175" t="str">
        <f ca="1"/>
        <v>20W50</v>
      </c>
      <c r="AI175" t="str">
        <f ca="1"/>
        <v>3100</v>
      </c>
      <c r="AJ175">
        <f ca="1"/>
        <v>0</v>
      </c>
      <c r="AK175" t="str">
        <f ca="1"/>
        <v>20x1L</v>
      </c>
      <c r="AL175">
        <f ca="1"/>
        <v>9387.7999999999993</v>
      </c>
      <c r="AM175">
        <f ca="1"/>
        <v>873.06956521739266</v>
      </c>
      <c r="AN175" t="str">
        <f ca="1"/>
        <v>O-45685-D-0031</v>
      </c>
      <c r="AO175" t="str">
        <f ca="1"/>
        <v>Delivered</v>
      </c>
    </row>
    <row r="176" spans="1:41" x14ac:dyDescent="0.5">
      <c r="A176" t="str">
        <f ca="1"/>
        <v>F-145</v>
      </c>
      <c r="B176" s="1">
        <f ca="1"/>
        <v>45685</v>
      </c>
      <c r="C176" t="str">
        <f ca="1"/>
        <v>D-0031</v>
      </c>
      <c r="D176" t="str">
        <f ca="1"/>
        <v xml:space="preserve">Banoful Traders </v>
      </c>
      <c r="E176" t="str">
        <f ca="1"/>
        <v>Khalishpur, Khulna.</v>
      </c>
      <c r="F176" t="str">
        <f ca="1"/>
        <v>01706-361484</v>
      </c>
      <c r="G176" t="str">
        <f ca="1"/>
        <v>Md. Mafsidul Haque(Rana)</v>
      </c>
      <c r="H176" t="str">
        <f ca="1"/>
        <v>Abdul Matin</v>
      </c>
      <c r="I176" t="str">
        <f ca="1"/>
        <v>Banoful Traders</v>
      </c>
      <c r="J176" t="str">
        <f ca="1"/>
        <v>Kashipur</v>
      </c>
      <c r="K176" t="str">
        <f ca="1"/>
        <v>LO00071</v>
      </c>
      <c r="L176" t="str">
        <f ca="1"/>
        <v>31004T GOLD 10W30</v>
      </c>
      <c r="M176">
        <f ca="1"/>
        <v>20</v>
      </c>
      <c r="N176">
        <f ca="1"/>
        <v>590</v>
      </c>
      <c r="O176">
        <f ca="1"/>
        <v>20</v>
      </c>
      <c r="P176">
        <f ca="1"/>
        <v>0</v>
      </c>
      <c r="Q176">
        <f ca="1"/>
        <v>0</v>
      </c>
      <c r="R176">
        <f ca="1"/>
        <v>590</v>
      </c>
      <c r="S176">
        <f ca="1"/>
        <v>20</v>
      </c>
      <c r="T176">
        <f ca="1"/>
        <v>20</v>
      </c>
      <c r="U176">
        <f ca="1"/>
        <v>11800</v>
      </c>
      <c r="V176">
        <f ca="1"/>
        <v>0</v>
      </c>
      <c r="W176">
        <f ca="1"/>
        <v>11800</v>
      </c>
      <c r="X176">
        <f ca="1"/>
        <v>1539.1304347826087</v>
      </c>
      <c r="Y176">
        <f ca="1"/>
        <v>10260.869565217392</v>
      </c>
      <c r="Z176" t="str">
        <f ca="1"/>
        <v>Cash</v>
      </c>
      <c r="AA176">
        <f ca="1"/>
        <v>614</v>
      </c>
      <c r="AB176" t="str">
        <f ca="1"/>
        <v>Flat Discount</v>
      </c>
      <c r="AC176">
        <f ca="1"/>
        <v>45685</v>
      </c>
      <c r="AD176" t="str">
        <f ca="1"/>
        <v/>
      </c>
      <c r="AE176" t="str">
        <f ca="1"/>
        <v>Central</v>
      </c>
      <c r="AF176" t="str">
        <f ca="1"/>
        <v>Technosynthese</v>
      </c>
      <c r="AG176" t="str">
        <f ca="1"/>
        <v>MCO</v>
      </c>
      <c r="AH176" t="str">
        <f ca="1"/>
        <v>10W30</v>
      </c>
      <c r="AI176" t="str">
        <f ca="1"/>
        <v>3100</v>
      </c>
      <c r="AJ176">
        <f ca="1"/>
        <v>0</v>
      </c>
      <c r="AK176" t="str">
        <f ca="1"/>
        <v>20x1L</v>
      </c>
      <c r="AL176">
        <f ca="1"/>
        <v>8502</v>
      </c>
      <c r="AM176">
        <f ca="1"/>
        <v>1758.8695652173919</v>
      </c>
      <c r="AN176" t="str">
        <f ca="1"/>
        <v>O-45685-D-0031</v>
      </c>
      <c r="AO176" t="str">
        <f ca="1"/>
        <v>Delivered</v>
      </c>
    </row>
    <row r="177" spans="1:41" x14ac:dyDescent="0.5">
      <c r="A177" t="str">
        <f ca="1"/>
        <v>F-145</v>
      </c>
      <c r="B177" s="1">
        <f ca="1"/>
        <v>45685</v>
      </c>
      <c r="C177" t="str">
        <f ca="1"/>
        <v>D-0031</v>
      </c>
      <c r="D177" t="str">
        <f ca="1"/>
        <v xml:space="preserve">Banoful Traders </v>
      </c>
      <c r="E177" t="str">
        <f ca="1"/>
        <v>Khalishpur, Khulna.</v>
      </c>
      <c r="F177" t="str">
        <f ca="1"/>
        <v>01706-361484</v>
      </c>
      <c r="G177" t="str">
        <f ca="1"/>
        <v>Md. Mafsidul Haque(Rana)</v>
      </c>
      <c r="H177" t="str">
        <f ca="1"/>
        <v>Abdul Matin</v>
      </c>
      <c r="I177" t="str">
        <f ca="1"/>
        <v>Banoful Traders</v>
      </c>
      <c r="J177" t="str">
        <f ca="1"/>
        <v>Kashipur</v>
      </c>
      <c r="K177" t="str">
        <f ca="1"/>
        <v>LO00074</v>
      </c>
      <c r="L177" t="str">
        <f ca="1"/>
        <v>7100 4T 10W30 ESTER CORE®</v>
      </c>
      <c r="M177">
        <f ca="1"/>
        <v>24</v>
      </c>
      <c r="N177">
        <f ca="1"/>
        <v>1070</v>
      </c>
      <c r="O177">
        <f ca="1"/>
        <v>24</v>
      </c>
      <c r="P177">
        <f ca="1"/>
        <v>0</v>
      </c>
      <c r="Q177">
        <f ca="1"/>
        <v>0</v>
      </c>
      <c r="R177">
        <f ca="1"/>
        <v>1070</v>
      </c>
      <c r="S177">
        <f ca="1"/>
        <v>24</v>
      </c>
      <c r="T177">
        <f ca="1"/>
        <v>24</v>
      </c>
      <c r="U177">
        <f ca="1"/>
        <v>25680</v>
      </c>
      <c r="V177">
        <f ca="1"/>
        <v>0</v>
      </c>
      <c r="W177">
        <f ca="1"/>
        <v>25680</v>
      </c>
      <c r="X177">
        <f ca="1"/>
        <v>3349.5652173913045</v>
      </c>
      <c r="Y177">
        <f ca="1"/>
        <v>22330.434782608696</v>
      </c>
      <c r="Z177" t="str">
        <f ca="1"/>
        <v>Cash</v>
      </c>
      <c r="AA177">
        <f ca="1"/>
        <v>614</v>
      </c>
      <c r="AB177" t="str">
        <f ca="1"/>
        <v>Flat Discount</v>
      </c>
      <c r="AC177">
        <f ca="1"/>
        <v>45685</v>
      </c>
      <c r="AD177" t="str">
        <f ca="1"/>
        <v/>
      </c>
      <c r="AE177" t="str">
        <f ca="1"/>
        <v>Central</v>
      </c>
      <c r="AF177" t="str">
        <f ca="1"/>
        <v>Synthetic</v>
      </c>
      <c r="AG177" t="str">
        <f ca="1"/>
        <v>MCO</v>
      </c>
      <c r="AH177" t="str">
        <f ca="1"/>
        <v>10W30</v>
      </c>
      <c r="AI177" t="str">
        <f ca="1"/>
        <v>7100</v>
      </c>
      <c r="AJ177">
        <f ca="1"/>
        <v>0</v>
      </c>
      <c r="AK177" t="str">
        <f ca="1"/>
        <v>12x1L</v>
      </c>
      <c r="AL177">
        <f ca="1"/>
        <v>16556.64</v>
      </c>
      <c r="AM177">
        <f ca="1"/>
        <v>5773.7947826086966</v>
      </c>
      <c r="AN177" t="str">
        <f ca="1"/>
        <v>O-45685-D-0031</v>
      </c>
      <c r="AO177" t="str">
        <f ca="1"/>
        <v>Delivered</v>
      </c>
    </row>
    <row r="178" spans="1:41" x14ac:dyDescent="0.5">
      <c r="A178" t="str">
        <f ca="1"/>
        <v>F-145</v>
      </c>
      <c r="B178" s="1">
        <f ca="1"/>
        <v>45685</v>
      </c>
      <c r="C178" t="str">
        <f ca="1"/>
        <v>D-0031</v>
      </c>
      <c r="D178" t="str">
        <f ca="1"/>
        <v xml:space="preserve">Banoful Traders </v>
      </c>
      <c r="E178" t="str">
        <f ca="1"/>
        <v>Khalishpur, Khulna.</v>
      </c>
      <c r="F178" t="str">
        <f ca="1"/>
        <v>01706-361484</v>
      </c>
      <c r="G178" t="str">
        <f ca="1"/>
        <v>Md. Mafsidul Haque(Rana)</v>
      </c>
      <c r="H178" t="str">
        <f ca="1"/>
        <v>Abdul Matin</v>
      </c>
      <c r="I178" t="str">
        <f ca="1"/>
        <v>Banoful Traders</v>
      </c>
      <c r="J178" t="str">
        <f ca="1"/>
        <v>Kashipur</v>
      </c>
      <c r="K178" t="str">
        <f ca="1"/>
        <v>LO00048</v>
      </c>
      <c r="L178" t="str">
        <f ca="1"/>
        <v>7100 4T 20W50 ESTER CORE®</v>
      </c>
      <c r="M178">
        <f ca="1"/>
        <v>24</v>
      </c>
      <c r="N178">
        <f ca="1"/>
        <v>1070</v>
      </c>
      <c r="O178">
        <f ca="1"/>
        <v>24</v>
      </c>
      <c r="P178">
        <f ca="1"/>
        <v>0</v>
      </c>
      <c r="Q178">
        <f ca="1"/>
        <v>0</v>
      </c>
      <c r="R178">
        <f ca="1"/>
        <v>1070</v>
      </c>
      <c r="S178">
        <f ca="1"/>
        <v>24</v>
      </c>
      <c r="T178">
        <f ca="1"/>
        <v>24</v>
      </c>
      <c r="U178">
        <f ca="1"/>
        <v>25680</v>
      </c>
      <c r="V178">
        <f ca="1"/>
        <v>0</v>
      </c>
      <c r="W178">
        <f ca="1"/>
        <v>25680</v>
      </c>
      <c r="X178">
        <f ca="1"/>
        <v>3349.5652173913045</v>
      </c>
      <c r="Y178">
        <f ca="1"/>
        <v>22330.434782608696</v>
      </c>
      <c r="Z178" t="str">
        <f ca="1"/>
        <v>Cash</v>
      </c>
      <c r="AA178">
        <f ca="1"/>
        <v>614</v>
      </c>
      <c r="AB178" t="str">
        <f ca="1"/>
        <v>Flat Discount</v>
      </c>
      <c r="AC178">
        <f ca="1"/>
        <v>45685</v>
      </c>
      <c r="AD178" t="str">
        <f ca="1"/>
        <v/>
      </c>
      <c r="AE178" t="str">
        <f ca="1"/>
        <v>Central</v>
      </c>
      <c r="AF178" t="str">
        <f ca="1"/>
        <v>Synthetic</v>
      </c>
      <c r="AG178" t="str">
        <f ca="1"/>
        <v>MCO</v>
      </c>
      <c r="AH178" t="str">
        <f ca="1"/>
        <v>20W50</v>
      </c>
      <c r="AI178" t="str">
        <f ca="1"/>
        <v>7100</v>
      </c>
      <c r="AJ178">
        <f ca="1"/>
        <v>0</v>
      </c>
      <c r="AK178" t="str">
        <f ca="1"/>
        <v>12x1L</v>
      </c>
      <c r="AL178">
        <f ca="1"/>
        <v>18328.761599999998</v>
      </c>
      <c r="AM178">
        <f ca="1"/>
        <v>4001.673182608698</v>
      </c>
      <c r="AN178" t="str">
        <f ca="1"/>
        <v>O-45685-D-0031</v>
      </c>
      <c r="AO178" t="str">
        <f ca="1"/>
        <v>Delivered</v>
      </c>
    </row>
    <row r="179" spans="1:41" x14ac:dyDescent="0.5">
      <c r="A179" t="str">
        <f ca="1"/>
        <v>F-145</v>
      </c>
      <c r="B179" s="1">
        <f ca="1"/>
        <v>45685</v>
      </c>
      <c r="C179" t="str">
        <f ca="1"/>
        <v>D-0031</v>
      </c>
      <c r="D179" t="str">
        <f ca="1"/>
        <v xml:space="preserve">Banoful Traders </v>
      </c>
      <c r="E179" t="str">
        <f ca="1"/>
        <v>Khalishpur, Khulna.</v>
      </c>
      <c r="F179" t="str">
        <f ca="1"/>
        <v>01706-361484</v>
      </c>
      <c r="G179" t="str">
        <f ca="1"/>
        <v>Md. Mafsidul Haque(Rana)</v>
      </c>
      <c r="H179" t="str">
        <f ca="1"/>
        <v>Abdul Matin</v>
      </c>
      <c r="I179" t="str">
        <f ca="1"/>
        <v>Banoful Traders</v>
      </c>
      <c r="J179" t="str">
        <f ca="1"/>
        <v>Kashipur</v>
      </c>
      <c r="K179" t="str">
        <f ca="1"/>
        <v>LO00119</v>
      </c>
      <c r="L179" t="str">
        <f ca="1"/>
        <v>3000 4T 20W50</v>
      </c>
      <c r="M179">
        <f ca="1"/>
        <v>100</v>
      </c>
      <c r="N179">
        <f ca="1"/>
        <v>478</v>
      </c>
      <c r="O179">
        <f ca="1"/>
        <v>100</v>
      </c>
      <c r="P179">
        <f ca="1"/>
        <v>0</v>
      </c>
      <c r="Q179">
        <f ca="1"/>
        <v>0</v>
      </c>
      <c r="R179">
        <f ca="1"/>
        <v>478</v>
      </c>
      <c r="S179">
        <f ca="1"/>
        <v>100</v>
      </c>
      <c r="T179">
        <f ca="1"/>
        <v>100</v>
      </c>
      <c r="U179">
        <f ca="1"/>
        <v>47800</v>
      </c>
      <c r="V179">
        <f ca="1"/>
        <v>0</v>
      </c>
      <c r="W179">
        <f ca="1"/>
        <v>47800</v>
      </c>
      <c r="X179">
        <f ca="1"/>
        <v>6234.782608695652</v>
      </c>
      <c r="Y179">
        <f ca="1"/>
        <v>41565.217391304344</v>
      </c>
      <c r="Z179" t="str">
        <f ca="1"/>
        <v>Cash</v>
      </c>
      <c r="AA179">
        <f ca="1"/>
        <v>614</v>
      </c>
      <c r="AB179" t="str">
        <f ca="1"/>
        <v>Flat Discount</v>
      </c>
      <c r="AC179">
        <f ca="1"/>
        <v>45685</v>
      </c>
      <c r="AD179" t="str">
        <f ca="1"/>
        <v/>
      </c>
      <c r="AE179" t="str">
        <f ca="1"/>
        <v>Central</v>
      </c>
      <c r="AF179" t="str">
        <f ca="1"/>
        <v>Mineral</v>
      </c>
      <c r="AG179" t="str">
        <f ca="1"/>
        <v>MCO</v>
      </c>
      <c r="AH179" t="str">
        <f ca="1"/>
        <v>20W50</v>
      </c>
      <c r="AI179" t="str">
        <f ca="1"/>
        <v>3000</v>
      </c>
      <c r="AJ179">
        <f ca="1"/>
        <v>0</v>
      </c>
      <c r="AK179" t="str">
        <f ca="1"/>
        <v>20x1L</v>
      </c>
      <c r="AL179">
        <f ca="1"/>
        <v>36492</v>
      </c>
      <c r="AM179">
        <f ca="1"/>
        <v>5073.2173913043443</v>
      </c>
      <c r="AN179" t="str">
        <f ca="1"/>
        <v>O-45685-D-0031</v>
      </c>
      <c r="AO179" t="str">
        <f ca="1"/>
        <v>Delivered</v>
      </c>
    </row>
    <row r="180" spans="1:41" x14ac:dyDescent="0.5">
      <c r="A180" t="str">
        <f ca="1"/>
        <v>F-146</v>
      </c>
      <c r="B180" s="1">
        <f ca="1"/>
        <v>45686</v>
      </c>
      <c r="C180" t="str">
        <f ca="1"/>
        <v>D-0026</v>
      </c>
      <c r="D180" t="str">
        <f ca="1"/>
        <v>Rangs Motors Workshop limited</v>
      </c>
      <c r="E180" t="str">
        <f ca="1"/>
        <v>Dhaka</v>
      </c>
      <c r="F180" t="str">
        <f ca="1"/>
        <v/>
      </c>
      <c r="G180" t="str">
        <f ca="1"/>
        <v>Captive Sales</v>
      </c>
      <c r="H180" t="str">
        <f ca="1"/>
        <v>Captive Sales</v>
      </c>
      <c r="I180" t="str">
        <f ca="1"/>
        <v>Ranks Motor Workshop limited</v>
      </c>
      <c r="J180" t="str">
        <f ca="1"/>
        <v>Dhaka</v>
      </c>
      <c r="K180" t="str">
        <f ca="1"/>
        <v>LO00108</v>
      </c>
      <c r="L180" t="str">
        <f ca="1"/>
        <v>ECO TEC Clean 0W20</v>
      </c>
      <c r="M180">
        <f ca="1"/>
        <v>52</v>
      </c>
      <c r="N180">
        <f ca="1"/>
        <v>2880</v>
      </c>
      <c r="O180">
        <f ca="1"/>
        <v>208</v>
      </c>
      <c r="P180">
        <f ca="1"/>
        <v>0</v>
      </c>
      <c r="Q180">
        <f ca="1"/>
        <v>0</v>
      </c>
      <c r="R180">
        <f ca="1"/>
        <v>2880</v>
      </c>
      <c r="S180">
        <f ca="1"/>
        <v>52</v>
      </c>
      <c r="T180">
        <f ca="1"/>
        <v>208</v>
      </c>
      <c r="U180">
        <f ca="1"/>
        <v>149760</v>
      </c>
      <c r="V180">
        <f ca="1"/>
        <v>0</v>
      </c>
      <c r="W180">
        <f ca="1"/>
        <v>149760</v>
      </c>
      <c r="X180">
        <f ca="1"/>
        <v>19533.91304347826</v>
      </c>
      <c r="Y180">
        <f ca="1"/>
        <v>130226.08695652174</v>
      </c>
      <c r="Z180">
        <f ca="1"/>
        <v>0</v>
      </c>
      <c r="AA180">
        <f ca="1"/>
        <v>615</v>
      </c>
      <c r="AB180" t="str">
        <f ca="1"/>
        <v>Flat Discount</v>
      </c>
      <c r="AC180">
        <f ca="1"/>
        <v>45686</v>
      </c>
      <c r="AD180" t="str">
        <f ca="1"/>
        <v/>
      </c>
      <c r="AE180" t="str">
        <f ca="1"/>
        <v>Captive Sales</v>
      </c>
      <c r="AF180" t="str">
        <f ca="1"/>
        <v>Synthetic</v>
      </c>
      <c r="AG180" t="str">
        <f ca="1"/>
        <v>PCMO</v>
      </c>
      <c r="AH180" t="str">
        <f ca="1"/>
        <v>0W20</v>
      </c>
      <c r="AI180" t="str">
        <f ca="1"/>
        <v>Clean</v>
      </c>
      <c r="AJ180">
        <f ca="1"/>
        <v>0</v>
      </c>
      <c r="AK180" t="str">
        <f ca="1"/>
        <v>4x4L</v>
      </c>
      <c r="AL180">
        <f ca="1"/>
        <v>120823.03999999999</v>
      </c>
      <c r="AM180">
        <f ca="1"/>
        <v>9403.04695652175</v>
      </c>
      <c r="AN180" t="str">
        <f ca="1"/>
        <v>O-45686-D-0026</v>
      </c>
      <c r="AO180" t="str">
        <f ca="1"/>
        <v>Delivered</v>
      </c>
    </row>
    <row r="181" spans="1:41" x14ac:dyDescent="0.5">
      <c r="A181" t="str">
        <f ca="1"/>
        <v>F-147</v>
      </c>
      <c r="B181" s="1">
        <f ca="1"/>
        <v>45686</v>
      </c>
      <c r="C181" t="str">
        <f ca="1"/>
        <v>d-0026</v>
      </c>
      <c r="D181" t="str">
        <f ca="1"/>
        <v>Rangs Motors Workshop limited</v>
      </c>
      <c r="E181" t="str">
        <f ca="1"/>
        <v>Dhaka</v>
      </c>
      <c r="F181" t="str">
        <f ca="1"/>
        <v/>
      </c>
      <c r="G181" t="str">
        <f ca="1"/>
        <v>Captive Sales</v>
      </c>
      <c r="H181" t="str">
        <f ca="1"/>
        <v>Captive Sales</v>
      </c>
      <c r="I181" t="str">
        <f ca="1"/>
        <v>Ranks Motor Workshop limited</v>
      </c>
      <c r="J181" t="str">
        <f ca="1"/>
        <v>Dhaka</v>
      </c>
      <c r="K181" t="str">
        <f ca="1"/>
        <v>LO00103</v>
      </c>
      <c r="L181" t="str">
        <f ca="1"/>
        <v>ECO TEC Plus 5W30</v>
      </c>
      <c r="M181">
        <f ca="1"/>
        <v>280</v>
      </c>
      <c r="N181">
        <f ca="1"/>
        <v>2360</v>
      </c>
      <c r="O181">
        <f ca="1"/>
        <v>1120</v>
      </c>
      <c r="P181">
        <f ca="1"/>
        <v>0</v>
      </c>
      <c r="Q181">
        <f ca="1"/>
        <v>0</v>
      </c>
      <c r="R181">
        <f ca="1"/>
        <v>2360</v>
      </c>
      <c r="S181">
        <f ca="1"/>
        <v>280</v>
      </c>
      <c r="T181">
        <f ca="1"/>
        <v>1120</v>
      </c>
      <c r="U181">
        <f ca="1"/>
        <v>660800</v>
      </c>
      <c r="V181">
        <f ca="1"/>
        <v>0</v>
      </c>
      <c r="W181">
        <f ca="1"/>
        <v>660800</v>
      </c>
      <c r="X181">
        <f ca="1"/>
        <v>86191.304347826081</v>
      </c>
      <c r="Y181">
        <f ca="1"/>
        <v>574608.69565217395</v>
      </c>
      <c r="Z181" t="str">
        <f ca="1"/>
        <v>Cash</v>
      </c>
      <c r="AA181">
        <f ca="1"/>
        <v>616</v>
      </c>
      <c r="AB181" t="str">
        <f ca="1"/>
        <v>Flat Discount</v>
      </c>
      <c r="AC181">
        <f ca="1"/>
        <v>45686</v>
      </c>
      <c r="AD181" t="str">
        <f ca="1"/>
        <v/>
      </c>
      <c r="AE181" t="str">
        <f ca="1"/>
        <v>Captive Sales</v>
      </c>
      <c r="AF181" t="str">
        <f ca="1"/>
        <v>Synthetic</v>
      </c>
      <c r="AG181" t="str">
        <f ca="1"/>
        <v>PCMO</v>
      </c>
      <c r="AH181" t="str">
        <f ca="1"/>
        <v>5W30</v>
      </c>
      <c r="AI181" t="str">
        <f ca="1"/>
        <v xml:space="preserve">ECO </v>
      </c>
      <c r="AJ181">
        <f ca="1"/>
        <v>0</v>
      </c>
      <c r="AK181" t="str">
        <f ca="1"/>
        <v>4x4L</v>
      </c>
      <c r="AL181">
        <f ca="1"/>
        <v>529835.6</v>
      </c>
      <c r="AM181">
        <f ca="1"/>
        <v>44773.095652173972</v>
      </c>
      <c r="AN181" t="str">
        <f ca="1"/>
        <v>O-45686-d-0026</v>
      </c>
      <c r="AO181" t="str">
        <f ca="1"/>
        <v>Delivered</v>
      </c>
    </row>
    <row r="182" spans="1:41" x14ac:dyDescent="0.5">
      <c r="A182" t="str">
        <f ca="1"/>
        <v>F-148</v>
      </c>
      <c r="B182" s="1">
        <f ca="1"/>
        <v>45685</v>
      </c>
      <c r="C182" t="str">
        <f ca="1"/>
        <v>D-0003</v>
      </c>
      <c r="D182" t="str">
        <f ca="1"/>
        <v>Bajaj Parts Center</v>
      </c>
      <c r="E182" t="str">
        <f ca="1"/>
        <v>Taltola, Sylhet</v>
      </c>
      <c r="F182" t="str">
        <f ca="1"/>
        <v>01711-700652</v>
      </c>
      <c r="G182" t="str">
        <f ca="1"/>
        <v>Md. Robin Sheikh</v>
      </c>
      <c r="H182" t="str">
        <f ca="1"/>
        <v>Razur Rahman (Bipul)</v>
      </c>
      <c r="I182" t="str">
        <f ca="1"/>
        <v>Bajaj Parts Center</v>
      </c>
      <c r="J182" t="str">
        <f ca="1"/>
        <v>Taltola</v>
      </c>
      <c r="K182" t="str">
        <f ca="1"/>
        <v>LO00075</v>
      </c>
      <c r="L182" t="str">
        <f ca="1"/>
        <v>2000 Multi Power 20W50</v>
      </c>
      <c r="M182">
        <f ca="1"/>
        <v>4</v>
      </c>
      <c r="N182">
        <f ca="1"/>
        <v>1800</v>
      </c>
      <c r="O182">
        <f ca="1"/>
        <v>16</v>
      </c>
      <c r="P182">
        <f ca="1"/>
        <v>0</v>
      </c>
      <c r="Q182">
        <f ca="1"/>
        <v>0</v>
      </c>
      <c r="R182">
        <f ca="1"/>
        <v>1800</v>
      </c>
      <c r="S182">
        <f ca="1"/>
        <v>4</v>
      </c>
      <c r="T182">
        <f ca="1"/>
        <v>16</v>
      </c>
      <c r="U182">
        <f ca="1"/>
        <v>7200</v>
      </c>
      <c r="V182">
        <f ca="1"/>
        <v>0</v>
      </c>
      <c r="W182">
        <f ca="1"/>
        <v>7200</v>
      </c>
      <c r="X182">
        <f ca="1"/>
        <v>939.13043478260875</v>
      </c>
      <c r="Y182">
        <f ca="1"/>
        <v>6260.869565217391</v>
      </c>
      <c r="Z182" t="str">
        <f ca="1"/>
        <v>Cash</v>
      </c>
      <c r="AA182">
        <f ca="1"/>
        <v>617</v>
      </c>
      <c r="AB182" t="str">
        <f ca="1"/>
        <v>Flat Discount</v>
      </c>
      <c r="AC182">
        <f ca="1"/>
        <v>45687</v>
      </c>
      <c r="AD182" t="str">
        <f ca="1"/>
        <v/>
      </c>
      <c r="AE182" t="str">
        <f ca="1"/>
        <v>Eastern</v>
      </c>
      <c r="AF182" t="str">
        <f ca="1"/>
        <v>Mineral</v>
      </c>
      <c r="AG182" t="str">
        <f ca="1"/>
        <v>PCMO</v>
      </c>
      <c r="AH182" t="str">
        <f ca="1"/>
        <v>20W50</v>
      </c>
      <c r="AI182" t="str">
        <f ca="1"/>
        <v>2000</v>
      </c>
      <c r="AJ182">
        <f ca="1"/>
        <v>0</v>
      </c>
      <c r="AK182" t="str">
        <f ca="1"/>
        <v>4X4L</v>
      </c>
      <c r="AL182">
        <f ca="1"/>
        <v>4381.8</v>
      </c>
      <c r="AM182">
        <f ca="1"/>
        <v>1879.0695652173908</v>
      </c>
      <c r="AN182" t="str">
        <f ca="1"/>
        <v>O-45685-D-0003</v>
      </c>
      <c r="AO182" t="str">
        <f ca="1"/>
        <v>Delivered</v>
      </c>
    </row>
    <row r="183" spans="1:41" x14ac:dyDescent="0.5">
      <c r="A183" t="str">
        <f ca="1"/>
        <v>F-148</v>
      </c>
      <c r="B183" s="1">
        <f ca="1"/>
        <v>45685</v>
      </c>
      <c r="C183" t="str">
        <f ca="1"/>
        <v>D-0003</v>
      </c>
      <c r="D183" t="str">
        <f ca="1"/>
        <v>Bajaj Parts Center</v>
      </c>
      <c r="E183" t="str">
        <f ca="1"/>
        <v>Taltola, Sylhet</v>
      </c>
      <c r="F183" t="str">
        <f ca="1"/>
        <v>01711-700652</v>
      </c>
      <c r="G183" t="str">
        <f ca="1"/>
        <v>Md. Robin Sheikh</v>
      </c>
      <c r="H183" t="str">
        <f ca="1"/>
        <v>Razur Rahman (Bipul)</v>
      </c>
      <c r="I183" t="str">
        <f ca="1"/>
        <v>Bajaj Parts Center</v>
      </c>
      <c r="J183" t="str">
        <f ca="1"/>
        <v>Taltola</v>
      </c>
      <c r="K183" t="str">
        <f ca="1"/>
        <v>LO00108</v>
      </c>
      <c r="L183" t="str">
        <f ca="1"/>
        <v>ECO TEC Clean 0W20</v>
      </c>
      <c r="M183">
        <f ca="1"/>
        <v>2</v>
      </c>
      <c r="N183">
        <f ca="1"/>
        <v>4000</v>
      </c>
      <c r="O183">
        <f ca="1"/>
        <v>8</v>
      </c>
      <c r="P183">
        <f ca="1"/>
        <v>0</v>
      </c>
      <c r="Q183">
        <f ca="1"/>
        <v>0</v>
      </c>
      <c r="R183">
        <f ca="1"/>
        <v>4000</v>
      </c>
      <c r="S183">
        <f ca="1"/>
        <v>2</v>
      </c>
      <c r="T183">
        <f ca="1"/>
        <v>8</v>
      </c>
      <c r="U183">
        <f ca="1"/>
        <v>8000</v>
      </c>
      <c r="V183">
        <f ca="1"/>
        <v>0</v>
      </c>
      <c r="W183">
        <f ca="1"/>
        <v>8000</v>
      </c>
      <c r="X183">
        <f ca="1"/>
        <v>1043.4782608695652</v>
      </c>
      <c r="Y183">
        <f ca="1"/>
        <v>6956.521739130435</v>
      </c>
      <c r="Z183" t="str">
        <f ca="1"/>
        <v>Cash</v>
      </c>
      <c r="AA183">
        <f ca="1"/>
        <v>617</v>
      </c>
      <c r="AB183" t="str">
        <f ca="1"/>
        <v>Flat Discount</v>
      </c>
      <c r="AC183">
        <f ca="1"/>
        <v>45687</v>
      </c>
      <c r="AD183" t="str">
        <f ca="1"/>
        <v/>
      </c>
      <c r="AE183" t="str">
        <f ca="1"/>
        <v>Eastern</v>
      </c>
      <c r="AF183" t="str">
        <f ca="1"/>
        <v>Synthetic</v>
      </c>
      <c r="AG183" t="str">
        <f ca="1"/>
        <v>PCMO</v>
      </c>
      <c r="AH183" t="str">
        <f ca="1"/>
        <v>0W20</v>
      </c>
      <c r="AI183" t="str">
        <f ca="1"/>
        <v>Clean</v>
      </c>
      <c r="AJ183">
        <f ca="1"/>
        <v>0</v>
      </c>
      <c r="AK183" t="str">
        <f ca="1"/>
        <v>4x4L</v>
      </c>
      <c r="AL183">
        <f ca="1"/>
        <v>4647.04</v>
      </c>
      <c r="AM183">
        <f ca="1"/>
        <v>2309.481739130435</v>
      </c>
      <c r="AN183" t="str">
        <f ca="1"/>
        <v>O-45685-D-0003</v>
      </c>
      <c r="AO183" t="str">
        <f ca="1"/>
        <v>Delivered</v>
      </c>
    </row>
    <row r="184" spans="1:41" x14ac:dyDescent="0.5">
      <c r="A184" t="str">
        <f ca="1"/>
        <v>F-149</v>
      </c>
      <c r="B184" s="1">
        <f ca="1"/>
        <v>45685</v>
      </c>
      <c r="C184" t="str">
        <f ca="1"/>
        <v>D-0003</v>
      </c>
      <c r="D184" t="str">
        <f ca="1"/>
        <v>Bajaj Parts Center</v>
      </c>
      <c r="E184" t="str">
        <f ca="1"/>
        <v>Taltola, Sylhet</v>
      </c>
      <c r="F184" t="str">
        <f ca="1"/>
        <v>01711-700652</v>
      </c>
      <c r="G184" t="str">
        <f ca="1"/>
        <v>Md. Robin Sheikh</v>
      </c>
      <c r="H184" t="str">
        <f ca="1"/>
        <v>Razur Rahman (Bipul)</v>
      </c>
      <c r="I184" t="str">
        <f ca="1"/>
        <v>Bajaj Parts Center</v>
      </c>
      <c r="J184" t="str">
        <f ca="1"/>
        <v>Taltola</v>
      </c>
      <c r="K184" t="str">
        <f ca="1"/>
        <v>LO00041</v>
      </c>
      <c r="L184" t="str">
        <f ca="1"/>
        <v>3000 4T PLUS 10W30</v>
      </c>
      <c r="M184">
        <f ca="1"/>
        <v>100</v>
      </c>
      <c r="N184">
        <f ca="1"/>
        <v>535</v>
      </c>
      <c r="O184">
        <f ca="1"/>
        <v>100</v>
      </c>
      <c r="P184">
        <f ca="1"/>
        <v>0</v>
      </c>
      <c r="Q184">
        <f ca="1"/>
        <v>0</v>
      </c>
      <c r="R184">
        <f ca="1"/>
        <v>535</v>
      </c>
      <c r="S184">
        <f ca="1"/>
        <v>100</v>
      </c>
      <c r="T184">
        <f ca="1"/>
        <v>100</v>
      </c>
      <c r="U184">
        <f ca="1"/>
        <v>53500</v>
      </c>
      <c r="V184">
        <f ca="1"/>
        <v>0</v>
      </c>
      <c r="W184">
        <f ca="1"/>
        <v>53500</v>
      </c>
      <c r="X184">
        <f ca="1"/>
        <v>6978.260869565217</v>
      </c>
      <c r="Y184">
        <f ca="1"/>
        <v>46521.739130434784</v>
      </c>
      <c r="Z184" t="str">
        <f ca="1"/>
        <v>Cash</v>
      </c>
      <c r="AA184">
        <f ca="1"/>
        <v>618</v>
      </c>
      <c r="AB184" t="str">
        <f ca="1"/>
        <v>Flat Discount</v>
      </c>
      <c r="AC184">
        <f ca="1"/>
        <v>45687</v>
      </c>
      <c r="AD184" t="str">
        <f ca="1"/>
        <v/>
      </c>
      <c r="AE184" t="str">
        <f ca="1"/>
        <v>Eastern</v>
      </c>
      <c r="AF184" t="str">
        <f ca="1"/>
        <v>Mineral</v>
      </c>
      <c r="AG184" t="str">
        <f ca="1"/>
        <v>MCO</v>
      </c>
      <c r="AH184" t="str">
        <f ca="1"/>
        <v>10W30</v>
      </c>
      <c r="AI184" t="str">
        <f ca="1"/>
        <v>3000</v>
      </c>
      <c r="AJ184">
        <f ca="1"/>
        <v>0</v>
      </c>
      <c r="AK184" t="str">
        <f ca="1"/>
        <v>20x1L</v>
      </c>
      <c r="AL184">
        <f ca="1"/>
        <v>37933</v>
      </c>
      <c r="AM184">
        <f ca="1"/>
        <v>8588.7391304347839</v>
      </c>
      <c r="AN184" t="str">
        <f ca="1"/>
        <v>O-45685-D-0003</v>
      </c>
      <c r="AO184" t="str">
        <f ca="1"/>
        <v>Delivered</v>
      </c>
    </row>
    <row r="185" spans="1:41" x14ac:dyDescent="0.5">
      <c r="A185" t="str">
        <f ca="1"/>
        <v>F-149</v>
      </c>
      <c r="B185" s="1">
        <f ca="1"/>
        <v>45685</v>
      </c>
      <c r="C185" t="str">
        <f ca="1"/>
        <v>D-0003</v>
      </c>
      <c r="D185" t="str">
        <f ca="1"/>
        <v>Bajaj Parts Center</v>
      </c>
      <c r="E185" t="str">
        <f ca="1"/>
        <v>Taltola, Sylhet</v>
      </c>
      <c r="F185" t="str">
        <f ca="1"/>
        <v>01711-700652</v>
      </c>
      <c r="G185" t="str">
        <f ca="1"/>
        <v>Md. Robin Sheikh</v>
      </c>
      <c r="H185" t="str">
        <f ca="1"/>
        <v>Razur Rahman (Bipul)</v>
      </c>
      <c r="I185" t="str">
        <f ca="1"/>
        <v>Bajaj Parts Center</v>
      </c>
      <c r="J185" t="str">
        <f ca="1"/>
        <v>Taltola</v>
      </c>
      <c r="K185" t="str">
        <f ca="1"/>
        <v>LO00043</v>
      </c>
      <c r="L185" t="str">
        <f ca="1"/>
        <v>3000 4T PLUS 10W40</v>
      </c>
      <c r="M185">
        <f ca="1"/>
        <v>400</v>
      </c>
      <c r="N185">
        <f ca="1"/>
        <v>540</v>
      </c>
      <c r="O185">
        <f ca="1"/>
        <v>400</v>
      </c>
      <c r="P185">
        <f ca="1"/>
        <v>0</v>
      </c>
      <c r="Q185">
        <f ca="1"/>
        <v>0</v>
      </c>
      <c r="R185">
        <f ca="1"/>
        <v>540</v>
      </c>
      <c r="S185">
        <f ca="1"/>
        <v>400</v>
      </c>
      <c r="T185">
        <f ca="1"/>
        <v>400</v>
      </c>
      <c r="U185">
        <f ca="1"/>
        <v>216000</v>
      </c>
      <c r="V185">
        <f ca="1"/>
        <v>0</v>
      </c>
      <c r="W185">
        <f ca="1"/>
        <v>216000</v>
      </c>
      <c r="X185">
        <f ca="1"/>
        <v>28173.91304347826</v>
      </c>
      <c r="Y185">
        <f ca="1"/>
        <v>187826.08695652173</v>
      </c>
      <c r="Z185" t="str">
        <f ca="1"/>
        <v>Cash</v>
      </c>
      <c r="AA185">
        <f ca="1"/>
        <v>618</v>
      </c>
      <c r="AB185" t="str">
        <f ca="1"/>
        <v>Flat Discount</v>
      </c>
      <c r="AC185">
        <f ca="1"/>
        <v>45687</v>
      </c>
      <c r="AD185" t="str">
        <f ca="1"/>
        <v/>
      </c>
      <c r="AE185" t="str">
        <f ca="1"/>
        <v>Eastern</v>
      </c>
      <c r="AF185" t="str">
        <f ca="1"/>
        <v>Mineral</v>
      </c>
      <c r="AG185" t="str">
        <f ca="1"/>
        <v>MCO</v>
      </c>
      <c r="AH185" t="str">
        <f ca="1"/>
        <v>10W40</v>
      </c>
      <c r="AI185" t="str">
        <f ca="1"/>
        <v>3000</v>
      </c>
      <c r="AJ185">
        <f ca="1"/>
        <v>0</v>
      </c>
      <c r="AK185" t="str">
        <f ca="1"/>
        <v>20x1L</v>
      </c>
      <c r="AL185">
        <f ca="1"/>
        <v>153940</v>
      </c>
      <c r="AM185">
        <f ca="1"/>
        <v>33886.086956521729</v>
      </c>
      <c r="AN185" t="str">
        <f ca="1"/>
        <v>O-45685-D-0003</v>
      </c>
      <c r="AO185" t="str">
        <f ca="1"/>
        <v>Delivered</v>
      </c>
    </row>
    <row r="186" spans="1:41" x14ac:dyDescent="0.5">
      <c r="A186" t="str">
        <f ca="1"/>
        <v>F-149</v>
      </c>
      <c r="B186" s="1">
        <f ca="1"/>
        <v>45685</v>
      </c>
      <c r="C186" t="str">
        <f ca="1"/>
        <v>D-0003</v>
      </c>
      <c r="D186" t="str">
        <f ca="1"/>
        <v>Bajaj Parts Center</v>
      </c>
      <c r="E186" t="str">
        <f ca="1"/>
        <v>Taltola, Sylhet</v>
      </c>
      <c r="F186" t="str">
        <f ca="1"/>
        <v>01711-700652</v>
      </c>
      <c r="G186" t="str">
        <f ca="1"/>
        <v>Md. Robin Sheikh</v>
      </c>
      <c r="H186" t="str">
        <f ca="1"/>
        <v>Razur Rahman (Bipul)</v>
      </c>
      <c r="I186" t="str">
        <f ca="1"/>
        <v>Bajaj Parts Center</v>
      </c>
      <c r="J186" t="str">
        <f ca="1"/>
        <v>Taltola</v>
      </c>
      <c r="K186" t="str">
        <f ca="1"/>
        <v>LO00044</v>
      </c>
      <c r="L186" t="str">
        <f ca="1"/>
        <v>31004T GOLD 20W50</v>
      </c>
      <c r="M186">
        <f ca="1"/>
        <v>60</v>
      </c>
      <c r="N186">
        <f ca="1"/>
        <v>600</v>
      </c>
      <c r="O186">
        <f ca="1"/>
        <v>60</v>
      </c>
      <c r="P186">
        <f ca="1"/>
        <v>0</v>
      </c>
      <c r="Q186">
        <f ca="1"/>
        <v>0</v>
      </c>
      <c r="R186">
        <f ca="1"/>
        <v>600</v>
      </c>
      <c r="S186">
        <f ca="1"/>
        <v>60</v>
      </c>
      <c r="T186">
        <f ca="1"/>
        <v>60</v>
      </c>
      <c r="U186">
        <f ca="1"/>
        <v>36000</v>
      </c>
      <c r="V186">
        <f ca="1"/>
        <v>0</v>
      </c>
      <c r="W186">
        <f ca="1"/>
        <v>36000</v>
      </c>
      <c r="X186">
        <f ca="1"/>
        <v>4695.652173913043</v>
      </c>
      <c r="Y186">
        <f ca="1"/>
        <v>31304.347826086956</v>
      </c>
      <c r="Z186" t="str">
        <f ca="1"/>
        <v>Cash</v>
      </c>
      <c r="AA186">
        <f ca="1"/>
        <v>618</v>
      </c>
      <c r="AB186" t="str">
        <f ca="1"/>
        <v>Flat Discount</v>
      </c>
      <c r="AC186">
        <f ca="1"/>
        <v>45687</v>
      </c>
      <c r="AD186" t="str">
        <f ca="1"/>
        <v/>
      </c>
      <c r="AE186" t="str">
        <f ca="1"/>
        <v>Eastern</v>
      </c>
      <c r="AF186" t="str">
        <f ca="1"/>
        <v>Technosynthese</v>
      </c>
      <c r="AG186" t="str">
        <f ca="1"/>
        <v>MCO</v>
      </c>
      <c r="AH186" t="str">
        <f ca="1"/>
        <v>20W50</v>
      </c>
      <c r="AI186" t="str">
        <f ca="1"/>
        <v>3100</v>
      </c>
      <c r="AJ186">
        <f ca="1"/>
        <v>0</v>
      </c>
      <c r="AK186" t="str">
        <f ca="1"/>
        <v>20x1L</v>
      </c>
      <c r="AL186">
        <f ca="1"/>
        <v>28163.399999999998</v>
      </c>
      <c r="AM186">
        <f ca="1"/>
        <v>3140.9478260869582</v>
      </c>
      <c r="AN186" t="str">
        <f ca="1"/>
        <v>O-45685-D-0003</v>
      </c>
      <c r="AO186" t="str">
        <f ca="1"/>
        <v>Delivered</v>
      </c>
    </row>
    <row r="187" spans="1:41" x14ac:dyDescent="0.5">
      <c r="A187" t="str">
        <f ca="1"/>
        <v>F-149</v>
      </c>
      <c r="B187" s="1">
        <f ca="1"/>
        <v>45685</v>
      </c>
      <c r="C187" t="str">
        <f ca="1"/>
        <v>D-0003</v>
      </c>
      <c r="D187" t="str">
        <f ca="1"/>
        <v>Bajaj Parts Center</v>
      </c>
      <c r="E187" t="str">
        <f ca="1"/>
        <v>Taltola, Sylhet</v>
      </c>
      <c r="F187" t="str">
        <f ca="1"/>
        <v>01711-700652</v>
      </c>
      <c r="G187" t="str">
        <f ca="1"/>
        <v>Md. Robin Sheikh</v>
      </c>
      <c r="H187" t="str">
        <f ca="1"/>
        <v>Razur Rahman (Bipul)</v>
      </c>
      <c r="I187" t="str">
        <f ca="1"/>
        <v>Bajaj Parts Center</v>
      </c>
      <c r="J187" t="str">
        <f ca="1"/>
        <v>Taltola</v>
      </c>
      <c r="K187" t="str">
        <f ca="1"/>
        <v>LO00045</v>
      </c>
      <c r="L187" t="str">
        <f ca="1"/>
        <v>51004T 10W30 ESTER</v>
      </c>
      <c r="M187">
        <f ca="1"/>
        <v>24</v>
      </c>
      <c r="N187">
        <f ca="1"/>
        <v>860</v>
      </c>
      <c r="O187">
        <f ca="1"/>
        <v>24</v>
      </c>
      <c r="P187">
        <f ca="1"/>
        <v>0</v>
      </c>
      <c r="Q187">
        <f ca="1"/>
        <v>0</v>
      </c>
      <c r="R187">
        <f ca="1"/>
        <v>860</v>
      </c>
      <c r="S187">
        <f ca="1"/>
        <v>24</v>
      </c>
      <c r="T187">
        <f ca="1"/>
        <v>24</v>
      </c>
      <c r="U187">
        <f ca="1"/>
        <v>20640</v>
      </c>
      <c r="V187">
        <f ca="1"/>
        <v>0</v>
      </c>
      <c r="W187">
        <f ca="1"/>
        <v>20640</v>
      </c>
      <c r="X187">
        <f ca="1"/>
        <v>2692.1739130434785</v>
      </c>
      <c r="Y187">
        <f ca="1"/>
        <v>17947.82608695652</v>
      </c>
      <c r="Z187" t="str">
        <f ca="1"/>
        <v>Cash</v>
      </c>
      <c r="AA187">
        <f ca="1"/>
        <v>618</v>
      </c>
      <c r="AB187" t="str">
        <f ca="1"/>
        <v>Flat Discount</v>
      </c>
      <c r="AC187">
        <f ca="1"/>
        <v>45687</v>
      </c>
      <c r="AD187" t="str">
        <f ca="1"/>
        <v/>
      </c>
      <c r="AE187" t="str">
        <f ca="1"/>
        <v>Eastern</v>
      </c>
      <c r="AF187" t="str">
        <f ca="1"/>
        <v>Technosynthese</v>
      </c>
      <c r="AG187" t="str">
        <f ca="1"/>
        <v>MCO</v>
      </c>
      <c r="AH187" t="str">
        <f ca="1"/>
        <v>10W30</v>
      </c>
      <c r="AI187" t="str">
        <f ca="1"/>
        <v>5100</v>
      </c>
      <c r="AJ187">
        <f ca="1"/>
        <v>0</v>
      </c>
      <c r="AK187" t="str">
        <f ca="1"/>
        <v>12x1L</v>
      </c>
      <c r="AL187">
        <f ca="1"/>
        <v>14463.36</v>
      </c>
      <c r="AM187">
        <f ca="1"/>
        <v>3484.4660869565196</v>
      </c>
      <c r="AN187" t="str">
        <f ca="1"/>
        <v>O-45685-D-0003</v>
      </c>
      <c r="AO187" t="str">
        <f ca="1"/>
        <v>Delivered</v>
      </c>
    </row>
    <row r="188" spans="1:41" x14ac:dyDescent="0.5">
      <c r="A188" t="str">
        <f ca="1"/>
        <v>F-151</v>
      </c>
      <c r="B188" s="1">
        <f ca="1"/>
        <v>45685</v>
      </c>
      <c r="C188" t="str">
        <f ca="1"/>
        <v>d-0025</v>
      </c>
      <c r="D188" t="str">
        <f ca="1"/>
        <v>Rancon Motor Bikes Ltd</v>
      </c>
      <c r="E188" t="str">
        <f ca="1"/>
        <v>Dhaka</v>
      </c>
      <c r="F188" t="str">
        <f ca="1"/>
        <v/>
      </c>
      <c r="G188" t="str">
        <f ca="1"/>
        <v>Captive Sales</v>
      </c>
      <c r="H188" t="str">
        <f ca="1"/>
        <v>Captive Sales</v>
      </c>
      <c r="I188" t="str">
        <f ca="1"/>
        <v>Rancon Motor Bikes Ltd</v>
      </c>
      <c r="J188" t="str">
        <f ca="1"/>
        <v>Dhaka</v>
      </c>
      <c r="K188" t="str">
        <f ca="1"/>
        <v>LO00061</v>
      </c>
      <c r="L188" t="str">
        <f ca="1"/>
        <v>300V FL 10W40 ESTER CORE®</v>
      </c>
      <c r="M188">
        <f ca="1"/>
        <v>102</v>
      </c>
      <c r="N188">
        <f ca="1"/>
        <v>1650</v>
      </c>
      <c r="O188">
        <f ca="1"/>
        <v>102</v>
      </c>
      <c r="P188">
        <f ca="1"/>
        <v>0</v>
      </c>
      <c r="Q188">
        <f ca="1"/>
        <v>0</v>
      </c>
      <c r="R188">
        <f ca="1"/>
        <v>1650</v>
      </c>
      <c r="S188">
        <f ca="1"/>
        <v>102</v>
      </c>
      <c r="T188">
        <f ca="1"/>
        <v>102</v>
      </c>
      <c r="U188">
        <f ca="1"/>
        <v>168300</v>
      </c>
      <c r="V188">
        <f ca="1"/>
        <v>0</v>
      </c>
      <c r="W188">
        <f ca="1"/>
        <v>168300</v>
      </c>
      <c r="X188">
        <f ca="1"/>
        <v>21952.17391304348</v>
      </c>
      <c r="Y188">
        <f ca="1"/>
        <v>146347.82608695651</v>
      </c>
      <c r="Z188" t="str">
        <f ca="1"/>
        <v>Cash</v>
      </c>
      <c r="AA188">
        <f ca="1"/>
        <v>620</v>
      </c>
      <c r="AB188" t="str">
        <f ca="1"/>
        <v>Flat Discount</v>
      </c>
      <c r="AC188">
        <f ca="1"/>
        <v>45687</v>
      </c>
      <c r="AD188" t="str">
        <f ca="1"/>
        <v/>
      </c>
      <c r="AE188" t="str">
        <f ca="1"/>
        <v>Captive Sales</v>
      </c>
      <c r="AF188" t="str">
        <f ca="1"/>
        <v>Synthetic</v>
      </c>
      <c r="AG188" t="str">
        <f ca="1"/>
        <v>MCO</v>
      </c>
      <c r="AH188" t="str">
        <f ca="1"/>
        <v>10W40</v>
      </c>
      <c r="AI188" t="str">
        <f ca="1"/>
        <v>300V</v>
      </c>
      <c r="AJ188">
        <f ca="1"/>
        <v>0</v>
      </c>
      <c r="AK188" t="str">
        <f ca="1"/>
        <v>12x1L</v>
      </c>
      <c r="AL188">
        <f ca="1"/>
        <v>123858.59999999999</v>
      </c>
      <c r="AM188">
        <f ca="1"/>
        <v>22489.226086956522</v>
      </c>
      <c r="AN188" t="str">
        <f ca="1"/>
        <v>O-45685-d-0025</v>
      </c>
      <c r="AO188" t="str">
        <f ca="1"/>
        <v>Delivered</v>
      </c>
    </row>
    <row r="189" spans="1:41" x14ac:dyDescent="0.5">
      <c r="A189" t="str">
        <f ca="1"/>
        <v>F-151</v>
      </c>
      <c r="B189" s="1">
        <f ca="1"/>
        <v>45685</v>
      </c>
      <c r="C189" t="str">
        <f ca="1"/>
        <v>d-0025</v>
      </c>
      <c r="D189" t="str">
        <f ca="1"/>
        <v>Rancon Motor Bikes Ltd</v>
      </c>
      <c r="E189" t="str">
        <f ca="1"/>
        <v>Dhaka</v>
      </c>
      <c r="F189" t="str">
        <f ca="1"/>
        <v/>
      </c>
      <c r="G189" t="str">
        <f ca="1"/>
        <v>Captive Sales</v>
      </c>
      <c r="H189" t="str">
        <f ca="1"/>
        <v>Captive Sales</v>
      </c>
      <c r="I189" t="str">
        <f ca="1"/>
        <v>Rancon Motor Bikes Ltd</v>
      </c>
      <c r="J189" t="str">
        <f ca="1"/>
        <v>Dhaka</v>
      </c>
      <c r="K189" t="str">
        <f ca="1"/>
        <v>LO00076</v>
      </c>
      <c r="L189" t="str">
        <f ca="1"/>
        <v>Inugel Expert Coolant</v>
      </c>
      <c r="M189">
        <f ca="1"/>
        <v>100</v>
      </c>
      <c r="N189">
        <f ca="1"/>
        <v>340</v>
      </c>
      <c r="O189">
        <f ca="1"/>
        <v>100</v>
      </c>
      <c r="P189">
        <f ca="1"/>
        <v>0</v>
      </c>
      <c r="Q189">
        <f ca="1"/>
        <v>0</v>
      </c>
      <c r="R189">
        <f ca="1"/>
        <v>340</v>
      </c>
      <c r="S189">
        <f ca="1"/>
        <v>100</v>
      </c>
      <c r="T189">
        <f ca="1"/>
        <v>100</v>
      </c>
      <c r="U189">
        <f ca="1"/>
        <v>34000</v>
      </c>
      <c r="V189">
        <f ca="1"/>
        <v>0</v>
      </c>
      <c r="W189">
        <f ca="1"/>
        <v>34000</v>
      </c>
      <c r="X189">
        <f ca="1"/>
        <v>4434.782608695652</v>
      </c>
      <c r="Y189">
        <f ca="1"/>
        <v>29565.217391304348</v>
      </c>
      <c r="Z189" t="str">
        <f ca="1"/>
        <v>Cash</v>
      </c>
      <c r="AA189">
        <f ca="1"/>
        <v>620</v>
      </c>
      <c r="AB189" t="str">
        <f ca="1"/>
        <v>Flat Discount</v>
      </c>
      <c r="AC189">
        <f ca="1"/>
        <v>45687</v>
      </c>
      <c r="AD189" t="str">
        <f ca="1"/>
        <v/>
      </c>
      <c r="AE189" t="str">
        <f ca="1"/>
        <v>Captive Sales</v>
      </c>
      <c r="AF189" t="str">
        <f ca="1"/>
        <v>Care Products</v>
      </c>
      <c r="AG189" t="str">
        <f ca="1"/>
        <v>Care Products</v>
      </c>
      <c r="AH189" t="str">
        <f ca="1"/>
        <v>Care Products</v>
      </c>
      <c r="AI189" t="str">
        <f ca="1"/>
        <v>Coolant</v>
      </c>
      <c r="AJ189">
        <f ca="1"/>
        <v>0</v>
      </c>
      <c r="AK189" t="str">
        <f ca="1"/>
        <v>20x1L</v>
      </c>
      <c r="AL189">
        <f ca="1"/>
        <v>23064</v>
      </c>
      <c r="AM189">
        <f ca="1"/>
        <v>6501.217391304348</v>
      </c>
      <c r="AN189" t="str">
        <f ca="1"/>
        <v>O-45685-d-0025</v>
      </c>
      <c r="AO189" t="str">
        <f ca="1"/>
        <v>Delivered</v>
      </c>
    </row>
    <row r="190" spans="1:41" x14ac:dyDescent="0.5">
      <c r="A190" t="str">
        <f ca="1"/>
        <v>F-150</v>
      </c>
      <c r="B190" s="1">
        <f ca="1"/>
        <v>45685</v>
      </c>
      <c r="C190" t="str">
        <f ca="1"/>
        <v>D-0055</v>
      </c>
      <c r="D190" t="str">
        <f ca="1"/>
        <v>Riters Enterprise</v>
      </c>
      <c r="E190" t="str">
        <f ca="1"/>
        <v>Dhaka</v>
      </c>
      <c r="F190" t="str">
        <f ca="1"/>
        <v/>
      </c>
      <c r="G190" t="str">
        <f ca="1"/>
        <v>Sayed Al Amin Apu</v>
      </c>
      <c r="H190" t="str">
        <f ca="1"/>
        <v>Abdul Matin</v>
      </c>
      <c r="I190" t="str">
        <f ca="1"/>
        <v>Riters Enterprise</v>
      </c>
      <c r="J190" t="str">
        <f ca="1"/>
        <v>Dhaka</v>
      </c>
      <c r="K190" t="str">
        <f ca="1"/>
        <v>LO00086</v>
      </c>
      <c r="L190" t="str">
        <f ca="1"/>
        <v>4000 Motion Plus 10W30</v>
      </c>
      <c r="M190">
        <f ca="1"/>
        <v>2</v>
      </c>
      <c r="N190">
        <f ca="1"/>
        <v>1800</v>
      </c>
      <c r="O190">
        <f ca="1"/>
        <v>8</v>
      </c>
      <c r="P190">
        <f ca="1"/>
        <v>0</v>
      </c>
      <c r="Q190">
        <f ca="1"/>
        <v>0</v>
      </c>
      <c r="R190">
        <f ca="1"/>
        <v>1800</v>
      </c>
      <c r="S190">
        <f ca="1"/>
        <v>2</v>
      </c>
      <c r="T190">
        <f ca="1"/>
        <v>8</v>
      </c>
      <c r="U190">
        <f ca="1"/>
        <v>3600</v>
      </c>
      <c r="V190">
        <f ca="1"/>
        <v>0</v>
      </c>
      <c r="W190">
        <f ca="1"/>
        <v>3600</v>
      </c>
      <c r="X190">
        <f ca="1"/>
        <v>469.56521739130437</v>
      </c>
      <c r="Y190">
        <f ca="1"/>
        <v>3130.4347826086955</v>
      </c>
      <c r="Z190" t="str">
        <f ca="1"/>
        <v>Cash</v>
      </c>
      <c r="AA190">
        <f ca="1"/>
        <v>619</v>
      </c>
      <c r="AB190" t="str">
        <f ca="1"/>
        <v>Flat Discount</v>
      </c>
      <c r="AC190">
        <f ca="1"/>
        <v>45687</v>
      </c>
      <c r="AD190" t="str">
        <f ca="1"/>
        <v/>
      </c>
      <c r="AE190" t="str">
        <f ca="1"/>
        <v>Central</v>
      </c>
      <c r="AF190" t="str">
        <f ca="1"/>
        <v>Mineral</v>
      </c>
      <c r="AG190" t="str">
        <f ca="1"/>
        <v>PCMO</v>
      </c>
      <c r="AH190" t="str">
        <f ca="1"/>
        <v>10W30</v>
      </c>
      <c r="AI190" t="str">
        <f ca="1"/>
        <v>4000</v>
      </c>
      <c r="AJ190">
        <f ca="1"/>
        <v>0</v>
      </c>
      <c r="AK190" t="str">
        <f ca="1"/>
        <v>4x4L</v>
      </c>
      <c r="AL190">
        <f ca="1"/>
        <v>2905.48</v>
      </c>
      <c r="AM190">
        <f ca="1"/>
        <v>224.9547826086955</v>
      </c>
      <c r="AN190" t="str">
        <f ca="1"/>
        <v>O-45685-D-0055</v>
      </c>
      <c r="AO190" t="str">
        <f ca="1"/>
        <v>Delivered</v>
      </c>
    </row>
    <row r="191" spans="1:41" x14ac:dyDescent="0.5">
      <c r="A191" t="str">
        <f ca="1"/>
        <v>F-152</v>
      </c>
      <c r="B191" s="1">
        <f ca="1"/>
        <v>45685</v>
      </c>
      <c r="C191" t="str">
        <f ca="1"/>
        <v>D-0025</v>
      </c>
      <c r="D191" t="str">
        <f ca="1"/>
        <v>Rancon Motor Bikes Ltd</v>
      </c>
      <c r="E191" t="str">
        <f ca="1"/>
        <v>Dhaka</v>
      </c>
      <c r="F191" t="str">
        <f ca="1"/>
        <v/>
      </c>
      <c r="G191" t="str">
        <f ca="1"/>
        <v>Captive Sales</v>
      </c>
      <c r="H191" t="str">
        <f ca="1"/>
        <v>Captive Sales</v>
      </c>
      <c r="I191" t="str">
        <f ca="1"/>
        <v>Rancon Motor Bikes Ltd</v>
      </c>
      <c r="J191" t="str">
        <f ca="1"/>
        <v>Dhaka</v>
      </c>
      <c r="K191" t="str">
        <f ca="1"/>
        <v>LO00046</v>
      </c>
      <c r="L191" t="str">
        <f ca="1"/>
        <v>51004T 10W40 ESTER</v>
      </c>
      <c r="M191">
        <f ca="1"/>
        <v>492</v>
      </c>
      <c r="N191">
        <f ca="1"/>
        <v>830</v>
      </c>
      <c r="O191">
        <f ca="1"/>
        <v>492</v>
      </c>
      <c r="P191">
        <f ca="1"/>
        <v>0</v>
      </c>
      <c r="Q191">
        <f ca="1"/>
        <v>0</v>
      </c>
      <c r="R191">
        <f ca="1"/>
        <v>830</v>
      </c>
      <c r="S191">
        <f ca="1"/>
        <v>492</v>
      </c>
      <c r="T191">
        <f ca="1"/>
        <v>492</v>
      </c>
      <c r="U191">
        <f ca="1"/>
        <v>408360</v>
      </c>
      <c r="V191">
        <f ca="1"/>
        <v>0</v>
      </c>
      <c r="W191">
        <f ca="1"/>
        <v>408360</v>
      </c>
      <c r="X191">
        <f ca="1"/>
        <v>53264.34782608696</v>
      </c>
      <c r="Y191">
        <f ca="1"/>
        <v>355095.65217391303</v>
      </c>
      <c r="Z191" t="str">
        <f ca="1"/>
        <v>Cash</v>
      </c>
      <c r="AA191">
        <f ca="1"/>
        <v>621</v>
      </c>
      <c r="AB191" t="str">
        <f ca="1"/>
        <v>Flat Discount</v>
      </c>
      <c r="AC191">
        <f ca="1"/>
        <v>45687</v>
      </c>
      <c r="AD191" t="str">
        <f ca="1"/>
        <v/>
      </c>
      <c r="AE191" t="str">
        <f ca="1"/>
        <v>Captive Sales</v>
      </c>
      <c r="AF191" t="str">
        <f ca="1"/>
        <v>Technosynthese</v>
      </c>
      <c r="AG191" t="str">
        <f ca="1"/>
        <v>MCO</v>
      </c>
      <c r="AH191" t="str">
        <f ca="1"/>
        <v>10W40</v>
      </c>
      <c r="AI191" t="str">
        <f ca="1"/>
        <v>5100</v>
      </c>
      <c r="AJ191">
        <f ca="1"/>
        <v>0</v>
      </c>
      <c r="AK191" t="str">
        <f ca="1"/>
        <v>12x1L</v>
      </c>
      <c r="AL191">
        <f ca="1"/>
        <v>299298.36000000004</v>
      </c>
      <c r="AM191">
        <f ca="1"/>
        <v>55797.292173912982</v>
      </c>
      <c r="AN191" t="str">
        <f ca="1"/>
        <v>O-45685-D-0025</v>
      </c>
      <c r="AO191" t="str">
        <f ca="1"/>
        <v>Delivered</v>
      </c>
    </row>
    <row r="192" spans="1:41" x14ac:dyDescent="0.5">
      <c r="A192" t="str">
        <f ca="1"/>
        <v>F-152</v>
      </c>
      <c r="B192" s="1">
        <f ca="1"/>
        <v>45685</v>
      </c>
      <c r="C192" t="str">
        <f ca="1"/>
        <v>D-0025</v>
      </c>
      <c r="D192" t="str">
        <f ca="1"/>
        <v>Rancon Motor Bikes Ltd</v>
      </c>
      <c r="E192" t="str">
        <f ca="1"/>
        <v>Dhaka</v>
      </c>
      <c r="F192" t="str">
        <f ca="1"/>
        <v/>
      </c>
      <c r="G192" t="str">
        <f ca="1"/>
        <v>Captive Sales</v>
      </c>
      <c r="H192" t="str">
        <f ca="1"/>
        <v>Captive Sales</v>
      </c>
      <c r="I192" t="str">
        <f ca="1"/>
        <v>Rancon Motor Bikes Ltd</v>
      </c>
      <c r="J192" t="str">
        <f ca="1"/>
        <v>Dhaka</v>
      </c>
      <c r="K192" t="str">
        <f ca="1"/>
        <v>LO00047</v>
      </c>
      <c r="L192" t="str">
        <f ca="1"/>
        <v>7100 4T 10W40 ESTER CORE®</v>
      </c>
      <c r="M192">
        <f ca="1"/>
        <v>4500</v>
      </c>
      <c r="N192">
        <f ca="1"/>
        <v>1040</v>
      </c>
      <c r="O192">
        <f ca="1"/>
        <v>4500</v>
      </c>
      <c r="P192">
        <f ca="1"/>
        <v>0</v>
      </c>
      <c r="Q192">
        <f ca="1"/>
        <v>0</v>
      </c>
      <c r="R192">
        <f ca="1"/>
        <v>1040</v>
      </c>
      <c r="S192">
        <f ca="1"/>
        <v>4500</v>
      </c>
      <c r="T192">
        <f ca="1"/>
        <v>4500</v>
      </c>
      <c r="U192">
        <f ca="1"/>
        <v>4680000</v>
      </c>
      <c r="V192">
        <f ca="1"/>
        <v>0</v>
      </c>
      <c r="W192">
        <f ca="1"/>
        <v>4680000</v>
      </c>
      <c r="X192">
        <f ca="1"/>
        <v>610434.78260869568</v>
      </c>
      <c r="Y192">
        <f ca="1"/>
        <v>4069565.2173913042</v>
      </c>
      <c r="Z192" t="str">
        <f ca="1"/>
        <v>Cash</v>
      </c>
      <c r="AA192">
        <f ca="1"/>
        <v>621</v>
      </c>
      <c r="AB192" t="str">
        <f ca="1"/>
        <v>Flat Discount</v>
      </c>
      <c r="AC192">
        <f ca="1"/>
        <v>45687</v>
      </c>
      <c r="AD192" t="str">
        <f ca="1"/>
        <v/>
      </c>
      <c r="AE192" t="str">
        <f ca="1"/>
        <v>Captive Sales</v>
      </c>
      <c r="AF192" t="str">
        <f ca="1"/>
        <v>Synthetic</v>
      </c>
      <c r="AG192" t="str">
        <f ca="1"/>
        <v>MCO</v>
      </c>
      <c r="AH192" t="str">
        <f ca="1"/>
        <v>10W40</v>
      </c>
      <c r="AI192" t="str">
        <f ca="1"/>
        <v>7100</v>
      </c>
      <c r="AJ192">
        <f ca="1"/>
        <v>0</v>
      </c>
      <c r="AK192" t="str">
        <f ca="1"/>
        <v>12x1L</v>
      </c>
      <c r="AL192">
        <f ca="1"/>
        <v>3122955</v>
      </c>
      <c r="AM192">
        <f ca="1"/>
        <v>946610.21739130421</v>
      </c>
      <c r="AN192" t="str">
        <f ca="1"/>
        <v>O-45685-D-0025</v>
      </c>
      <c r="AO192" t="str">
        <f ca="1"/>
        <v>Delivered</v>
      </c>
    </row>
    <row r="193" spans="1:41" x14ac:dyDescent="0.5">
      <c r="A193" t="str">
        <f ca="1"/>
        <v>F-153</v>
      </c>
      <c r="B193" s="1">
        <f ca="1"/>
        <v>45687</v>
      </c>
      <c r="C193" t="str">
        <f ca="1"/>
        <v>D-0009</v>
      </c>
      <c r="D193" t="str">
        <f ca="1"/>
        <v>Surma Trading Agency</v>
      </c>
      <c r="E193" t="str">
        <f ca="1"/>
        <v>4/4, Saidabad, Dhaka-1100.</v>
      </c>
      <c r="F193" t="str">
        <f ca="1"/>
        <v>01784398413</v>
      </c>
      <c r="G193" t="str">
        <f ca="1"/>
        <v>Mahamudul Hasan Milon</v>
      </c>
      <c r="H193" t="str">
        <f ca="1"/>
        <v>Abdul Matin</v>
      </c>
      <c r="I193" t="str">
        <f ca="1"/>
        <v>Surma trading</v>
      </c>
      <c r="J193" t="str">
        <f ca="1"/>
        <v>Saydabad</v>
      </c>
      <c r="K193" t="str">
        <f ca="1"/>
        <v>LO00041</v>
      </c>
      <c r="L193" t="str">
        <f ca="1"/>
        <v>3000 4T PLUS 10W30</v>
      </c>
      <c r="M193">
        <f ca="1"/>
        <v>1200</v>
      </c>
      <c r="N193">
        <f ca="1"/>
        <v>530</v>
      </c>
      <c r="O193">
        <f ca="1"/>
        <v>1200</v>
      </c>
      <c r="P193">
        <f ca="1"/>
        <v>0</v>
      </c>
      <c r="Q193">
        <f ca="1"/>
        <v>0</v>
      </c>
      <c r="R193">
        <f ca="1"/>
        <v>530</v>
      </c>
      <c r="S193">
        <f ca="1"/>
        <v>1200</v>
      </c>
      <c r="T193">
        <f ca="1"/>
        <v>1200</v>
      </c>
      <c r="U193">
        <f ca="1"/>
        <v>636000</v>
      </c>
      <c r="V193">
        <f ca="1"/>
        <v>0</v>
      </c>
      <c r="W193">
        <f ca="1"/>
        <v>636000</v>
      </c>
      <c r="X193">
        <f ca="1"/>
        <v>82956.521739130432</v>
      </c>
      <c r="Y193">
        <f ca="1"/>
        <v>553043.47826086951</v>
      </c>
      <c r="Z193" t="str">
        <f ca="1"/>
        <v>Cash</v>
      </c>
      <c r="AA193">
        <f ca="1"/>
        <v>622</v>
      </c>
      <c r="AB193" t="str">
        <f ca="1"/>
        <v>Flat Discount</v>
      </c>
      <c r="AC193">
        <f ca="1"/>
        <v>45687</v>
      </c>
      <c r="AD193" t="str">
        <f ca="1"/>
        <v>No transport allowance will be provided.</v>
      </c>
      <c r="AE193" t="str">
        <f ca="1"/>
        <v>Central</v>
      </c>
      <c r="AF193" t="str">
        <f ca="1"/>
        <v>Mineral</v>
      </c>
      <c r="AG193" t="str">
        <f ca="1"/>
        <v>MCO</v>
      </c>
      <c r="AH193" t="str">
        <f ca="1"/>
        <v>10W30</v>
      </c>
      <c r="AI193" t="str">
        <f ca="1"/>
        <v>3000</v>
      </c>
      <c r="AJ193">
        <f ca="1"/>
        <v>0</v>
      </c>
      <c r="AK193" t="str">
        <f ca="1"/>
        <v>20x1L</v>
      </c>
      <c r="AL193">
        <f ca="1"/>
        <v>455196</v>
      </c>
      <c r="AM193">
        <f ca="1"/>
        <v>97847.47826086951</v>
      </c>
      <c r="AN193" t="str">
        <f ca="1"/>
        <v>O-45687-D-0009</v>
      </c>
      <c r="AO193" t="str">
        <f ca="1"/>
        <v>Delivered</v>
      </c>
    </row>
    <row r="194" spans="1:41" x14ac:dyDescent="0.5">
      <c r="A194" t="str">
        <f ca="1"/>
        <v>F-153</v>
      </c>
      <c r="B194" s="1">
        <f ca="1"/>
        <v>45687</v>
      </c>
      <c r="C194" t="str">
        <f ca="1"/>
        <v>D-0009</v>
      </c>
      <c r="D194" t="str">
        <f ca="1"/>
        <v>Surma Trading Agency</v>
      </c>
      <c r="E194" t="str">
        <f ca="1"/>
        <v>4/4, Saidabad, Dhaka-1100.</v>
      </c>
      <c r="F194" t="str">
        <f ca="1"/>
        <v>01784398413</v>
      </c>
      <c r="G194" t="str">
        <f ca="1"/>
        <v>Mahamudul Hasan Milon</v>
      </c>
      <c r="H194" t="str">
        <f ca="1"/>
        <v>Abdul Matin</v>
      </c>
      <c r="I194" t="str">
        <f ca="1"/>
        <v>Surma trading</v>
      </c>
      <c r="J194" t="str">
        <f ca="1"/>
        <v>Saydabad</v>
      </c>
      <c r="K194" t="str">
        <f ca="1"/>
        <v>LO00042</v>
      </c>
      <c r="L194" t="str">
        <f ca="1"/>
        <v>3000 4T PLUS 20W40</v>
      </c>
      <c r="M194">
        <f ca="1"/>
        <v>1200</v>
      </c>
      <c r="N194">
        <f ca="1"/>
        <v>530</v>
      </c>
      <c r="O194">
        <f ca="1"/>
        <v>1200</v>
      </c>
      <c r="P194">
        <f ca="1"/>
        <v>0</v>
      </c>
      <c r="Q194">
        <f ca="1"/>
        <v>0</v>
      </c>
      <c r="R194">
        <f ca="1"/>
        <v>530</v>
      </c>
      <c r="S194">
        <f ca="1"/>
        <v>1200</v>
      </c>
      <c r="T194">
        <f ca="1"/>
        <v>1200</v>
      </c>
      <c r="U194">
        <f ca="1"/>
        <v>636000</v>
      </c>
      <c r="V194">
        <f ca="1"/>
        <v>0</v>
      </c>
      <c r="W194">
        <f ca="1"/>
        <v>636000</v>
      </c>
      <c r="X194">
        <f ca="1"/>
        <v>82956.521739130432</v>
      </c>
      <c r="Y194">
        <f ca="1"/>
        <v>553043.47826086951</v>
      </c>
      <c r="Z194" t="str">
        <f ca="1"/>
        <v>Cash</v>
      </c>
      <c r="AA194">
        <f ca="1"/>
        <v>622</v>
      </c>
      <c r="AB194" t="str">
        <f ca="1"/>
        <v>Flat Discount</v>
      </c>
      <c r="AC194">
        <f ca="1"/>
        <v>45687</v>
      </c>
      <c r="AD194" t="str">
        <f ca="1"/>
        <v>No transport allowance will be provided.</v>
      </c>
      <c r="AE194" t="str">
        <f ca="1"/>
        <v>Central</v>
      </c>
      <c r="AF194" t="str">
        <f ca="1"/>
        <v>Mineral</v>
      </c>
      <c r="AG194" t="str">
        <f ca="1"/>
        <v>MCO</v>
      </c>
      <c r="AH194" t="str">
        <f ca="1"/>
        <v>20W40</v>
      </c>
      <c r="AI194" t="str">
        <f ca="1"/>
        <v>3000</v>
      </c>
      <c r="AJ194">
        <f ca="1"/>
        <v>0</v>
      </c>
      <c r="AK194" t="str">
        <f ca="1"/>
        <v>20x1L</v>
      </c>
      <c r="AL194">
        <f ca="1"/>
        <v>495312</v>
      </c>
      <c r="AM194">
        <f ca="1"/>
        <v>57731.47826086951</v>
      </c>
      <c r="AN194" t="str">
        <f ca="1"/>
        <v>O-45687-D-0009</v>
      </c>
      <c r="AO194" t="str">
        <f ca="1"/>
        <v>Delivered</v>
      </c>
    </row>
    <row r="195" spans="1:41" x14ac:dyDescent="0.5">
      <c r="A195" t="str">
        <f ca="1"/>
        <v>F-153</v>
      </c>
      <c r="B195" s="1">
        <f ca="1"/>
        <v>45687</v>
      </c>
      <c r="C195" t="str">
        <f ca="1"/>
        <v>D-0009</v>
      </c>
      <c r="D195" t="str">
        <f ca="1"/>
        <v>Surma Trading Agency</v>
      </c>
      <c r="E195" t="str">
        <f ca="1"/>
        <v>4/4, Saidabad, Dhaka-1100.</v>
      </c>
      <c r="F195" t="str">
        <f ca="1"/>
        <v>01784398413</v>
      </c>
      <c r="G195" t="str">
        <f ca="1"/>
        <v>Mahamudul Hasan Milon</v>
      </c>
      <c r="H195" t="str">
        <f ca="1"/>
        <v>Abdul Matin</v>
      </c>
      <c r="I195" t="str">
        <f ca="1"/>
        <v>Surma trading</v>
      </c>
      <c r="J195" t="str">
        <f ca="1"/>
        <v>Saydabad</v>
      </c>
      <c r="K195" t="str">
        <f ca="1"/>
        <v>LO00074</v>
      </c>
      <c r="L195" t="str">
        <f ca="1"/>
        <v>7100 4T 10W30 ESTER CORE®</v>
      </c>
      <c r="M195">
        <f ca="1"/>
        <v>240</v>
      </c>
      <c r="N195">
        <f ca="1"/>
        <v>1060</v>
      </c>
      <c r="O195">
        <f ca="1"/>
        <v>240</v>
      </c>
      <c r="P195">
        <f ca="1"/>
        <v>0</v>
      </c>
      <c r="Q195">
        <f ca="1"/>
        <v>0</v>
      </c>
      <c r="R195">
        <f ca="1"/>
        <v>1060</v>
      </c>
      <c r="S195">
        <f ca="1"/>
        <v>240</v>
      </c>
      <c r="T195">
        <f ca="1"/>
        <v>240</v>
      </c>
      <c r="U195">
        <f ca="1"/>
        <v>254400</v>
      </c>
      <c r="V195">
        <f ca="1"/>
        <v>0</v>
      </c>
      <c r="W195">
        <f ca="1"/>
        <v>254400</v>
      </c>
      <c r="X195">
        <f ca="1"/>
        <v>33182.608695652176</v>
      </c>
      <c r="Y195">
        <f ca="1"/>
        <v>221217.39130434784</v>
      </c>
      <c r="Z195" t="str">
        <f ca="1"/>
        <v>Cash</v>
      </c>
      <c r="AA195">
        <f ca="1"/>
        <v>622</v>
      </c>
      <c r="AB195" t="str">
        <f ca="1"/>
        <v>Flat Discount</v>
      </c>
      <c r="AC195">
        <f ca="1"/>
        <v>45687</v>
      </c>
      <c r="AD195" t="str">
        <f ca="1"/>
        <v>No transport allowance will be provided.</v>
      </c>
      <c r="AE195" t="str">
        <f ca="1"/>
        <v>Central</v>
      </c>
      <c r="AF195" t="str">
        <f ca="1"/>
        <v>Synthetic</v>
      </c>
      <c r="AG195" t="str">
        <f ca="1"/>
        <v>MCO</v>
      </c>
      <c r="AH195" t="str">
        <f ca="1"/>
        <v>10W30</v>
      </c>
      <c r="AI195" t="str">
        <f ca="1"/>
        <v>7100</v>
      </c>
      <c r="AJ195">
        <f ca="1"/>
        <v>0</v>
      </c>
      <c r="AK195" t="str">
        <f ca="1"/>
        <v>12x1L</v>
      </c>
      <c r="AL195">
        <f ca="1"/>
        <v>165566.39999999999</v>
      </c>
      <c r="AM195">
        <f ca="1"/>
        <v>55650.991304347845</v>
      </c>
      <c r="AN195" t="str">
        <f ca="1"/>
        <v>O-45687-D-0009</v>
      </c>
      <c r="AO195" t="str">
        <f ca="1"/>
        <v>Delivered</v>
      </c>
    </row>
    <row r="196" spans="1:41" x14ac:dyDescent="0.5">
      <c r="A196" t="str">
        <f ca="1"/>
        <v>F-153</v>
      </c>
      <c r="B196" s="1">
        <f ca="1"/>
        <v>45687</v>
      </c>
      <c r="C196" t="str">
        <f ca="1"/>
        <v>D-0009</v>
      </c>
      <c r="D196" t="str">
        <f ca="1"/>
        <v>Surma Trading Agency</v>
      </c>
      <c r="E196" t="str">
        <f ca="1"/>
        <v>4/4, Saidabad, Dhaka-1100.</v>
      </c>
      <c r="F196" t="str">
        <f ca="1"/>
        <v>01784398413</v>
      </c>
      <c r="G196" t="str">
        <f ca="1"/>
        <v>Mahamudul Hasan Milon</v>
      </c>
      <c r="H196" t="str">
        <f ca="1"/>
        <v>Abdul Matin</v>
      </c>
      <c r="I196" t="str">
        <f ca="1"/>
        <v>Surma trading</v>
      </c>
      <c r="J196" t="str">
        <f ca="1"/>
        <v>Saydabad</v>
      </c>
      <c r="K196" t="str">
        <f ca="1"/>
        <v>LO00048</v>
      </c>
      <c r="L196" t="str">
        <f ca="1"/>
        <v>7100 4T 20W50 ESTER CORE®</v>
      </c>
      <c r="M196">
        <f ca="1"/>
        <v>120</v>
      </c>
      <c r="N196">
        <f ca="1"/>
        <v>1070</v>
      </c>
      <c r="O196">
        <f ca="1"/>
        <v>120</v>
      </c>
      <c r="P196">
        <f ca="1"/>
        <v>0</v>
      </c>
      <c r="Q196">
        <f ca="1"/>
        <v>0</v>
      </c>
      <c r="R196">
        <f ca="1"/>
        <v>1070</v>
      </c>
      <c r="S196">
        <f ca="1"/>
        <v>120</v>
      </c>
      <c r="T196">
        <f ca="1"/>
        <v>120</v>
      </c>
      <c r="U196">
        <f ca="1"/>
        <v>128400</v>
      </c>
      <c r="V196">
        <f ca="1"/>
        <v>0</v>
      </c>
      <c r="W196">
        <f ca="1"/>
        <v>128400</v>
      </c>
      <c r="X196">
        <f ca="1"/>
        <v>16747.82608695652</v>
      </c>
      <c r="Y196">
        <f ca="1"/>
        <v>111652.17391304347</v>
      </c>
      <c r="Z196" t="str">
        <f ca="1"/>
        <v>Cash</v>
      </c>
      <c r="AA196">
        <f ca="1"/>
        <v>622</v>
      </c>
      <c r="AB196" t="str">
        <f ca="1"/>
        <v>Flat Discount</v>
      </c>
      <c r="AC196">
        <f ca="1"/>
        <v>45687</v>
      </c>
      <c r="AD196" t="str">
        <f ca="1"/>
        <v>No transport allowance will be provided.</v>
      </c>
      <c r="AE196" t="str">
        <f ca="1"/>
        <v>Central</v>
      </c>
      <c r="AF196" t="str">
        <f ca="1"/>
        <v>Synthetic</v>
      </c>
      <c r="AG196" t="str">
        <f ca="1"/>
        <v>MCO</v>
      </c>
      <c r="AH196" t="str">
        <f ca="1"/>
        <v>20W50</v>
      </c>
      <c r="AI196" t="str">
        <f ca="1"/>
        <v>7100</v>
      </c>
      <c r="AJ196">
        <f ca="1"/>
        <v>0</v>
      </c>
      <c r="AK196" t="str">
        <f ca="1"/>
        <v>12x1L</v>
      </c>
      <c r="AL196">
        <f ca="1"/>
        <v>91643.808000000005</v>
      </c>
      <c r="AM196">
        <f ca="1"/>
        <v>20008.365913043468</v>
      </c>
      <c r="AN196" t="str">
        <f ca="1"/>
        <v>O-45687-D-0009</v>
      </c>
      <c r="AO196" t="str">
        <f ca="1"/>
        <v>Delivered</v>
      </c>
    </row>
    <row r="197" spans="1:41" x14ac:dyDescent="0.5">
      <c r="A197" t="str">
        <f ca="1"/>
        <v>F-153</v>
      </c>
      <c r="B197" s="1">
        <f ca="1"/>
        <v>45687</v>
      </c>
      <c r="C197" t="str">
        <f ca="1"/>
        <v>D-0009</v>
      </c>
      <c r="D197" t="str">
        <f ca="1"/>
        <v>Surma Trading Agency</v>
      </c>
      <c r="E197" t="str">
        <f ca="1"/>
        <v>4/4, Saidabad, Dhaka-1100.</v>
      </c>
      <c r="F197" t="str">
        <f ca="1"/>
        <v>01784398413</v>
      </c>
      <c r="G197" t="str">
        <f ca="1"/>
        <v>Mahamudul Hasan Milon</v>
      </c>
      <c r="H197" t="str">
        <f ca="1"/>
        <v>Abdul Matin</v>
      </c>
      <c r="I197" t="str">
        <f ca="1"/>
        <v>Surma trading</v>
      </c>
      <c r="J197" t="str">
        <f ca="1"/>
        <v>Saydabad</v>
      </c>
      <c r="K197" t="str">
        <f ca="1"/>
        <v>LO00072</v>
      </c>
      <c r="L197" t="str">
        <f ca="1"/>
        <v>Scooter LE 4T 10W30 HC-TECH®</v>
      </c>
      <c r="M197">
        <f ca="1"/>
        <v>300</v>
      </c>
      <c r="N197">
        <f ca="1"/>
        <v>485</v>
      </c>
      <c r="O197">
        <f ca="1"/>
        <v>240</v>
      </c>
      <c r="P197">
        <f ca="1"/>
        <v>0</v>
      </c>
      <c r="Q197">
        <f ca="1"/>
        <v>0</v>
      </c>
      <c r="R197">
        <f ca="1"/>
        <v>485</v>
      </c>
      <c r="S197">
        <f ca="1"/>
        <v>300</v>
      </c>
      <c r="T197">
        <f ca="1"/>
        <v>240</v>
      </c>
      <c r="U197">
        <f ca="1"/>
        <v>145500</v>
      </c>
      <c r="V197">
        <f ca="1"/>
        <v>0</v>
      </c>
      <c r="W197">
        <f ca="1"/>
        <v>145500</v>
      </c>
      <c r="X197">
        <f ca="1"/>
        <v>18978.260869565216</v>
      </c>
      <c r="Y197">
        <f ca="1"/>
        <v>126521.73913043478</v>
      </c>
      <c r="Z197" t="str">
        <f ca="1"/>
        <v>Cash</v>
      </c>
      <c r="AA197">
        <f ca="1"/>
        <v>622</v>
      </c>
      <c r="AB197" t="str">
        <f ca="1"/>
        <v>Flat Discount</v>
      </c>
      <c r="AC197">
        <f ca="1"/>
        <v>45687</v>
      </c>
      <c r="AD197" t="str">
        <f ca="1"/>
        <v>No transport allowance will be provided.</v>
      </c>
      <c r="AE197" t="str">
        <f ca="1"/>
        <v>Central</v>
      </c>
      <c r="AF197" t="str">
        <f ca="1"/>
        <v>Mineral</v>
      </c>
      <c r="AG197" t="str">
        <f ca="1"/>
        <v>MCO</v>
      </c>
      <c r="AH197" t="str">
        <f ca="1"/>
        <v>10W30</v>
      </c>
      <c r="AI197" t="str">
        <f ca="1"/>
        <v>Scooter</v>
      </c>
      <c r="AJ197">
        <f ca="1"/>
        <v>0</v>
      </c>
      <c r="AK197" t="str">
        <f ca="1"/>
        <v>20x0.8L</v>
      </c>
      <c r="AL197">
        <f ca="1"/>
        <v>99999</v>
      </c>
      <c r="AM197">
        <f ca="1"/>
        <v>26522.739130434784</v>
      </c>
      <c r="AN197" t="str">
        <f ca="1"/>
        <v>O-45687-D-0009</v>
      </c>
      <c r="AO197" t="str">
        <f ca="1"/>
        <v>Delivered</v>
      </c>
    </row>
    <row r="198" spans="1:41" x14ac:dyDescent="0.5">
      <c r="A198" t="str">
        <f ca="1"/>
        <v>F-153</v>
      </c>
      <c r="B198" s="1">
        <f ca="1"/>
        <v>45687</v>
      </c>
      <c r="C198" t="str">
        <f ca="1"/>
        <v>D-0009</v>
      </c>
      <c r="D198" t="str">
        <f ca="1"/>
        <v>Surma Trading Agency</v>
      </c>
      <c r="E198" t="str">
        <f ca="1"/>
        <v>4/4, Saidabad, Dhaka-1100.</v>
      </c>
      <c r="F198" t="str">
        <f ca="1"/>
        <v>01784398413</v>
      </c>
      <c r="G198" t="str">
        <f ca="1"/>
        <v>Mahamudul Hasan Milon</v>
      </c>
      <c r="H198" t="str">
        <f ca="1"/>
        <v>Abdul Matin</v>
      </c>
      <c r="I198" t="str">
        <f ca="1"/>
        <v>Surma trading</v>
      </c>
      <c r="J198" t="str">
        <f ca="1"/>
        <v>Saydabad</v>
      </c>
      <c r="K198" t="str">
        <f ca="1"/>
        <v>LO00104</v>
      </c>
      <c r="L198" t="str">
        <f ca="1"/>
        <v>7100 4T 10W30 ESTER CORE®</v>
      </c>
      <c r="M198">
        <f ca="1"/>
        <v>100</v>
      </c>
      <c r="N198">
        <f ca="1"/>
        <v>1295</v>
      </c>
      <c r="O198">
        <f ca="1"/>
        <v>120</v>
      </c>
      <c r="P198">
        <f ca="1"/>
        <v>0</v>
      </c>
      <c r="Q198">
        <f ca="1"/>
        <v>0</v>
      </c>
      <c r="R198">
        <f ca="1"/>
        <v>1295</v>
      </c>
      <c r="S198">
        <f ca="1"/>
        <v>100</v>
      </c>
      <c r="T198">
        <f ca="1"/>
        <v>120</v>
      </c>
      <c r="U198">
        <f ca="1"/>
        <v>129500</v>
      </c>
      <c r="V198">
        <f ca="1"/>
        <v>0</v>
      </c>
      <c r="W198">
        <f ca="1"/>
        <v>129500</v>
      </c>
      <c r="X198">
        <f ca="1"/>
        <v>16891.304347826088</v>
      </c>
      <c r="Y198">
        <f ca="1"/>
        <v>112608.69565217392</v>
      </c>
      <c r="Z198" t="str">
        <f ca="1"/>
        <v>Cash</v>
      </c>
      <c r="AA198">
        <f ca="1"/>
        <v>622</v>
      </c>
      <c r="AB198" t="str">
        <f ca="1"/>
        <v>Flat Discount</v>
      </c>
      <c r="AC198">
        <f ca="1"/>
        <v>45687</v>
      </c>
      <c r="AD198" t="str">
        <f ca="1"/>
        <v>No transport allowance will be provided.</v>
      </c>
      <c r="AE198" t="str">
        <f ca="1"/>
        <v>Central</v>
      </c>
      <c r="AF198" t="str">
        <f ca="1"/>
        <v>Synthetic</v>
      </c>
      <c r="AG198" t="str">
        <f ca="1"/>
        <v>MCO</v>
      </c>
      <c r="AH198" t="str">
        <f ca="1"/>
        <v>10W30</v>
      </c>
      <c r="AI198" t="str">
        <f ca="1"/>
        <v>7100</v>
      </c>
      <c r="AJ198">
        <f ca="1"/>
        <v>0</v>
      </c>
      <c r="AK198" t="str">
        <f ca="1"/>
        <v>20x1.2L</v>
      </c>
      <c r="AL198">
        <f ca="1"/>
        <v>77730</v>
      </c>
      <c r="AM198">
        <f ca="1"/>
        <v>34878.695652173919</v>
      </c>
      <c r="AN198" t="str">
        <f ca="1"/>
        <v>O-45687-D-0009</v>
      </c>
      <c r="AO198" t="str">
        <f ca="1"/>
        <v>Delivered</v>
      </c>
    </row>
    <row r="199" spans="1:41" x14ac:dyDescent="0.5">
      <c r="A199" t="str">
        <f ca="1"/>
        <v>F-154</v>
      </c>
      <c r="B199" s="1">
        <f ca="1"/>
        <v>45687</v>
      </c>
      <c r="C199" t="str">
        <f ca="1"/>
        <v>D-0006</v>
      </c>
      <c r="D199" t="str">
        <f ca="1"/>
        <v>Maliha Enterprise</v>
      </c>
      <c r="E199" t="str">
        <f ca="1"/>
        <v>C/25/5, Thana Road Bus stand, Savar, Dhaka.</v>
      </c>
      <c r="F199" t="str">
        <f ca="1"/>
        <v>01715414646</v>
      </c>
      <c r="G199" t="str">
        <f ca="1"/>
        <v>Sayed Al Amin Apu</v>
      </c>
      <c r="H199" t="str">
        <f ca="1"/>
        <v>Abdul Matin</v>
      </c>
      <c r="I199" t="str">
        <f ca="1"/>
        <v>Maliha Enterprise</v>
      </c>
      <c r="J199" t="str">
        <f ca="1"/>
        <v>Savar</v>
      </c>
      <c r="K199" t="str">
        <f ca="1"/>
        <v>LO00119</v>
      </c>
      <c r="L199" t="str">
        <f ca="1"/>
        <v>3000 4T 20W50</v>
      </c>
      <c r="M199">
        <f ca="1"/>
        <v>300</v>
      </c>
      <c r="N199">
        <f ca="1"/>
        <v>452.25</v>
      </c>
      <c r="O199">
        <f ca="1"/>
        <v>300</v>
      </c>
      <c r="P199">
        <f ca="1"/>
        <v>0</v>
      </c>
      <c r="Q199">
        <f ca="1"/>
        <v>0</v>
      </c>
      <c r="R199">
        <f ca="1"/>
        <v>452.25</v>
      </c>
      <c r="S199">
        <f ca="1"/>
        <v>300</v>
      </c>
      <c r="T199">
        <f ca="1"/>
        <v>300</v>
      </c>
      <c r="U199">
        <f ca="1"/>
        <v>135675</v>
      </c>
      <c r="V199">
        <f ca="1"/>
        <v>0</v>
      </c>
      <c r="W199">
        <f ca="1"/>
        <v>135675</v>
      </c>
      <c r="X199">
        <f ca="1"/>
        <v>17696.739130434784</v>
      </c>
      <c r="Y199">
        <f ca="1"/>
        <v>117978.26086956522</v>
      </c>
      <c r="Z199" t="str">
        <f ca="1"/>
        <v>Cash</v>
      </c>
      <c r="AA199">
        <f ca="1"/>
        <v>623</v>
      </c>
      <c r="AB199" t="str">
        <f ca="1"/>
        <v>Flat Discount</v>
      </c>
      <c r="AC199">
        <f ca="1"/>
        <v>45687</v>
      </c>
      <c r="AD199" t="str">
        <f ca="1"/>
        <v>20W50 toal primari lifting was 1084 pcs purpose 15 tk =  16,260 taka &amp; transport discount 2 tk/ltr = 840, in total 17,100/- taka has been provided.</v>
      </c>
      <c r="AE199" t="str">
        <f ca="1"/>
        <v>Central</v>
      </c>
      <c r="AF199" t="str">
        <f ca="1"/>
        <v>Mineral</v>
      </c>
      <c r="AG199" t="str">
        <f ca="1"/>
        <v>MCO</v>
      </c>
      <c r="AH199" t="str">
        <f ca="1"/>
        <v>20W50</v>
      </c>
      <c r="AI199" t="str">
        <f ca="1"/>
        <v>3000</v>
      </c>
      <c r="AJ199">
        <f ca="1"/>
        <v>0</v>
      </c>
      <c r="AK199" t="str">
        <f ca="1"/>
        <v>20x1L</v>
      </c>
      <c r="AL199">
        <f ca="1"/>
        <v>109476</v>
      </c>
      <c r="AM199">
        <f ca="1"/>
        <v>8502.2608695652161</v>
      </c>
      <c r="AN199" t="str">
        <f ca="1"/>
        <v>O-45687-D-0006</v>
      </c>
      <c r="AO199" t="str">
        <f ca="1"/>
        <v>Delivered</v>
      </c>
    </row>
    <row r="200" spans="1:41" x14ac:dyDescent="0.5">
      <c r="A200" t="str">
        <f ca="1"/>
        <v>F-154</v>
      </c>
      <c r="B200" s="1">
        <f ca="1"/>
        <v>45687</v>
      </c>
      <c r="C200" t="str">
        <f ca="1"/>
        <v>D-0006</v>
      </c>
      <c r="D200" t="str">
        <f ca="1"/>
        <v>Maliha Enterprise</v>
      </c>
      <c r="E200" t="str">
        <f ca="1"/>
        <v>C/25/5, Thana Road Bus stand, Savar, Dhaka.</v>
      </c>
      <c r="F200" t="str">
        <f ca="1"/>
        <v>01715414646</v>
      </c>
      <c r="G200" t="str">
        <f ca="1"/>
        <v>Sayed Al Amin Apu</v>
      </c>
      <c r="H200" t="str">
        <f ca="1"/>
        <v>Abdul Matin</v>
      </c>
      <c r="I200" t="str">
        <f ca="1"/>
        <v>Maliha Enterprise</v>
      </c>
      <c r="J200" t="str">
        <f ca="1"/>
        <v>Savar</v>
      </c>
      <c r="K200" t="str">
        <f ca="1"/>
        <v>LO00120</v>
      </c>
      <c r="L200" t="str">
        <f ca="1"/>
        <v>3000 4T 20W50</v>
      </c>
      <c r="M200">
        <f ca="1"/>
        <v>100</v>
      </c>
      <c r="N200">
        <f ca="1"/>
        <v>552.25</v>
      </c>
      <c r="O200">
        <f ca="1"/>
        <v>120</v>
      </c>
      <c r="P200">
        <f ca="1"/>
        <v>0</v>
      </c>
      <c r="Q200">
        <f ca="1"/>
        <v>0</v>
      </c>
      <c r="R200">
        <f ca="1"/>
        <v>552.25</v>
      </c>
      <c r="S200">
        <f ca="1"/>
        <v>100</v>
      </c>
      <c r="T200">
        <f ca="1"/>
        <v>120</v>
      </c>
      <c r="U200">
        <f ca="1"/>
        <v>55225</v>
      </c>
      <c r="V200">
        <f ca="1"/>
        <v>0</v>
      </c>
      <c r="W200">
        <f ca="1"/>
        <v>55225</v>
      </c>
      <c r="X200">
        <f ca="1"/>
        <v>7203.260869565217</v>
      </c>
      <c r="Y200">
        <f ca="1"/>
        <v>48021.739130434784</v>
      </c>
      <c r="Z200" t="str">
        <f ca="1"/>
        <v>Cash</v>
      </c>
      <c r="AA200">
        <f ca="1"/>
        <v>623</v>
      </c>
      <c r="AB200" t="str">
        <f ca="1"/>
        <v>Flat Discount</v>
      </c>
      <c r="AC200">
        <f ca="1"/>
        <v>45687</v>
      </c>
      <c r="AD200" t="str">
        <f ca="1"/>
        <v>20W50 toal primari lifting was 1084 pcs purpose 15 tk =  16,260 taka &amp; transport discount 2 tk/ltr = 840, in total 17,100/- taka has been provided.</v>
      </c>
      <c r="AE200" t="str">
        <f ca="1"/>
        <v>Central</v>
      </c>
      <c r="AF200" t="str">
        <f ca="1"/>
        <v>Mineral</v>
      </c>
      <c r="AG200" t="str">
        <f ca="1"/>
        <v>MCO</v>
      </c>
      <c r="AH200" t="str">
        <f ca="1"/>
        <v>20W50</v>
      </c>
      <c r="AI200" t="str">
        <f ca="1"/>
        <v>3000</v>
      </c>
      <c r="AJ200">
        <f ca="1"/>
        <v>0</v>
      </c>
      <c r="AK200" t="str">
        <f ca="1"/>
        <v>20x1.2L</v>
      </c>
      <c r="AL200">
        <f ca="1"/>
        <v>43461</v>
      </c>
      <c r="AM200">
        <f ca="1"/>
        <v>4560.7391304347839</v>
      </c>
      <c r="AN200" t="str">
        <f ca="1"/>
        <v>O-45687-D-0006</v>
      </c>
      <c r="AO200" t="str">
        <f ca="1"/>
        <v>Delivered</v>
      </c>
    </row>
    <row r="201" spans="1:41" x14ac:dyDescent="0.5">
      <c r="A201" t="str">
        <f ca="1"/>
        <v>F-155</v>
      </c>
      <c r="B201" s="1">
        <f ca="1"/>
        <v>45679</v>
      </c>
      <c r="C201" t="str">
        <f ca="1"/>
        <v>D-0015</v>
      </c>
      <c r="D201" t="str">
        <f ca="1"/>
        <v>Md. Mahbubur Rahman</v>
      </c>
      <c r="E201" t="str">
        <f ca="1"/>
        <v>26, City Corporation Market, Dayaganj, Dhaka-1100.</v>
      </c>
      <c r="F201" t="str">
        <f ca="1"/>
        <v>01911563926</v>
      </c>
      <c r="G201" t="str">
        <f ca="1"/>
        <v>Mahamudul Hasan Milon</v>
      </c>
      <c r="H201" t="str">
        <f ca="1"/>
        <v>Abdul Matin</v>
      </c>
      <c r="I201" t="str">
        <f ca="1"/>
        <v>MK Trading Corporation</v>
      </c>
      <c r="J201" t="str">
        <f ca="1"/>
        <v xml:space="preserve">Wari </v>
      </c>
      <c r="K201" t="str">
        <f ca="1"/>
        <v>LO00042</v>
      </c>
      <c r="L201" t="str">
        <f ca="1"/>
        <v>3000 4T PLUS 20W40</v>
      </c>
      <c r="M201">
        <f ca="1"/>
        <v>20</v>
      </c>
      <c r="N201">
        <f ca="1"/>
        <v>530</v>
      </c>
      <c r="O201">
        <f ca="1"/>
        <v>20</v>
      </c>
      <c r="P201">
        <f ca="1"/>
        <v>0</v>
      </c>
      <c r="Q201">
        <f ca="1"/>
        <v>0</v>
      </c>
      <c r="R201">
        <f ca="1"/>
        <v>530</v>
      </c>
      <c r="S201">
        <f ca="1"/>
        <v>20</v>
      </c>
      <c r="T201">
        <f ca="1"/>
        <v>20</v>
      </c>
      <c r="U201">
        <f ca="1"/>
        <v>10600</v>
      </c>
      <c r="V201">
        <f ca="1"/>
        <v>0</v>
      </c>
      <c r="W201">
        <f ca="1"/>
        <v>10600</v>
      </c>
      <c r="X201">
        <f ca="1"/>
        <v>1382.608695652174</v>
      </c>
      <c r="Y201">
        <f ca="1"/>
        <v>9217.391304347826</v>
      </c>
      <c r="Z201" t="str">
        <f ca="1"/>
        <v>Cash</v>
      </c>
      <c r="AA201">
        <f ca="1"/>
        <v>624</v>
      </c>
      <c r="AB201" t="str">
        <f ca="1"/>
        <v>Flat Discount</v>
      </c>
      <c r="AC201">
        <f ca="1"/>
        <v>45687</v>
      </c>
      <c r="AD201" t="str">
        <f ca="1"/>
        <v>35,000/- taka gift amount + 10,000/- taka entertainment purpose + 67,500/- taka previous adjustment purpose = Total 1,12,500/- taka would be discount from the main amount.</v>
      </c>
      <c r="AE201" t="str">
        <f ca="1"/>
        <v>Central</v>
      </c>
      <c r="AF201" t="str">
        <f ca="1"/>
        <v>Mineral</v>
      </c>
      <c r="AG201" t="str">
        <f ca="1"/>
        <v>MCO</v>
      </c>
      <c r="AH201" t="str">
        <f ca="1"/>
        <v>20W40</v>
      </c>
      <c r="AI201" t="str">
        <f ca="1"/>
        <v>3000</v>
      </c>
      <c r="AJ201">
        <f ca="1"/>
        <v>0</v>
      </c>
      <c r="AK201" t="str">
        <f ca="1"/>
        <v>20x1L</v>
      </c>
      <c r="AL201">
        <f ca="1"/>
        <v>8255.2000000000007</v>
      </c>
      <c r="AM201">
        <f ca="1"/>
        <v>962.19130434782528</v>
      </c>
      <c r="AN201" t="str">
        <f ca="1"/>
        <v>O-45679-D-0015</v>
      </c>
      <c r="AO201" t="str">
        <f ca="1"/>
        <v>Delivered</v>
      </c>
    </row>
    <row r="202" spans="1:41" x14ac:dyDescent="0.5">
      <c r="A202" t="str">
        <f ca="1"/>
        <v>F-155</v>
      </c>
      <c r="B202" s="1">
        <f ca="1"/>
        <v>45679</v>
      </c>
      <c r="C202" t="str">
        <f ca="1"/>
        <v>D-0015</v>
      </c>
      <c r="D202" t="str">
        <f ca="1"/>
        <v>Md. Mahbubur Rahman</v>
      </c>
      <c r="E202" t="str">
        <f ca="1"/>
        <v>26, City Corporation Market, Dayaganj, Dhaka-1100.</v>
      </c>
      <c r="F202" t="str">
        <f ca="1"/>
        <v>01911563926</v>
      </c>
      <c r="G202" t="str">
        <f ca="1"/>
        <v>Mahamudul Hasan Milon</v>
      </c>
      <c r="H202" t="str">
        <f ca="1"/>
        <v>Abdul Matin</v>
      </c>
      <c r="I202" t="str">
        <f ca="1"/>
        <v>MK Trading Corporation</v>
      </c>
      <c r="J202" t="str">
        <f ca="1"/>
        <v xml:space="preserve">Wari </v>
      </c>
      <c r="K202" t="str">
        <f ca="1"/>
        <v>LO00119</v>
      </c>
      <c r="L202" t="str">
        <f ca="1"/>
        <v>3000 4T 20W50</v>
      </c>
      <c r="M202">
        <f ca="1"/>
        <v>1280</v>
      </c>
      <c r="N202">
        <f ca="1"/>
        <v>495</v>
      </c>
      <c r="O202">
        <f ca="1"/>
        <v>1280</v>
      </c>
      <c r="P202">
        <f ca="1"/>
        <v>0</v>
      </c>
      <c r="Q202">
        <f ca="1"/>
        <v>0</v>
      </c>
      <c r="R202">
        <f ca="1"/>
        <v>495</v>
      </c>
      <c r="S202">
        <f ca="1"/>
        <v>1280</v>
      </c>
      <c r="T202">
        <f ca="1"/>
        <v>1280</v>
      </c>
      <c r="U202">
        <f ca="1"/>
        <v>633600</v>
      </c>
      <c r="V202">
        <f ca="1"/>
        <v>0</v>
      </c>
      <c r="W202">
        <f ca="1"/>
        <v>633600</v>
      </c>
      <c r="X202">
        <f ca="1"/>
        <v>82643.478260869568</v>
      </c>
      <c r="Y202">
        <f ca="1"/>
        <v>550956.52173913049</v>
      </c>
      <c r="Z202" t="str">
        <f ca="1"/>
        <v>Cash</v>
      </c>
      <c r="AA202">
        <f ca="1"/>
        <v>624</v>
      </c>
      <c r="AB202" t="str">
        <f ca="1"/>
        <v>Flat Discount</v>
      </c>
      <c r="AC202">
        <f ca="1"/>
        <v>45687</v>
      </c>
      <c r="AD202" t="str">
        <f ca="1"/>
        <v>35,000/- taka gift amount + 10,000/- taka entertainment purpose + 67,500/- taka previous adjustment purpose = Total 1,12,500/- taka would be discount from the main amount.</v>
      </c>
      <c r="AE202" t="str">
        <f ca="1"/>
        <v>Central</v>
      </c>
      <c r="AF202" t="str">
        <f ca="1"/>
        <v>Mineral</v>
      </c>
      <c r="AG202" t="str">
        <f ca="1"/>
        <v>MCO</v>
      </c>
      <c r="AH202" t="str">
        <f ca="1"/>
        <v>20W50</v>
      </c>
      <c r="AI202" t="str">
        <f ca="1"/>
        <v>3000</v>
      </c>
      <c r="AJ202">
        <f ca="1"/>
        <v>0</v>
      </c>
      <c r="AK202" t="str">
        <f ca="1"/>
        <v>20x1L</v>
      </c>
      <c r="AL202">
        <f ca="1"/>
        <v>467097.60000000003</v>
      </c>
      <c r="AM202">
        <f ca="1"/>
        <v>83858.921739130456</v>
      </c>
      <c r="AN202" t="str">
        <f ca="1"/>
        <v>O-45679-D-0015</v>
      </c>
      <c r="AO202" t="str">
        <f ca="1"/>
        <v>Delivered</v>
      </c>
    </row>
    <row r="203" spans="1:41" x14ac:dyDescent="0.5">
      <c r="A203" t="str">
        <f ca="1"/>
        <v>F-155</v>
      </c>
      <c r="B203" s="1">
        <f ca="1"/>
        <v>45679</v>
      </c>
      <c r="C203" t="str">
        <f ca="1"/>
        <v>D-0015</v>
      </c>
      <c r="D203" t="str">
        <f ca="1"/>
        <v>Md. Mahbubur Rahman</v>
      </c>
      <c r="E203" t="str">
        <f ca="1"/>
        <v>26, City Corporation Market, Dayaganj, Dhaka-1100.</v>
      </c>
      <c r="F203" t="str">
        <f ca="1"/>
        <v>01911563926</v>
      </c>
      <c r="G203" t="str">
        <f ca="1"/>
        <v>Mahamudul Hasan Milon</v>
      </c>
      <c r="H203" t="str">
        <f ca="1"/>
        <v>Abdul Matin</v>
      </c>
      <c r="I203" t="str">
        <f ca="1"/>
        <v>MK Trading Corporation</v>
      </c>
      <c r="J203" t="str">
        <f ca="1"/>
        <v xml:space="preserve">Wari </v>
      </c>
      <c r="K203" t="str">
        <f ca="1"/>
        <v>LO00120</v>
      </c>
      <c r="L203" t="str">
        <f ca="1"/>
        <v>3000 4T 20W50</v>
      </c>
      <c r="M203">
        <f ca="1"/>
        <v>600</v>
      </c>
      <c r="N203">
        <f ca="1"/>
        <v>595</v>
      </c>
      <c r="O203">
        <f ca="1"/>
        <v>720</v>
      </c>
      <c r="P203">
        <f ca="1"/>
        <v>0</v>
      </c>
      <c r="Q203">
        <f ca="1"/>
        <v>0</v>
      </c>
      <c r="R203">
        <f ca="1"/>
        <v>595</v>
      </c>
      <c r="S203">
        <f ca="1"/>
        <v>600</v>
      </c>
      <c r="T203">
        <f ca="1"/>
        <v>720</v>
      </c>
      <c r="U203">
        <f ca="1"/>
        <v>357000</v>
      </c>
      <c r="V203">
        <f ca="1"/>
        <v>0</v>
      </c>
      <c r="W203">
        <f ca="1"/>
        <v>357000</v>
      </c>
      <c r="X203">
        <f ca="1"/>
        <v>46565.217391304344</v>
      </c>
      <c r="Y203">
        <f ca="1"/>
        <v>310434.78260869568</v>
      </c>
      <c r="Z203" t="str">
        <f ca="1"/>
        <v>Cash</v>
      </c>
      <c r="AA203">
        <f ca="1"/>
        <v>624</v>
      </c>
      <c r="AB203" t="str">
        <f ca="1"/>
        <v>Flat Discount</v>
      </c>
      <c r="AC203">
        <f ca="1"/>
        <v>45687</v>
      </c>
      <c r="AD203" t="str">
        <f ca="1"/>
        <v>35,000/- taka gift amount + 10,000/- taka entertainment purpose + 67,500/- taka previous adjustment purpose = Total 1,12,500/- taka would be discount from the main amount.</v>
      </c>
      <c r="AE203" t="str">
        <f ca="1"/>
        <v>Central</v>
      </c>
      <c r="AF203" t="str">
        <f ca="1"/>
        <v>Mineral</v>
      </c>
      <c r="AG203" t="str">
        <f ca="1"/>
        <v>MCO</v>
      </c>
      <c r="AH203" t="str">
        <f ca="1"/>
        <v>20W50</v>
      </c>
      <c r="AI203" t="str">
        <f ca="1"/>
        <v>3000</v>
      </c>
      <c r="AJ203">
        <f ca="1"/>
        <v>0</v>
      </c>
      <c r="AK203" t="str">
        <f ca="1"/>
        <v>20x1.2L</v>
      </c>
      <c r="AL203">
        <f ca="1"/>
        <v>260766</v>
      </c>
      <c r="AM203">
        <f ca="1"/>
        <v>49668.782608695677</v>
      </c>
      <c r="AN203" t="str">
        <f ca="1"/>
        <v>O-45679-D-0015</v>
      </c>
      <c r="AO203" t="str">
        <f ca="1"/>
        <v>Delivered</v>
      </c>
    </row>
    <row r="204" spans="1:41" x14ac:dyDescent="0.5">
      <c r="A204" t="str">
        <f ca="1"/>
        <v>F-156</v>
      </c>
      <c r="B204" s="1">
        <f ca="1"/>
        <v>45690</v>
      </c>
      <c r="C204" t="str">
        <f ca="1"/>
        <v>D-0005</v>
      </c>
      <c r="D204" t="str">
        <f ca="1"/>
        <v>Alam Traders</v>
      </c>
      <c r="E204" t="str">
        <f ca="1"/>
        <v>Rajshahi Sadar, Rajshahi</v>
      </c>
      <c r="F204">
        <f ca="1"/>
        <v>1715299768</v>
      </c>
      <c r="G204" t="str">
        <f ca="1"/>
        <v>Md. Hasemi Rafsan</v>
      </c>
      <c r="H204" t="str">
        <f ca="1"/>
        <v>Raihan Siddiqui</v>
      </c>
      <c r="I204" t="str">
        <f ca="1"/>
        <v>Alam Traders</v>
      </c>
      <c r="J204" t="str">
        <f ca="1"/>
        <v>Rajshahi Sadar</v>
      </c>
      <c r="K204" t="str">
        <f ca="1"/>
        <v>LO00041</v>
      </c>
      <c r="L204" t="str">
        <f ca="1"/>
        <v>3000 4T PLUS 10W30</v>
      </c>
      <c r="M204">
        <f ca="1"/>
        <v>240</v>
      </c>
      <c r="N204">
        <f ca="1"/>
        <v>540</v>
      </c>
      <c r="O204">
        <f ca="1"/>
        <v>240</v>
      </c>
      <c r="P204">
        <f ca="1"/>
        <v>0</v>
      </c>
      <c r="Q204">
        <f ca="1"/>
        <v>0</v>
      </c>
      <c r="R204">
        <f ca="1"/>
        <v>540</v>
      </c>
      <c r="S204">
        <f ca="1"/>
        <v>240</v>
      </c>
      <c r="T204">
        <f ca="1"/>
        <v>240</v>
      </c>
      <c r="U204">
        <f ca="1"/>
        <v>129600</v>
      </c>
      <c r="V204">
        <f ca="1"/>
        <v>0</v>
      </c>
      <c r="W204">
        <f ca="1"/>
        <v>129600</v>
      </c>
      <c r="X204">
        <f ca="1"/>
        <v>16904.347826086956</v>
      </c>
      <c r="Y204">
        <f ca="1"/>
        <v>112695.65217391304</v>
      </c>
      <c r="Z204" t="str">
        <f ca="1"/>
        <v>Cash</v>
      </c>
      <c r="AA204">
        <f ca="1"/>
        <v>625</v>
      </c>
      <c r="AB204" t="str">
        <f ca="1"/>
        <v>Regular</v>
      </c>
      <c r="AC204">
        <f ca="1"/>
        <v>45691</v>
      </c>
      <c r="AD204" t="str">
        <f ca="1"/>
        <v/>
      </c>
      <c r="AE204" t="str">
        <f ca="1"/>
        <v>Northern</v>
      </c>
      <c r="AF204" t="str">
        <f ca="1"/>
        <v>Mineral</v>
      </c>
      <c r="AG204" t="str">
        <f ca="1"/>
        <v>MCO</v>
      </c>
      <c r="AH204" t="str">
        <f ca="1"/>
        <v>10W30</v>
      </c>
      <c r="AI204" t="str">
        <f ca="1"/>
        <v>3000</v>
      </c>
      <c r="AJ204">
        <f ca="1"/>
        <v>0</v>
      </c>
      <c r="AK204" t="str">
        <f ca="1"/>
        <v>20x1L</v>
      </c>
      <c r="AL204">
        <f ca="1"/>
        <v>91039.2</v>
      </c>
      <c r="AM204">
        <f ca="1"/>
        <v>21656.452173913043</v>
      </c>
      <c r="AN204" t="str">
        <f ca="1"/>
        <v>O-45690-D-0005</v>
      </c>
      <c r="AO204" t="str">
        <f ca="1"/>
        <v>Delivered</v>
      </c>
    </row>
    <row r="205" spans="1:41" x14ac:dyDescent="0.5">
      <c r="A205" t="str">
        <f ca="1"/>
        <v>F-156</v>
      </c>
      <c r="B205" s="1">
        <f ca="1"/>
        <v>45690</v>
      </c>
      <c r="C205" t="str">
        <f ca="1"/>
        <v>D-0005</v>
      </c>
      <c r="D205" t="str">
        <f ca="1"/>
        <v>Alam Traders</v>
      </c>
      <c r="E205" t="str">
        <f ca="1"/>
        <v>Rajshahi Sadar, Rajshahi</v>
      </c>
      <c r="F205">
        <f ca="1"/>
        <v>1715299768</v>
      </c>
      <c r="G205" t="str">
        <f ca="1"/>
        <v>Md. Hasemi Rafsan</v>
      </c>
      <c r="H205" t="str">
        <f ca="1"/>
        <v>Raihan Siddiqui</v>
      </c>
      <c r="I205" t="str">
        <f ca="1"/>
        <v>Alam Traders</v>
      </c>
      <c r="J205" t="str">
        <f ca="1"/>
        <v>Rajshahi Sadar</v>
      </c>
      <c r="K205" t="str">
        <f ca="1"/>
        <v>LO00071</v>
      </c>
      <c r="L205" t="str">
        <f ca="1"/>
        <v>31004T GOLD 10W30</v>
      </c>
      <c r="M205">
        <f ca="1"/>
        <v>240</v>
      </c>
      <c r="N205">
        <f ca="1"/>
        <v>600</v>
      </c>
      <c r="O205">
        <f ca="1"/>
        <v>240</v>
      </c>
      <c r="P205">
        <f ca="1"/>
        <v>0</v>
      </c>
      <c r="Q205">
        <f ca="1"/>
        <v>0</v>
      </c>
      <c r="R205">
        <f ca="1"/>
        <v>600</v>
      </c>
      <c r="S205">
        <f ca="1"/>
        <v>240</v>
      </c>
      <c r="T205">
        <f ca="1"/>
        <v>240</v>
      </c>
      <c r="U205">
        <f ca="1"/>
        <v>144000</v>
      </c>
      <c r="V205">
        <f ca="1"/>
        <v>0</v>
      </c>
      <c r="W205">
        <f ca="1"/>
        <v>144000</v>
      </c>
      <c r="X205">
        <f ca="1"/>
        <v>18782.608695652172</v>
      </c>
      <c r="Y205">
        <f ca="1"/>
        <v>125217.39130434782</v>
      </c>
      <c r="Z205" t="str">
        <f ca="1"/>
        <v>Cash</v>
      </c>
      <c r="AA205">
        <f ca="1"/>
        <v>625</v>
      </c>
      <c r="AB205" t="str">
        <f ca="1"/>
        <v>Regular</v>
      </c>
      <c r="AC205">
        <f ca="1"/>
        <v>45691</v>
      </c>
      <c r="AD205" t="str">
        <f ca="1"/>
        <v/>
      </c>
      <c r="AE205" t="str">
        <f ca="1"/>
        <v>Northern</v>
      </c>
      <c r="AF205" t="str">
        <f ca="1"/>
        <v>Technosynthese</v>
      </c>
      <c r="AG205" t="str">
        <f ca="1"/>
        <v>MCO</v>
      </c>
      <c r="AH205" t="str">
        <f ca="1"/>
        <v>10W30</v>
      </c>
      <c r="AI205" t="str">
        <f ca="1"/>
        <v>3100</v>
      </c>
      <c r="AJ205">
        <f ca="1"/>
        <v>0</v>
      </c>
      <c r="AK205" t="str">
        <f ca="1"/>
        <v>20x1L</v>
      </c>
      <c r="AL205">
        <f ca="1"/>
        <v>102024</v>
      </c>
      <c r="AM205">
        <f ca="1"/>
        <v>23193.391304347824</v>
      </c>
      <c r="AN205" t="str">
        <f ca="1"/>
        <v>O-45690-D-0005</v>
      </c>
      <c r="AO205" t="str">
        <f ca="1"/>
        <v>Delivered</v>
      </c>
    </row>
    <row r="206" spans="1:41" x14ac:dyDescent="0.5">
      <c r="A206" t="str">
        <f ca="1"/>
        <v>F-156</v>
      </c>
      <c r="B206" s="1">
        <f ca="1"/>
        <v>45690</v>
      </c>
      <c r="C206" t="str">
        <f ca="1"/>
        <v>D-0005</v>
      </c>
      <c r="D206" t="str">
        <f ca="1"/>
        <v>Alam Traders</v>
      </c>
      <c r="E206" t="str">
        <f ca="1"/>
        <v>Rajshahi Sadar, Rajshahi</v>
      </c>
      <c r="F206">
        <f ca="1"/>
        <v>1715299768</v>
      </c>
      <c r="G206" t="str">
        <f ca="1"/>
        <v>Md. Hasemi Rafsan</v>
      </c>
      <c r="H206" t="str">
        <f ca="1"/>
        <v>Raihan Siddiqui</v>
      </c>
      <c r="I206" t="str">
        <f ca="1"/>
        <v>Alam Traders</v>
      </c>
      <c r="J206" t="str">
        <f ca="1"/>
        <v>Rajshahi Sadar</v>
      </c>
      <c r="K206" t="str">
        <f ca="1"/>
        <v>LO00074</v>
      </c>
      <c r="L206" t="str">
        <f ca="1"/>
        <v>7100 4T 10W30 ESTER CORE®</v>
      </c>
      <c r="M206">
        <f ca="1"/>
        <v>72</v>
      </c>
      <c r="N206">
        <f ca="1"/>
        <v>1080</v>
      </c>
      <c r="O206">
        <f ca="1"/>
        <v>72</v>
      </c>
      <c r="P206">
        <f ca="1"/>
        <v>0</v>
      </c>
      <c r="Q206">
        <f ca="1"/>
        <v>0</v>
      </c>
      <c r="R206">
        <f ca="1"/>
        <v>1080</v>
      </c>
      <c r="S206">
        <f ca="1"/>
        <v>72</v>
      </c>
      <c r="T206">
        <f ca="1"/>
        <v>72</v>
      </c>
      <c r="U206">
        <f ca="1"/>
        <v>77760</v>
      </c>
      <c r="V206">
        <f ca="1"/>
        <v>0</v>
      </c>
      <c r="W206">
        <f ca="1"/>
        <v>77760</v>
      </c>
      <c r="X206">
        <f ca="1"/>
        <v>10142.608695652174</v>
      </c>
      <c r="Y206">
        <f ca="1"/>
        <v>67617.391304347824</v>
      </c>
      <c r="Z206" t="str">
        <f ca="1"/>
        <v>Cash</v>
      </c>
      <c r="AA206">
        <f ca="1"/>
        <v>625</v>
      </c>
      <c r="AB206" t="str">
        <f ca="1"/>
        <v>Regular</v>
      </c>
      <c r="AC206">
        <f ca="1"/>
        <v>45691</v>
      </c>
      <c r="AD206" t="str">
        <f ca="1"/>
        <v/>
      </c>
      <c r="AE206" t="str">
        <f ca="1"/>
        <v>Northern</v>
      </c>
      <c r="AF206" t="str">
        <f ca="1"/>
        <v>Synthetic</v>
      </c>
      <c r="AG206" t="str">
        <f ca="1"/>
        <v>MCO</v>
      </c>
      <c r="AH206" t="str">
        <f ca="1"/>
        <v>10W30</v>
      </c>
      <c r="AI206" t="str">
        <f ca="1"/>
        <v>7100</v>
      </c>
      <c r="AJ206">
        <f ca="1"/>
        <v>0</v>
      </c>
      <c r="AK206" t="str">
        <f ca="1"/>
        <v>12x1L</v>
      </c>
      <c r="AL206">
        <f ca="1"/>
        <v>49669.919999999998</v>
      </c>
      <c r="AM206">
        <f ca="1"/>
        <v>17947.471304347826</v>
      </c>
      <c r="AN206" t="str">
        <f ca="1"/>
        <v>O-45690-D-0005</v>
      </c>
      <c r="AO206" t="str">
        <f ca="1"/>
        <v>Delivered</v>
      </c>
    </row>
    <row r="207" spans="1:41" x14ac:dyDescent="0.5">
      <c r="A207" t="str">
        <f ca="1"/>
        <v>F-156</v>
      </c>
      <c r="B207" s="1">
        <f ca="1"/>
        <v>45690</v>
      </c>
      <c r="C207" t="str">
        <f ca="1"/>
        <v>D-0005</v>
      </c>
      <c r="D207" t="str">
        <f ca="1"/>
        <v>Alam Traders</v>
      </c>
      <c r="E207" t="str">
        <f ca="1"/>
        <v>Rajshahi Sadar, Rajshahi</v>
      </c>
      <c r="F207">
        <f ca="1"/>
        <v>1715299768</v>
      </c>
      <c r="G207" t="str">
        <f ca="1"/>
        <v>Md. Hasemi Rafsan</v>
      </c>
      <c r="H207" t="str">
        <f ca="1"/>
        <v>Raihan Siddiqui</v>
      </c>
      <c r="I207" t="str">
        <f ca="1"/>
        <v>Alam Traders</v>
      </c>
      <c r="J207" t="str">
        <f ca="1"/>
        <v>Rajshahi Sadar</v>
      </c>
      <c r="K207" t="str">
        <f ca="1"/>
        <v>LO00104</v>
      </c>
      <c r="L207" t="str">
        <f ca="1"/>
        <v>7100 4T 10W30 ESTER CORE®</v>
      </c>
      <c r="M207">
        <f ca="1"/>
        <v>120</v>
      </c>
      <c r="N207">
        <f ca="1"/>
        <v>1295</v>
      </c>
      <c r="O207">
        <f ca="1"/>
        <v>144</v>
      </c>
      <c r="P207">
        <f ca="1"/>
        <v>0</v>
      </c>
      <c r="Q207">
        <f ca="1"/>
        <v>0</v>
      </c>
      <c r="R207">
        <f ca="1"/>
        <v>1295</v>
      </c>
      <c r="S207">
        <f ca="1"/>
        <v>120</v>
      </c>
      <c r="T207">
        <f ca="1"/>
        <v>144</v>
      </c>
      <c r="U207">
        <f ca="1"/>
        <v>155400</v>
      </c>
      <c r="V207">
        <f ca="1"/>
        <v>0</v>
      </c>
      <c r="W207">
        <f ca="1"/>
        <v>155400</v>
      </c>
      <c r="X207">
        <f ca="1"/>
        <v>20269.565217391304</v>
      </c>
      <c r="Y207">
        <f ca="1"/>
        <v>135130.4347826087</v>
      </c>
      <c r="Z207" t="str">
        <f ca="1"/>
        <v>Cash</v>
      </c>
      <c r="AA207">
        <f ca="1"/>
        <v>625</v>
      </c>
      <c r="AB207" t="str">
        <f ca="1"/>
        <v>Regular</v>
      </c>
      <c r="AC207">
        <f ca="1"/>
        <v>45691</v>
      </c>
      <c r="AD207" t="str">
        <f ca="1"/>
        <v/>
      </c>
      <c r="AE207" t="str">
        <f ca="1"/>
        <v>Northern</v>
      </c>
      <c r="AF207" t="str">
        <f ca="1"/>
        <v>Synthetic</v>
      </c>
      <c r="AG207" t="str">
        <f ca="1"/>
        <v>MCO</v>
      </c>
      <c r="AH207" t="str">
        <f ca="1"/>
        <v>10W30</v>
      </c>
      <c r="AI207" t="str">
        <f ca="1"/>
        <v>7100</v>
      </c>
      <c r="AJ207">
        <f ca="1"/>
        <v>0</v>
      </c>
      <c r="AK207" t="str">
        <f ca="1"/>
        <v>20x1.2L</v>
      </c>
      <c r="AL207">
        <f ca="1"/>
        <v>93276</v>
      </c>
      <c r="AM207">
        <f ca="1"/>
        <v>41854.434782608703</v>
      </c>
      <c r="AN207" t="str">
        <f ca="1"/>
        <v>O-45690-D-0005</v>
      </c>
      <c r="AO207" t="str">
        <f ca="1"/>
        <v>Delivered</v>
      </c>
    </row>
    <row r="208" spans="1:41" x14ac:dyDescent="0.5">
      <c r="A208" t="str">
        <f ca="1"/>
        <v>F-157</v>
      </c>
      <c r="B208" s="1">
        <f ca="1"/>
        <v>45694</v>
      </c>
      <c r="C208" t="str">
        <f ca="1"/>
        <v>D-0025</v>
      </c>
      <c r="D208" t="str">
        <f ca="1"/>
        <v>Rancon Motor Bikes Ltd</v>
      </c>
      <c r="E208" t="str">
        <f ca="1"/>
        <v>Dhaka</v>
      </c>
      <c r="F208" t="str">
        <f ca="1"/>
        <v/>
      </c>
      <c r="G208" t="str">
        <f ca="1"/>
        <v>Captive Sales</v>
      </c>
      <c r="H208" t="str">
        <f ca="1"/>
        <v>Captive Sales</v>
      </c>
      <c r="I208" t="str">
        <f ca="1"/>
        <v>Rancon Motor Bikes Ltd</v>
      </c>
      <c r="J208" t="str">
        <f ca="1"/>
        <v>Dhaka</v>
      </c>
      <c r="K208" t="str">
        <f ca="1"/>
        <v>LO00042</v>
      </c>
      <c r="L208" t="str">
        <f ca="1"/>
        <v>3000 4T PLUS 20W40</v>
      </c>
      <c r="M208">
        <f ca="1"/>
        <v>6000</v>
      </c>
      <c r="N208">
        <f ca="1"/>
        <v>525</v>
      </c>
      <c r="O208">
        <f ca="1"/>
        <v>6000</v>
      </c>
      <c r="P208">
        <f ca="1"/>
        <v>0</v>
      </c>
      <c r="Q208">
        <f ca="1"/>
        <v>0</v>
      </c>
      <c r="R208">
        <f ca="1"/>
        <v>525</v>
      </c>
      <c r="S208">
        <f ca="1"/>
        <v>6000</v>
      </c>
      <c r="T208">
        <f ca="1"/>
        <v>6000</v>
      </c>
      <c r="U208">
        <f ca="1"/>
        <v>3150000</v>
      </c>
      <c r="V208">
        <f ca="1"/>
        <v>0</v>
      </c>
      <c r="W208">
        <f ca="1"/>
        <v>3150000</v>
      </c>
      <c r="X208">
        <f ca="1"/>
        <v>410869.5652173913</v>
      </c>
      <c r="Y208">
        <f ca="1"/>
        <v>2739130.4347826089</v>
      </c>
      <c r="Z208" t="str">
        <f ca="1"/>
        <v>Cash</v>
      </c>
      <c r="AA208">
        <f ca="1"/>
        <v>626</v>
      </c>
      <c r="AB208" t="str">
        <f ca="1"/>
        <v>Custom</v>
      </c>
      <c r="AC208">
        <f ca="1"/>
        <v>45694</v>
      </c>
      <c r="AD208" t="str">
        <f ca="1"/>
        <v/>
      </c>
      <c r="AE208" t="str">
        <f ca="1"/>
        <v>Captive Sales</v>
      </c>
      <c r="AF208" t="str">
        <f ca="1"/>
        <v>Mineral</v>
      </c>
      <c r="AG208" t="str">
        <f ca="1"/>
        <v>MCO</v>
      </c>
      <c r="AH208" t="str">
        <f ca="1"/>
        <v>20W40</v>
      </c>
      <c r="AI208" t="str">
        <f ca="1"/>
        <v>3000</v>
      </c>
      <c r="AJ208">
        <f ca="1"/>
        <v>0</v>
      </c>
      <c r="AK208" t="str">
        <f ca="1"/>
        <v>20x1L</v>
      </c>
      <c r="AL208">
        <f ca="1"/>
        <v>2476560</v>
      </c>
      <c r="AM208">
        <f ca="1"/>
        <v>262570.43478260888</v>
      </c>
      <c r="AN208" t="str">
        <f ca="1"/>
        <v>O-45694-D-0025</v>
      </c>
      <c r="AO208" t="str">
        <f ca="1"/>
        <v>Delivered</v>
      </c>
    </row>
    <row r="209" spans="1:41" x14ac:dyDescent="0.5">
      <c r="A209" t="str">
        <f ca="1"/>
        <v>F-157</v>
      </c>
      <c r="B209" s="1">
        <f ca="1"/>
        <v>45694</v>
      </c>
      <c r="C209" t="str">
        <f ca="1"/>
        <v>D-0025</v>
      </c>
      <c r="D209" t="str">
        <f ca="1"/>
        <v>Rancon Motor Bikes Ltd</v>
      </c>
      <c r="E209" t="str">
        <f ca="1"/>
        <v>Dhaka</v>
      </c>
      <c r="F209" t="str">
        <f ca="1"/>
        <v/>
      </c>
      <c r="G209" t="str">
        <f ca="1"/>
        <v>Captive Sales</v>
      </c>
      <c r="H209" t="str">
        <f ca="1"/>
        <v>Captive Sales</v>
      </c>
      <c r="I209" t="str">
        <f ca="1"/>
        <v>Rancon Motor Bikes Ltd</v>
      </c>
      <c r="J209" t="str">
        <f ca="1"/>
        <v>Dhaka</v>
      </c>
      <c r="K209" t="str">
        <f ca="1"/>
        <v>LO00043</v>
      </c>
      <c r="L209" t="str">
        <f ca="1"/>
        <v>3000 4T PLUS 10W40</v>
      </c>
      <c r="M209">
        <f ca="1"/>
        <v>3000</v>
      </c>
      <c r="N209">
        <f ca="1"/>
        <v>525</v>
      </c>
      <c r="O209">
        <f ca="1"/>
        <v>3000</v>
      </c>
      <c r="P209">
        <f ca="1"/>
        <v>0</v>
      </c>
      <c r="Q209">
        <f ca="1"/>
        <v>0</v>
      </c>
      <c r="R209">
        <f ca="1"/>
        <v>525</v>
      </c>
      <c r="S209">
        <f ca="1"/>
        <v>3000</v>
      </c>
      <c r="T209">
        <f ca="1"/>
        <v>3000</v>
      </c>
      <c r="U209">
        <f ca="1"/>
        <v>1575000</v>
      </c>
      <c r="V209">
        <f ca="1"/>
        <v>0</v>
      </c>
      <c r="W209">
        <f ca="1"/>
        <v>1575000</v>
      </c>
      <c r="X209">
        <f ca="1"/>
        <v>205434.78260869565</v>
      </c>
      <c r="Y209">
        <f ca="1"/>
        <v>1369565.2173913044</v>
      </c>
      <c r="Z209" t="str">
        <f ca="1"/>
        <v>Cash</v>
      </c>
      <c r="AA209">
        <f ca="1"/>
        <v>626</v>
      </c>
      <c r="AB209" t="str">
        <f ca="1"/>
        <v>Custom</v>
      </c>
      <c r="AC209">
        <f ca="1"/>
        <v>45694</v>
      </c>
      <c r="AD209" t="str">
        <f ca="1"/>
        <v/>
      </c>
      <c r="AE209" t="str">
        <f ca="1"/>
        <v>Captive Sales</v>
      </c>
      <c r="AF209" t="str">
        <f ca="1"/>
        <v>Mineral</v>
      </c>
      <c r="AG209" t="str">
        <f ca="1"/>
        <v>MCO</v>
      </c>
      <c r="AH209" t="str">
        <f ca="1"/>
        <v>10W40</v>
      </c>
      <c r="AI209" t="str">
        <f ca="1"/>
        <v>3000</v>
      </c>
      <c r="AJ209">
        <f ca="1"/>
        <v>0</v>
      </c>
      <c r="AK209" t="str">
        <f ca="1"/>
        <v>20x1L</v>
      </c>
      <c r="AL209">
        <f ca="1"/>
        <v>1154550</v>
      </c>
      <c r="AM209">
        <f ca="1"/>
        <v>215015.21739130444</v>
      </c>
      <c r="AN209" t="str">
        <f ca="1"/>
        <v>O-45694-D-0025</v>
      </c>
      <c r="AO209" t="str">
        <f ca="1"/>
        <v>Delivered</v>
      </c>
    </row>
    <row r="210" spans="1:41" x14ac:dyDescent="0.5">
      <c r="A210" t="str">
        <f ca="1"/>
        <v>F-157</v>
      </c>
      <c r="B210" s="1">
        <f ca="1"/>
        <v>45694</v>
      </c>
      <c r="C210" t="str">
        <f ca="1"/>
        <v>D-0025</v>
      </c>
      <c r="D210" t="str">
        <f ca="1"/>
        <v>Rancon Motor Bikes Ltd</v>
      </c>
      <c r="E210" t="str">
        <f ca="1"/>
        <v>Dhaka</v>
      </c>
      <c r="F210" t="str">
        <f ca="1"/>
        <v/>
      </c>
      <c r="G210" t="str">
        <f ca="1"/>
        <v>Captive Sales</v>
      </c>
      <c r="H210" t="str">
        <f ca="1"/>
        <v>Captive Sales</v>
      </c>
      <c r="I210" t="str">
        <f ca="1"/>
        <v>Rancon Motor Bikes Ltd</v>
      </c>
      <c r="J210" t="str">
        <f ca="1"/>
        <v>Dhaka</v>
      </c>
      <c r="K210" t="str">
        <f ca="1"/>
        <v>LO00046</v>
      </c>
      <c r="L210" t="str">
        <f ca="1"/>
        <v>51004T 10W40 ESTER</v>
      </c>
      <c r="M210">
        <f ca="1"/>
        <v>1752</v>
      </c>
      <c r="N210">
        <f ca="1"/>
        <v>830</v>
      </c>
      <c r="O210">
        <f ca="1"/>
        <v>1752</v>
      </c>
      <c r="P210">
        <f ca="1"/>
        <v>0</v>
      </c>
      <c r="Q210">
        <f ca="1"/>
        <v>0</v>
      </c>
      <c r="R210">
        <f ca="1"/>
        <v>830</v>
      </c>
      <c r="S210">
        <f ca="1"/>
        <v>1752</v>
      </c>
      <c r="T210">
        <f ca="1"/>
        <v>1752</v>
      </c>
      <c r="U210">
        <f ca="1"/>
        <v>1454160</v>
      </c>
      <c r="V210">
        <f ca="1"/>
        <v>0</v>
      </c>
      <c r="W210">
        <f ca="1"/>
        <v>1454160</v>
      </c>
      <c r="X210">
        <f ca="1"/>
        <v>189673.04347826086</v>
      </c>
      <c r="Y210">
        <f ca="1"/>
        <v>1264486.956521739</v>
      </c>
      <c r="Z210" t="str">
        <f ca="1"/>
        <v>Cash</v>
      </c>
      <c r="AA210">
        <f ca="1"/>
        <v>626</v>
      </c>
      <c r="AB210" t="str">
        <f ca="1"/>
        <v>Custom</v>
      </c>
      <c r="AC210">
        <f ca="1"/>
        <v>45694</v>
      </c>
      <c r="AD210" t="str">
        <f ca="1"/>
        <v/>
      </c>
      <c r="AE210" t="str">
        <f ca="1"/>
        <v>Captive Sales</v>
      </c>
      <c r="AF210" t="str">
        <f ca="1"/>
        <v>Technosynthese</v>
      </c>
      <c r="AG210" t="str">
        <f ca="1"/>
        <v>MCO</v>
      </c>
      <c r="AH210" t="str">
        <f ca="1"/>
        <v>10W40</v>
      </c>
      <c r="AI210" t="str">
        <f ca="1"/>
        <v>5100</v>
      </c>
      <c r="AJ210">
        <f ca="1"/>
        <v>0</v>
      </c>
      <c r="AK210" t="str">
        <f ca="1"/>
        <v>12x1L</v>
      </c>
      <c r="AL210">
        <f ca="1"/>
        <v>1065794.1600000001</v>
      </c>
      <c r="AM210">
        <f ca="1"/>
        <v>198692.79652173887</v>
      </c>
      <c r="AN210" t="str">
        <f ca="1"/>
        <v>O-45694-D-0025</v>
      </c>
      <c r="AO210" t="str">
        <f ca="1"/>
        <v>Delivered</v>
      </c>
    </row>
    <row r="211" spans="1:41" x14ac:dyDescent="0.5">
      <c r="A211" t="str">
        <f ca="1"/>
        <v>F-157</v>
      </c>
      <c r="B211" s="1">
        <f ca="1"/>
        <v>45694</v>
      </c>
      <c r="C211" t="str">
        <f ca="1"/>
        <v>D-0025</v>
      </c>
      <c r="D211" t="str">
        <f ca="1"/>
        <v>Rancon Motor Bikes Ltd</v>
      </c>
      <c r="E211" t="str">
        <f ca="1"/>
        <v>Dhaka</v>
      </c>
      <c r="F211" t="str">
        <f ca="1"/>
        <v/>
      </c>
      <c r="G211" t="str">
        <f ca="1"/>
        <v>Captive Sales</v>
      </c>
      <c r="H211" t="str">
        <f ca="1"/>
        <v>Captive Sales</v>
      </c>
      <c r="I211" t="str">
        <f ca="1"/>
        <v>Rancon Motor Bikes Ltd</v>
      </c>
      <c r="J211" t="str">
        <f ca="1"/>
        <v>Dhaka</v>
      </c>
      <c r="K211" t="str">
        <f ca="1"/>
        <v>LO00065</v>
      </c>
      <c r="L211" t="str">
        <f ca="1"/>
        <v>Fork Oil Expert</v>
      </c>
      <c r="M211">
        <f ca="1"/>
        <v>4256</v>
      </c>
      <c r="N211">
        <f ca="1"/>
        <v>115</v>
      </c>
      <c r="O211">
        <f ca="1"/>
        <v>744.8</v>
      </c>
      <c r="P211">
        <f ca="1"/>
        <v>0</v>
      </c>
      <c r="Q211">
        <f ca="1"/>
        <v>0</v>
      </c>
      <c r="R211">
        <f ca="1"/>
        <v>115</v>
      </c>
      <c r="S211">
        <f ca="1"/>
        <v>4256</v>
      </c>
      <c r="T211">
        <f ca="1"/>
        <v>744.8</v>
      </c>
      <c r="U211">
        <f ca="1"/>
        <v>489440</v>
      </c>
      <c r="V211">
        <f ca="1"/>
        <v>0</v>
      </c>
      <c r="W211">
        <f ca="1"/>
        <v>489440</v>
      </c>
      <c r="X211">
        <f ca="1"/>
        <v>63840</v>
      </c>
      <c r="Y211">
        <f ca="1"/>
        <v>425600</v>
      </c>
      <c r="Z211" t="str">
        <f ca="1"/>
        <v>Cash</v>
      </c>
      <c r="AA211">
        <f ca="1"/>
        <v>626</v>
      </c>
      <c r="AB211" t="str">
        <f ca="1"/>
        <v>Custom</v>
      </c>
      <c r="AC211">
        <f ca="1"/>
        <v>45694</v>
      </c>
      <c r="AD211" t="str">
        <f ca="1"/>
        <v/>
      </c>
      <c r="AE211" t="str">
        <f ca="1"/>
        <v>Captive Sales</v>
      </c>
      <c r="AF211" t="str">
        <f ca="1"/>
        <v>Care Products</v>
      </c>
      <c r="AG211" t="str">
        <f ca="1"/>
        <v>Care Products</v>
      </c>
      <c r="AH211" t="str">
        <f ca="1"/>
        <v>Care Products</v>
      </c>
      <c r="AI211" t="str">
        <f ca="1"/>
        <v>Fork Oil</v>
      </c>
      <c r="AJ211">
        <f ca="1"/>
        <v>0</v>
      </c>
      <c r="AK211" t="str">
        <f ca="1"/>
        <v>40x0.175L</v>
      </c>
      <c r="AL211">
        <f ca="1"/>
        <v>352184</v>
      </c>
      <c r="AM211">
        <f ca="1"/>
        <v>73416</v>
      </c>
      <c r="AN211" t="str">
        <f ca="1"/>
        <v>O-45694-D-0025</v>
      </c>
      <c r="AO211" t="str">
        <f ca="1"/>
        <v>Delivered</v>
      </c>
    </row>
    <row r="212" spans="1:41" x14ac:dyDescent="0.5">
      <c r="A212" t="str">
        <f ca="1"/>
        <v>F-157</v>
      </c>
      <c r="B212" s="1">
        <f ca="1"/>
        <v>45694</v>
      </c>
      <c r="C212" t="str">
        <f ca="1"/>
        <v>D-0025</v>
      </c>
      <c r="D212" t="str">
        <f ca="1"/>
        <v>Rancon Motor Bikes Ltd</v>
      </c>
      <c r="E212" t="str">
        <f ca="1"/>
        <v>Dhaka</v>
      </c>
      <c r="F212" t="str">
        <f ca="1"/>
        <v/>
      </c>
      <c r="G212" t="str">
        <f ca="1"/>
        <v>Captive Sales</v>
      </c>
      <c r="H212" t="str">
        <f ca="1"/>
        <v>Captive Sales</v>
      </c>
      <c r="I212" t="str">
        <f ca="1"/>
        <v>Rancon Motor Bikes Ltd</v>
      </c>
      <c r="J212" t="str">
        <f ca="1"/>
        <v>Dhaka</v>
      </c>
      <c r="K212" t="str">
        <f ca="1"/>
        <v>LO00076</v>
      </c>
      <c r="L212" t="str">
        <f ca="1"/>
        <v>Inugel Expert Coolant</v>
      </c>
      <c r="M212">
        <f ca="1"/>
        <v>200</v>
      </c>
      <c r="N212">
        <f ca="1"/>
        <v>340</v>
      </c>
      <c r="O212">
        <f ca="1"/>
        <v>200</v>
      </c>
      <c r="P212">
        <f ca="1"/>
        <v>0</v>
      </c>
      <c r="Q212">
        <f ca="1"/>
        <v>0</v>
      </c>
      <c r="R212">
        <f ca="1"/>
        <v>340</v>
      </c>
      <c r="S212">
        <f ca="1"/>
        <v>200</v>
      </c>
      <c r="T212">
        <f ca="1"/>
        <v>200</v>
      </c>
      <c r="U212">
        <f ca="1"/>
        <v>68000</v>
      </c>
      <c r="V212">
        <f ca="1"/>
        <v>0</v>
      </c>
      <c r="W212">
        <f ca="1"/>
        <v>68000</v>
      </c>
      <c r="X212">
        <f ca="1"/>
        <v>8869.565217391304</v>
      </c>
      <c r="Y212">
        <f ca="1"/>
        <v>59130.434782608696</v>
      </c>
      <c r="Z212" t="str">
        <f ca="1"/>
        <v>Cash</v>
      </c>
      <c r="AA212">
        <f ca="1"/>
        <v>626</v>
      </c>
      <c r="AB212" t="str">
        <f ca="1"/>
        <v>Custom</v>
      </c>
      <c r="AC212">
        <f ca="1"/>
        <v>45694</v>
      </c>
      <c r="AD212" t="str">
        <f ca="1"/>
        <v/>
      </c>
      <c r="AE212" t="str">
        <f ca="1"/>
        <v>Captive Sales</v>
      </c>
      <c r="AF212" t="str">
        <f ca="1"/>
        <v>Care Products</v>
      </c>
      <c r="AG212" t="str">
        <f ca="1"/>
        <v>Care Products</v>
      </c>
      <c r="AH212" t="str">
        <f ca="1"/>
        <v>Care Products</v>
      </c>
      <c r="AI212" t="str">
        <f ca="1"/>
        <v>Coolant</v>
      </c>
      <c r="AJ212">
        <f ca="1"/>
        <v>0</v>
      </c>
      <c r="AK212" t="str">
        <f ca="1"/>
        <v>20x1L</v>
      </c>
      <c r="AL212">
        <f ca="1"/>
        <v>46128</v>
      </c>
      <c r="AM212">
        <f ca="1"/>
        <v>13002.434782608696</v>
      </c>
      <c r="AN212" t="str">
        <f ca="1"/>
        <v>O-45694-D-0025</v>
      </c>
      <c r="AO212" t="str">
        <f ca="1"/>
        <v>Delivered</v>
      </c>
    </row>
    <row r="213" spans="1:41" x14ac:dyDescent="0.5">
      <c r="A213" t="str">
        <f ca="1"/>
        <v>F-157</v>
      </c>
      <c r="B213" s="1">
        <f ca="1"/>
        <v>45694</v>
      </c>
      <c r="C213" t="str">
        <f ca="1"/>
        <v>D-0025</v>
      </c>
      <c r="D213" t="str">
        <f ca="1"/>
        <v>Rancon Motor Bikes Ltd</v>
      </c>
      <c r="E213" t="str">
        <f ca="1"/>
        <v>Dhaka</v>
      </c>
      <c r="F213" t="str">
        <f ca="1"/>
        <v/>
      </c>
      <c r="G213" t="str">
        <f ca="1"/>
        <v>Captive Sales</v>
      </c>
      <c r="H213" t="str">
        <f ca="1"/>
        <v>Captive Sales</v>
      </c>
      <c r="I213" t="str">
        <f ca="1"/>
        <v>Rancon Motor Bikes Ltd</v>
      </c>
      <c r="J213" t="str">
        <f ca="1"/>
        <v>Dhaka</v>
      </c>
      <c r="K213" t="str">
        <f ca="1"/>
        <v>LO00067</v>
      </c>
      <c r="L213" t="str">
        <f ca="1"/>
        <v>C1 CHAIN CLEAN</v>
      </c>
      <c r="M213">
        <f ca="1"/>
        <v>552</v>
      </c>
      <c r="N213">
        <f ca="1"/>
        <v>1000</v>
      </c>
      <c r="O213">
        <f ca="1"/>
        <v>220.8</v>
      </c>
      <c r="P213">
        <f ca="1"/>
        <v>0</v>
      </c>
      <c r="Q213">
        <f ca="1"/>
        <v>0</v>
      </c>
      <c r="R213">
        <f ca="1"/>
        <v>1000</v>
      </c>
      <c r="S213">
        <f ca="1"/>
        <v>552</v>
      </c>
      <c r="T213">
        <f ca="1"/>
        <v>220.8</v>
      </c>
      <c r="U213">
        <f ca="1"/>
        <v>552000</v>
      </c>
      <c r="V213">
        <f ca="1"/>
        <v>0</v>
      </c>
      <c r="W213">
        <f ca="1"/>
        <v>552000</v>
      </c>
      <c r="X213">
        <f ca="1"/>
        <v>72000</v>
      </c>
      <c r="Y213">
        <f ca="1"/>
        <v>480000</v>
      </c>
      <c r="Z213" t="str">
        <f ca="1"/>
        <v>Cash</v>
      </c>
      <c r="AA213">
        <f ca="1"/>
        <v>626</v>
      </c>
      <c r="AB213" t="str">
        <f ca="1"/>
        <v>Custom</v>
      </c>
      <c r="AC213">
        <f ca="1"/>
        <v>45694</v>
      </c>
      <c r="AD213" t="str">
        <f ca="1"/>
        <v/>
      </c>
      <c r="AE213" t="str">
        <f ca="1"/>
        <v>Captive Sales</v>
      </c>
      <c r="AF213" t="str">
        <f ca="1"/>
        <v>Care Products</v>
      </c>
      <c r="AG213" t="str">
        <f ca="1"/>
        <v>Care Products</v>
      </c>
      <c r="AH213" t="str">
        <f ca="1"/>
        <v>Care Products</v>
      </c>
      <c r="AI213" t="str">
        <f ca="1"/>
        <v>Chain</v>
      </c>
      <c r="AJ213">
        <f ca="1"/>
        <v>0</v>
      </c>
      <c r="AK213" t="str">
        <f ca="1"/>
        <v>12x0.4L</v>
      </c>
      <c r="AL213">
        <f ca="1"/>
        <v>371938.58972273569</v>
      </c>
      <c r="AM213">
        <f ca="1"/>
        <v>108061.41027726431</v>
      </c>
      <c r="AN213" t="str">
        <f ca="1"/>
        <v>O-45694-D-0025</v>
      </c>
      <c r="AO213" t="str">
        <f ca="1"/>
        <v>Delivered</v>
      </c>
    </row>
    <row r="214" spans="1:41" x14ac:dyDescent="0.5">
      <c r="A214" t="str">
        <f ca="1"/>
        <v>F-157</v>
      </c>
      <c r="B214" s="1">
        <f ca="1"/>
        <v>45694</v>
      </c>
      <c r="C214" t="str">
        <f ca="1"/>
        <v>D-0025</v>
      </c>
      <c r="D214" t="str">
        <f ca="1"/>
        <v>Rancon Motor Bikes Ltd</v>
      </c>
      <c r="E214" t="str">
        <f ca="1"/>
        <v>Dhaka</v>
      </c>
      <c r="F214" t="str">
        <f ca="1"/>
        <v/>
      </c>
      <c r="G214" t="str">
        <f ca="1"/>
        <v>Captive Sales</v>
      </c>
      <c r="H214" t="str">
        <f ca="1"/>
        <v>Captive Sales</v>
      </c>
      <c r="I214" t="str">
        <f ca="1"/>
        <v>Rancon Motor Bikes Ltd</v>
      </c>
      <c r="J214" t="str">
        <f ca="1"/>
        <v>Dhaka</v>
      </c>
      <c r="K214" t="str">
        <f ca="1"/>
        <v>LO00068</v>
      </c>
      <c r="L214" t="str">
        <f ca="1"/>
        <v>C1 CHAIN CLEAN</v>
      </c>
      <c r="M214">
        <f ca="1"/>
        <v>260</v>
      </c>
      <c r="N214">
        <f ca="1"/>
        <v>460</v>
      </c>
      <c r="O214">
        <f ca="1"/>
        <v>39</v>
      </c>
      <c r="P214">
        <f ca="1"/>
        <v>-2.2204460492503131E-16</v>
      </c>
      <c r="Q214">
        <f ca="1"/>
        <v>0</v>
      </c>
      <c r="R214">
        <f ca="1"/>
        <v>460.00000000000006</v>
      </c>
      <c r="S214">
        <f ca="1"/>
        <v>260</v>
      </c>
      <c r="T214">
        <f ca="1"/>
        <v>39</v>
      </c>
      <c r="U214">
        <f ca="1"/>
        <v>119600</v>
      </c>
      <c r="V214">
        <f ca="1"/>
        <v>0</v>
      </c>
      <c r="W214">
        <f ca="1"/>
        <v>119600.00000000001</v>
      </c>
      <c r="X214">
        <f ca="1"/>
        <v>15600.000000000002</v>
      </c>
      <c r="Y214">
        <f ca="1"/>
        <v>104000.00000000001</v>
      </c>
      <c r="Z214" t="str">
        <f ca="1"/>
        <v>Cash</v>
      </c>
      <c r="AA214">
        <f ca="1"/>
        <v>626</v>
      </c>
      <c r="AB214" t="str">
        <f ca="1"/>
        <v>Custom</v>
      </c>
      <c r="AC214">
        <f ca="1"/>
        <v>45694</v>
      </c>
      <c r="AD214" t="str">
        <f ca="1"/>
        <v/>
      </c>
      <c r="AE214" t="str">
        <f ca="1"/>
        <v>Captive Sales</v>
      </c>
      <c r="AF214" t="str">
        <f ca="1"/>
        <v>Care Products</v>
      </c>
      <c r="AG214" t="str">
        <f ca="1"/>
        <v>Care Products</v>
      </c>
      <c r="AH214" t="str">
        <f ca="1"/>
        <v>Care Products</v>
      </c>
      <c r="AI214" t="str">
        <f ca="1"/>
        <v>Chain</v>
      </c>
      <c r="AJ214">
        <f ca="1"/>
        <v>0</v>
      </c>
      <c r="AK214" t="str">
        <f ca="1"/>
        <v>20x0.15L</v>
      </c>
      <c r="AL214">
        <f ca="1"/>
        <v>92844.097101449282</v>
      </c>
      <c r="AM214">
        <f ca="1"/>
        <v>11155.902898550732</v>
      </c>
      <c r="AN214" t="str">
        <f ca="1"/>
        <v>O-45694-D-0025</v>
      </c>
      <c r="AO214" t="str">
        <f ca="1"/>
        <v>Delivered</v>
      </c>
    </row>
    <row r="215" spans="1:41" x14ac:dyDescent="0.5">
      <c r="A215" t="str">
        <f ca="1"/>
        <v>F-157</v>
      </c>
      <c r="B215" s="1">
        <f ca="1"/>
        <v>45694</v>
      </c>
      <c r="C215" t="str">
        <f ca="1"/>
        <v>D-0025</v>
      </c>
      <c r="D215" t="str">
        <f ca="1"/>
        <v>Rancon Motor Bikes Ltd</v>
      </c>
      <c r="E215" t="str">
        <f ca="1"/>
        <v>Dhaka</v>
      </c>
      <c r="F215" t="str">
        <f ca="1"/>
        <v/>
      </c>
      <c r="G215" t="str">
        <f ca="1"/>
        <v>Captive Sales</v>
      </c>
      <c r="H215" t="str">
        <f ca="1"/>
        <v>Captive Sales</v>
      </c>
      <c r="I215" t="str">
        <f ca="1"/>
        <v>Rancon Motor Bikes Ltd</v>
      </c>
      <c r="J215" t="str">
        <f ca="1"/>
        <v>Dhaka</v>
      </c>
      <c r="K215" t="str">
        <f ca="1"/>
        <v>LO00069</v>
      </c>
      <c r="L215" t="str">
        <f ca="1"/>
        <v>C2 CHAIN LUBE ROAD</v>
      </c>
      <c r="M215">
        <f ca="1"/>
        <v>255</v>
      </c>
      <c r="N215">
        <f ca="1"/>
        <v>955</v>
      </c>
      <c r="O215">
        <f ca="1"/>
        <v>102</v>
      </c>
      <c r="P215">
        <f ca="1"/>
        <v>0</v>
      </c>
      <c r="Q215">
        <f ca="1"/>
        <v>0</v>
      </c>
      <c r="R215">
        <f ca="1"/>
        <v>955</v>
      </c>
      <c r="S215">
        <f ca="1"/>
        <v>255</v>
      </c>
      <c r="T215">
        <f ca="1"/>
        <v>102</v>
      </c>
      <c r="U215">
        <f ca="1"/>
        <v>243525</v>
      </c>
      <c r="V215">
        <f ca="1"/>
        <v>0</v>
      </c>
      <c r="W215">
        <f ca="1"/>
        <v>243525</v>
      </c>
      <c r="X215">
        <f ca="1"/>
        <v>31764.130434782608</v>
      </c>
      <c r="Y215">
        <f ca="1"/>
        <v>211760.86956521738</v>
      </c>
      <c r="Z215" t="str">
        <f ca="1"/>
        <v>Cash</v>
      </c>
      <c r="AA215">
        <f ca="1"/>
        <v>626</v>
      </c>
      <c r="AB215" t="str">
        <f ca="1"/>
        <v>Custom</v>
      </c>
      <c r="AC215">
        <f ca="1"/>
        <v>45694</v>
      </c>
      <c r="AD215" t="str">
        <f ca="1"/>
        <v/>
      </c>
      <c r="AE215" t="str">
        <f ca="1"/>
        <v>Captive Sales</v>
      </c>
      <c r="AF215" t="str">
        <f ca="1"/>
        <v>Care Products</v>
      </c>
      <c r="AG215" t="str">
        <f ca="1"/>
        <v>Care Products</v>
      </c>
      <c r="AH215" t="str">
        <f ca="1"/>
        <v>Care Products</v>
      </c>
      <c r="AI215" t="str">
        <f ca="1"/>
        <v>Chain</v>
      </c>
      <c r="AJ215">
        <f ca="1"/>
        <v>0</v>
      </c>
      <c r="AK215" t="str">
        <f ca="1"/>
        <v>12x0.4L</v>
      </c>
      <c r="AL215">
        <f ca="1"/>
        <v>180139.39780219781</v>
      </c>
      <c r="AM215">
        <f ca="1"/>
        <v>31621.471763019566</v>
      </c>
      <c r="AN215" t="str">
        <f ca="1"/>
        <v>O-45694-D-0025</v>
      </c>
      <c r="AO215" t="str">
        <f ca="1"/>
        <v>Delivered</v>
      </c>
    </row>
    <row r="216" spans="1:41" x14ac:dyDescent="0.5">
      <c r="A216" t="str">
        <f ca="1"/>
        <v>F-157</v>
      </c>
      <c r="B216" s="1">
        <f ca="1"/>
        <v>45694</v>
      </c>
      <c r="C216" t="str">
        <f ca="1"/>
        <v>D-0025</v>
      </c>
      <c r="D216" t="str">
        <f ca="1"/>
        <v>Rancon Motor Bikes Ltd</v>
      </c>
      <c r="E216" t="str">
        <f ca="1"/>
        <v>Dhaka</v>
      </c>
      <c r="F216" t="str">
        <f ca="1"/>
        <v/>
      </c>
      <c r="G216" t="str">
        <f ca="1"/>
        <v>Captive Sales</v>
      </c>
      <c r="H216" t="str">
        <f ca="1"/>
        <v>Captive Sales</v>
      </c>
      <c r="I216" t="str">
        <f ca="1"/>
        <v>Rancon Motor Bikes Ltd</v>
      </c>
      <c r="J216" t="str">
        <f ca="1"/>
        <v>Dhaka</v>
      </c>
      <c r="K216" t="str">
        <f ca="1"/>
        <v>LO00089</v>
      </c>
      <c r="L216" t="str">
        <f ca="1"/>
        <v>Helmet &amp; Visor Clean</v>
      </c>
      <c r="M216">
        <f ca="1"/>
        <v>213</v>
      </c>
      <c r="N216">
        <f ca="1"/>
        <v>610</v>
      </c>
      <c r="O216">
        <f ca="1"/>
        <v>53.25</v>
      </c>
      <c r="P216">
        <f ca="1"/>
        <v>0</v>
      </c>
      <c r="Q216">
        <f ca="1"/>
        <v>0</v>
      </c>
      <c r="R216">
        <f ca="1"/>
        <v>610</v>
      </c>
      <c r="S216">
        <f ca="1"/>
        <v>213</v>
      </c>
      <c r="T216">
        <f ca="1"/>
        <v>53.25</v>
      </c>
      <c r="U216">
        <f ca="1"/>
        <v>129930</v>
      </c>
      <c r="V216">
        <f ca="1"/>
        <v>0</v>
      </c>
      <c r="W216">
        <f ca="1"/>
        <v>129930</v>
      </c>
      <c r="X216">
        <f ca="1"/>
        <v>16947.391304347828</v>
      </c>
      <c r="Y216">
        <f ca="1"/>
        <v>112982.60869565218</v>
      </c>
      <c r="Z216" t="str">
        <f ca="1"/>
        <v>Cash</v>
      </c>
      <c r="AA216">
        <f ca="1"/>
        <v>626</v>
      </c>
      <c r="AB216" t="str">
        <f ca="1"/>
        <v>Custom</v>
      </c>
      <c r="AC216">
        <f ca="1"/>
        <v>45694</v>
      </c>
      <c r="AD216" t="str">
        <f ca="1"/>
        <v/>
      </c>
      <c r="AE216" t="str">
        <f ca="1"/>
        <v>Captive Sales</v>
      </c>
      <c r="AF216" t="str">
        <f ca="1"/>
        <v>Care Products</v>
      </c>
      <c r="AG216" t="str">
        <f ca="1"/>
        <v>Care Products</v>
      </c>
      <c r="AH216" t="str">
        <f ca="1"/>
        <v>Care Products</v>
      </c>
      <c r="AI216" t="str">
        <f ca="1"/>
        <v>Helmet</v>
      </c>
      <c r="AJ216">
        <f ca="1"/>
        <v>0</v>
      </c>
      <c r="AK216" t="str">
        <f ca="1"/>
        <v>12x0.25L</v>
      </c>
      <c r="AL216">
        <f ca="1"/>
        <v>97858.59</v>
      </c>
      <c r="AM216">
        <f ca="1"/>
        <v>15124.018695652179</v>
      </c>
      <c r="AN216" t="str">
        <f ca="1"/>
        <v>O-45694-D-0025</v>
      </c>
      <c r="AO216" t="str">
        <f ca="1"/>
        <v>Delivered</v>
      </c>
    </row>
    <row r="217" spans="1:41" x14ac:dyDescent="0.5">
      <c r="A217" t="str">
        <f ca="1"/>
        <v>F-158</v>
      </c>
      <c r="B217" s="1">
        <f ca="1"/>
        <v>45694</v>
      </c>
      <c r="C217" t="str">
        <f ca="1"/>
        <v>D-0025</v>
      </c>
      <c r="D217" t="str">
        <f ca="1"/>
        <v>Rancon Motor Bikes Ltd</v>
      </c>
      <c r="E217" t="str">
        <f ca="1"/>
        <v>Dhaka</v>
      </c>
      <c r="F217" t="str">
        <f ca="1"/>
        <v/>
      </c>
      <c r="G217" t="str">
        <f ca="1"/>
        <v>Captive Sales</v>
      </c>
      <c r="H217" t="str">
        <f ca="1"/>
        <v>Captive Sales</v>
      </c>
      <c r="I217" t="str">
        <f ca="1"/>
        <v>Rancon Motor Bikes Ltd</v>
      </c>
      <c r="J217" t="str">
        <f ca="1"/>
        <v>Dhaka</v>
      </c>
      <c r="K217" t="str">
        <f ca="1"/>
        <v>LO00090</v>
      </c>
      <c r="L217" t="str">
        <f ca="1"/>
        <v>Helmet Interior Clean</v>
      </c>
      <c r="M217">
        <f ca="1"/>
        <v>222</v>
      </c>
      <c r="N217">
        <f ca="1"/>
        <v>670</v>
      </c>
      <c r="O217">
        <f ca="1"/>
        <v>55.5</v>
      </c>
      <c r="P217">
        <f ca="1"/>
        <v>0</v>
      </c>
      <c r="Q217">
        <f ca="1"/>
        <v>0</v>
      </c>
      <c r="R217">
        <f ca="1"/>
        <v>670</v>
      </c>
      <c r="S217">
        <f ca="1"/>
        <v>222</v>
      </c>
      <c r="T217">
        <f ca="1"/>
        <v>55.5</v>
      </c>
      <c r="U217">
        <f ca="1"/>
        <v>148740</v>
      </c>
      <c r="V217">
        <f ca="1"/>
        <v>0</v>
      </c>
      <c r="W217">
        <f ca="1"/>
        <v>148740</v>
      </c>
      <c r="X217">
        <f ca="1"/>
        <v>19400.869565217392</v>
      </c>
      <c r="Y217">
        <f ca="1"/>
        <v>129339.13043478261</v>
      </c>
      <c r="Z217" t="str">
        <f ca="1"/>
        <v>Cash</v>
      </c>
      <c r="AA217">
        <f ca="1"/>
        <v>627</v>
      </c>
      <c r="AB217" t="str">
        <f ca="1"/>
        <v>Custom</v>
      </c>
      <c r="AC217">
        <f ca="1"/>
        <v>45694</v>
      </c>
      <c r="AD217" t="str">
        <f ca="1"/>
        <v/>
      </c>
      <c r="AE217" t="str">
        <f ca="1"/>
        <v>Captive Sales</v>
      </c>
      <c r="AF217" t="str">
        <f ca="1"/>
        <v>Care Products</v>
      </c>
      <c r="AG217" t="str">
        <f ca="1"/>
        <v>Care Products</v>
      </c>
      <c r="AH217" t="str">
        <f ca="1"/>
        <v>Care Products</v>
      </c>
      <c r="AI217" t="str">
        <f ca="1"/>
        <v>Helmet</v>
      </c>
      <c r="AJ217">
        <f ca="1"/>
        <v>0</v>
      </c>
      <c r="AK217" t="str">
        <f ca="1"/>
        <v>12x0.25L</v>
      </c>
      <c r="AL217">
        <f ca="1"/>
        <v>111719.28</v>
      </c>
      <c r="AM217">
        <f ca="1"/>
        <v>17619.850434782609</v>
      </c>
      <c r="AN217" t="str">
        <f ca="1"/>
        <v>O-45694-D-0025</v>
      </c>
      <c r="AO217" t="str">
        <f ca="1"/>
        <v>Delivered</v>
      </c>
    </row>
    <row r="218" spans="1:41" x14ac:dyDescent="0.5">
      <c r="A218" t="str">
        <f ca="1"/>
        <v>F-158</v>
      </c>
      <c r="B218" s="1">
        <f ca="1"/>
        <v>45694</v>
      </c>
      <c r="C218" t="str">
        <f ca="1"/>
        <v>D-0025</v>
      </c>
      <c r="D218" t="str">
        <f ca="1"/>
        <v>Rancon Motor Bikes Ltd</v>
      </c>
      <c r="E218" t="str">
        <f ca="1"/>
        <v>Dhaka</v>
      </c>
      <c r="F218" t="str">
        <f ca="1"/>
        <v/>
      </c>
      <c r="G218" t="str">
        <f ca="1"/>
        <v>Captive Sales</v>
      </c>
      <c r="H218" t="str">
        <f ca="1"/>
        <v>Captive Sales</v>
      </c>
      <c r="I218" t="str">
        <f ca="1"/>
        <v>Rancon Motor Bikes Ltd</v>
      </c>
      <c r="J218" t="str">
        <f ca="1"/>
        <v>Dhaka</v>
      </c>
      <c r="K218" t="str">
        <f ca="1"/>
        <v>LO00093</v>
      </c>
      <c r="L218" t="str">
        <f ca="1"/>
        <v>Tire Repair</v>
      </c>
      <c r="M218">
        <f ca="1"/>
        <v>113</v>
      </c>
      <c r="N218">
        <f ca="1"/>
        <v>610</v>
      </c>
      <c r="O218">
        <f ca="1"/>
        <v>33.9</v>
      </c>
      <c r="P218">
        <f ca="1"/>
        <v>0</v>
      </c>
      <c r="Q218">
        <f ca="1"/>
        <v>0</v>
      </c>
      <c r="R218">
        <f ca="1"/>
        <v>610</v>
      </c>
      <c r="S218">
        <f ca="1"/>
        <v>113</v>
      </c>
      <c r="T218">
        <f ca="1"/>
        <v>33.9</v>
      </c>
      <c r="U218">
        <f ca="1"/>
        <v>68930</v>
      </c>
      <c r="V218">
        <f ca="1"/>
        <v>0</v>
      </c>
      <c r="W218">
        <f ca="1"/>
        <v>68930</v>
      </c>
      <c r="X218">
        <f ca="1"/>
        <v>8990.8695652173919</v>
      </c>
      <c r="Y218">
        <f ca="1"/>
        <v>59939.130434782608</v>
      </c>
      <c r="Z218" t="str">
        <f ca="1"/>
        <v>Cash</v>
      </c>
      <c r="AA218">
        <f ca="1"/>
        <v>627</v>
      </c>
      <c r="AB218" t="str">
        <f ca="1"/>
        <v>Custom</v>
      </c>
      <c r="AC218">
        <f ca="1"/>
        <v>45694</v>
      </c>
      <c r="AD218" t="str">
        <f ca="1"/>
        <v/>
      </c>
      <c r="AE218" t="str">
        <f ca="1"/>
        <v>Captive Sales</v>
      </c>
      <c r="AF218" t="str">
        <f ca="1"/>
        <v>Care Products</v>
      </c>
      <c r="AG218" t="str">
        <f ca="1"/>
        <v>Care Products</v>
      </c>
      <c r="AH218" t="str">
        <f ca="1"/>
        <v>Care Products</v>
      </c>
      <c r="AI218" t="str">
        <f ca="1"/>
        <v>Tire</v>
      </c>
      <c r="AJ218">
        <f ca="1"/>
        <v>0</v>
      </c>
      <c r="AK218" t="str">
        <f ca="1"/>
        <v>12x0.3L</v>
      </c>
      <c r="AL218">
        <f ca="1"/>
        <v>89498.26</v>
      </c>
      <c r="AM218">
        <f ca="1"/>
        <v>-29559.129565217387</v>
      </c>
      <c r="AN218" t="str">
        <f ca="1"/>
        <v>O-45694-D-0025</v>
      </c>
      <c r="AO218" t="str">
        <f ca="1"/>
        <v>Delivered</v>
      </c>
    </row>
    <row r="219" spans="1:41" x14ac:dyDescent="0.5">
      <c r="A219" t="str">
        <f ca="1"/>
        <v>F-158</v>
      </c>
      <c r="B219" s="1">
        <f ca="1"/>
        <v>45694</v>
      </c>
      <c r="C219" t="str">
        <f ca="1"/>
        <v>D-0025</v>
      </c>
      <c r="D219" t="str">
        <f ca="1"/>
        <v>Rancon Motor Bikes Ltd</v>
      </c>
      <c r="E219" t="str">
        <f ca="1"/>
        <v>Dhaka</v>
      </c>
      <c r="F219" t="str">
        <f ca="1"/>
        <v/>
      </c>
      <c r="G219" t="str">
        <f ca="1"/>
        <v>Captive Sales</v>
      </c>
      <c r="H219" t="str">
        <f ca="1"/>
        <v>Captive Sales</v>
      </c>
      <c r="I219" t="str">
        <f ca="1"/>
        <v>Rancon Motor Bikes Ltd</v>
      </c>
      <c r="J219" t="str">
        <f ca="1"/>
        <v>Dhaka</v>
      </c>
      <c r="K219" t="str">
        <f ca="1"/>
        <v>LO00116</v>
      </c>
      <c r="L219" t="str">
        <f ca="1"/>
        <v>Engine Flush</v>
      </c>
      <c r="M219">
        <f ca="1"/>
        <v>4872</v>
      </c>
      <c r="N219">
        <f ca="1"/>
        <v>195</v>
      </c>
      <c r="O219">
        <f ca="1"/>
        <v>243.60000000000002</v>
      </c>
      <c r="P219">
        <f ca="1"/>
        <v>0</v>
      </c>
      <c r="Q219">
        <f ca="1"/>
        <v>0</v>
      </c>
      <c r="R219">
        <f ca="1"/>
        <v>195</v>
      </c>
      <c r="S219">
        <f ca="1"/>
        <v>4872</v>
      </c>
      <c r="T219">
        <f ca="1"/>
        <v>243.60000000000002</v>
      </c>
      <c r="U219">
        <f ca="1"/>
        <v>950040</v>
      </c>
      <c r="V219">
        <f ca="1"/>
        <v>0</v>
      </c>
      <c r="W219">
        <f ca="1"/>
        <v>950040</v>
      </c>
      <c r="X219">
        <f ca="1"/>
        <v>123918.26086956522</v>
      </c>
      <c r="Y219">
        <f ca="1"/>
        <v>826121.73913043481</v>
      </c>
      <c r="Z219" t="str">
        <f ca="1"/>
        <v>Cash</v>
      </c>
      <c r="AA219">
        <f ca="1"/>
        <v>627</v>
      </c>
      <c r="AB219" t="str">
        <f ca="1"/>
        <v>Custom</v>
      </c>
      <c r="AC219">
        <f ca="1"/>
        <v>45694</v>
      </c>
      <c r="AD219" t="str">
        <f ca="1"/>
        <v/>
      </c>
      <c r="AE219" t="str">
        <f ca="1"/>
        <v>Captive Sales</v>
      </c>
      <c r="AF219" t="str">
        <f ca="1"/>
        <v>Care Products</v>
      </c>
      <c r="AG219" t="str">
        <f ca="1"/>
        <v>Care Products</v>
      </c>
      <c r="AH219" t="str">
        <f ca="1"/>
        <v>Care Products</v>
      </c>
      <c r="AI219" t="str">
        <f ca="1"/>
        <v>Clean</v>
      </c>
      <c r="AJ219">
        <f ca="1"/>
        <v>0</v>
      </c>
      <c r="AK219" t="str">
        <f ca="1"/>
        <v>24x0.05L</v>
      </c>
      <c r="AL219">
        <f ca="1"/>
        <v>633895.92000000004</v>
      </c>
      <c r="AM219">
        <f ca="1"/>
        <v>192225.81913043477</v>
      </c>
      <c r="AN219" t="str">
        <f ca="1"/>
        <v>O-45694-D-0025</v>
      </c>
      <c r="AO219" t="str">
        <f ca="1"/>
        <v>Delivered</v>
      </c>
    </row>
    <row r="220" spans="1:41" x14ac:dyDescent="0.5">
      <c r="A220" t="str">
        <f ca="1"/>
        <v>F-158</v>
      </c>
      <c r="B220" s="1">
        <f ca="1"/>
        <v>45694</v>
      </c>
      <c r="C220" t="str">
        <f ca="1"/>
        <v>D-0025</v>
      </c>
      <c r="D220" t="str">
        <f ca="1"/>
        <v>Rancon Motor Bikes Ltd</v>
      </c>
      <c r="E220" t="str">
        <f ca="1"/>
        <v>Dhaka</v>
      </c>
      <c r="F220" t="str">
        <f ca="1"/>
        <v/>
      </c>
      <c r="G220" t="str">
        <f ca="1"/>
        <v>Captive Sales</v>
      </c>
      <c r="H220" t="str">
        <f ca="1"/>
        <v>Captive Sales</v>
      </c>
      <c r="I220" t="str">
        <f ca="1"/>
        <v>Rancon Motor Bikes Ltd</v>
      </c>
      <c r="J220" t="str">
        <f ca="1"/>
        <v>Dhaka</v>
      </c>
      <c r="K220" t="str">
        <f ca="1"/>
        <v>LO00117</v>
      </c>
      <c r="L220" t="str">
        <f ca="1"/>
        <v>Brake Fluid DOT 4</v>
      </c>
      <c r="M220">
        <f ca="1"/>
        <v>11840</v>
      </c>
      <c r="N220">
        <f ca="1"/>
        <v>120</v>
      </c>
      <c r="O220">
        <f ca="1"/>
        <v>1184</v>
      </c>
      <c r="P220">
        <f ca="1"/>
        <v>0</v>
      </c>
      <c r="Q220">
        <f ca="1"/>
        <v>0</v>
      </c>
      <c r="R220">
        <f ca="1"/>
        <v>120</v>
      </c>
      <c r="S220">
        <f ca="1"/>
        <v>11840</v>
      </c>
      <c r="T220">
        <f ca="1"/>
        <v>1184</v>
      </c>
      <c r="U220">
        <f ca="1"/>
        <v>1420800</v>
      </c>
      <c r="V220">
        <f ca="1"/>
        <v>0</v>
      </c>
      <c r="W220">
        <f ca="1"/>
        <v>1420800</v>
      </c>
      <c r="X220">
        <f ca="1"/>
        <v>185321.73913043478</v>
      </c>
      <c r="Y220">
        <f ca="1"/>
        <v>1235478.2608695652</v>
      </c>
      <c r="Z220" t="str">
        <f ca="1"/>
        <v>Cash</v>
      </c>
      <c r="AA220">
        <f ca="1"/>
        <v>627</v>
      </c>
      <c r="AB220" t="str">
        <f ca="1"/>
        <v>Custom</v>
      </c>
      <c r="AC220">
        <f ca="1"/>
        <v>45694</v>
      </c>
      <c r="AD220" t="str">
        <f ca="1"/>
        <v/>
      </c>
      <c r="AE220" t="str">
        <f ca="1"/>
        <v>Captive Sales</v>
      </c>
      <c r="AF220" t="str">
        <f ca="1"/>
        <v>Care Products</v>
      </c>
      <c r="AG220" t="str">
        <f ca="1"/>
        <v>Care Products</v>
      </c>
      <c r="AH220" t="str">
        <f ca="1"/>
        <v>Care Products</v>
      </c>
      <c r="AI220" t="str">
        <f ca="1"/>
        <v>Brake</v>
      </c>
      <c r="AJ220">
        <f ca="1"/>
        <v>0</v>
      </c>
      <c r="AK220" t="str">
        <f ca="1"/>
        <v>40x0.1L</v>
      </c>
      <c r="AL220">
        <f ca="1"/>
        <v>856623.99999999988</v>
      </c>
      <c r="AM220">
        <f ca="1"/>
        <v>378854.2608695653</v>
      </c>
      <c r="AN220" t="str">
        <f ca="1"/>
        <v>O-45694-D-0025</v>
      </c>
      <c r="AO220" t="str">
        <f ca="1"/>
        <v>Delivered</v>
      </c>
    </row>
    <row r="221" spans="1:41" x14ac:dyDescent="0.5">
      <c r="A221" t="str">
        <f ca="1"/>
        <v>F-158</v>
      </c>
      <c r="B221" s="1">
        <f ca="1"/>
        <v>45694</v>
      </c>
      <c r="C221" t="str">
        <f ca="1"/>
        <v>D-0025</v>
      </c>
      <c r="D221" t="str">
        <f ca="1"/>
        <v>Rancon Motor Bikes Ltd</v>
      </c>
      <c r="E221" t="str">
        <f ca="1"/>
        <v>Dhaka</v>
      </c>
      <c r="F221" t="str">
        <f ca="1"/>
        <v/>
      </c>
      <c r="G221" t="str">
        <f ca="1"/>
        <v>Captive Sales</v>
      </c>
      <c r="H221" t="str">
        <f ca="1"/>
        <v>Captive Sales</v>
      </c>
      <c r="I221" t="str">
        <f ca="1"/>
        <v>Rancon Motor Bikes Ltd</v>
      </c>
      <c r="J221" t="str">
        <f ca="1"/>
        <v>Dhaka</v>
      </c>
      <c r="K221" t="str">
        <f ca="1"/>
        <v>LO00118</v>
      </c>
      <c r="L221" t="str">
        <f ca="1"/>
        <v>System Keep Clean Petrol</v>
      </c>
      <c r="M221">
        <f ca="1"/>
        <v>7876</v>
      </c>
      <c r="N221">
        <f ca="1"/>
        <v>170</v>
      </c>
      <c r="O221">
        <f ca="1"/>
        <v>393.8</v>
      </c>
      <c r="P221">
        <f ca="1"/>
        <v>0</v>
      </c>
      <c r="Q221">
        <f ca="1"/>
        <v>0</v>
      </c>
      <c r="R221">
        <f ca="1"/>
        <v>170</v>
      </c>
      <c r="S221">
        <f ca="1"/>
        <v>7876</v>
      </c>
      <c r="T221">
        <f ca="1"/>
        <v>393.8</v>
      </c>
      <c r="U221">
        <f ca="1"/>
        <v>1338920</v>
      </c>
      <c r="V221">
        <f ca="1"/>
        <v>0</v>
      </c>
      <c r="W221">
        <f ca="1"/>
        <v>1338920</v>
      </c>
      <c r="X221">
        <f ca="1"/>
        <v>174641.73913043478</v>
      </c>
      <c r="Y221">
        <f ca="1"/>
        <v>1164278.2608695652</v>
      </c>
      <c r="Z221" t="str">
        <f ca="1"/>
        <v>Cash</v>
      </c>
      <c r="AA221">
        <f ca="1"/>
        <v>627</v>
      </c>
      <c r="AB221" t="str">
        <f ca="1"/>
        <v>Custom</v>
      </c>
      <c r="AC221">
        <f ca="1"/>
        <v>45694</v>
      </c>
      <c r="AD221" t="str">
        <f ca="1"/>
        <v/>
      </c>
      <c r="AE221" t="str">
        <f ca="1"/>
        <v>Captive Sales</v>
      </c>
      <c r="AF221" t="str">
        <f ca="1"/>
        <v>Care Products</v>
      </c>
      <c r="AG221" t="str">
        <f ca="1"/>
        <v>Care Products</v>
      </c>
      <c r="AH221" t="str">
        <f ca="1"/>
        <v>Care Products</v>
      </c>
      <c r="AI221" t="str">
        <f ca="1"/>
        <v>Clean</v>
      </c>
      <c r="AJ221">
        <f ca="1"/>
        <v>0</v>
      </c>
      <c r="AK221" t="str">
        <f ca="1"/>
        <v>24x0.05L</v>
      </c>
      <c r="AL221">
        <f ca="1"/>
        <v>1040183.32</v>
      </c>
      <c r="AM221">
        <f ca="1"/>
        <v>124094.94086956524</v>
      </c>
      <c r="AN221" t="str">
        <f ca="1"/>
        <v>O-45694-D-0025</v>
      </c>
      <c r="AO221" t="str">
        <f ca="1"/>
        <v>Delivered</v>
      </c>
    </row>
    <row r="222" spans="1:41" x14ac:dyDescent="0.5">
      <c r="A222" t="str">
        <f ca="1"/>
        <v>F-158</v>
      </c>
      <c r="B222" s="1">
        <f ca="1"/>
        <v>45694</v>
      </c>
      <c r="C222" t="str">
        <f ca="1"/>
        <v>D-0025</v>
      </c>
      <c r="D222" t="str">
        <f ca="1"/>
        <v>Rancon Motor Bikes Ltd</v>
      </c>
      <c r="E222" t="str">
        <f ca="1"/>
        <v>Dhaka</v>
      </c>
      <c r="F222" t="str">
        <f ca="1"/>
        <v/>
      </c>
      <c r="G222" t="str">
        <f ca="1"/>
        <v>Captive Sales</v>
      </c>
      <c r="H222" t="str">
        <f ca="1"/>
        <v>Captive Sales</v>
      </c>
      <c r="I222" t="str">
        <f ca="1"/>
        <v>Rancon Motor Bikes Ltd</v>
      </c>
      <c r="J222" t="str">
        <f ca="1"/>
        <v>Dhaka</v>
      </c>
      <c r="K222" t="str">
        <f ca="1"/>
        <v>LO00121</v>
      </c>
      <c r="L222" t="str">
        <f ca="1"/>
        <v>Engine Flush</v>
      </c>
      <c r="M222">
        <f ca="1"/>
        <v>95</v>
      </c>
      <c r="N222">
        <f ca="1"/>
        <v>200</v>
      </c>
      <c r="O222">
        <f ca="1"/>
        <v>23.75</v>
      </c>
      <c r="P222">
        <f ca="1"/>
        <v>0</v>
      </c>
      <c r="Q222">
        <f ca="1"/>
        <v>0</v>
      </c>
      <c r="R222">
        <f ca="1"/>
        <v>200</v>
      </c>
      <c r="S222">
        <f ca="1"/>
        <v>95</v>
      </c>
      <c r="T222">
        <f ca="1"/>
        <v>23.75</v>
      </c>
      <c r="U222">
        <f ca="1"/>
        <v>19000</v>
      </c>
      <c r="V222">
        <f ca="1"/>
        <v>0</v>
      </c>
      <c r="W222">
        <f ca="1"/>
        <v>19000</v>
      </c>
      <c r="X222">
        <f ca="1"/>
        <v>2478.2608695652175</v>
      </c>
      <c r="Y222">
        <f ca="1"/>
        <v>16521.739130434784</v>
      </c>
      <c r="Z222" t="str">
        <f ca="1"/>
        <v>Cash</v>
      </c>
      <c r="AA222">
        <f ca="1"/>
        <v>627</v>
      </c>
      <c r="AB222" t="str">
        <f ca="1"/>
        <v>Custom</v>
      </c>
      <c r="AC222">
        <f ca="1"/>
        <v>45694</v>
      </c>
      <c r="AD222" t="str">
        <f ca="1"/>
        <v/>
      </c>
      <c r="AE222" t="str">
        <f ca="1"/>
        <v>Captive Sales</v>
      </c>
      <c r="AF222" t="str">
        <f ca="1"/>
        <v>Care Products</v>
      </c>
      <c r="AG222" t="str">
        <f ca="1"/>
        <v>Care Products</v>
      </c>
      <c r="AH222" t="str">
        <f ca="1"/>
        <v>Care Products</v>
      </c>
      <c r="AI222" t="str">
        <f ca="1"/>
        <v>Clean</v>
      </c>
      <c r="AJ222">
        <f ca="1"/>
        <v>0</v>
      </c>
      <c r="AK222" t="str">
        <f ca="1"/>
        <v>24x0.25L</v>
      </c>
      <c r="AL222">
        <f ca="1"/>
        <v>63301.350000000006</v>
      </c>
      <c r="AM222">
        <f ca="1"/>
        <v>-46779.610869565222</v>
      </c>
      <c r="AN222" t="str">
        <f ca="1"/>
        <v>O-45694-D-0025</v>
      </c>
      <c r="AO222" t="str">
        <f ca="1"/>
        <v>Delivered</v>
      </c>
    </row>
    <row r="223" spans="1:41" x14ac:dyDescent="0.5">
      <c r="A223" t="str">
        <f ca="1"/>
        <v>F-158</v>
      </c>
      <c r="B223" s="1">
        <f ca="1"/>
        <v>45694</v>
      </c>
      <c r="C223" t="str">
        <f ca="1"/>
        <v>D-0025</v>
      </c>
      <c r="D223" t="str">
        <f ca="1"/>
        <v>Rancon Motor Bikes Ltd</v>
      </c>
      <c r="E223" t="str">
        <f ca="1"/>
        <v>Dhaka</v>
      </c>
      <c r="F223" t="str">
        <f ca="1"/>
        <v/>
      </c>
      <c r="G223" t="str">
        <f ca="1"/>
        <v>Captive Sales</v>
      </c>
      <c r="H223" t="str">
        <f ca="1"/>
        <v>Captive Sales</v>
      </c>
      <c r="I223" t="str">
        <f ca="1"/>
        <v>Rancon Motor Bikes Ltd</v>
      </c>
      <c r="J223" t="str">
        <f ca="1"/>
        <v>Dhaka</v>
      </c>
      <c r="K223" t="str">
        <f ca="1"/>
        <v>LO00122</v>
      </c>
      <c r="L223" t="str">
        <f ca="1"/>
        <v>System Keep Clean Petrol</v>
      </c>
      <c r="M223">
        <f ca="1"/>
        <v>1200</v>
      </c>
      <c r="N223">
        <f ca="1"/>
        <v>950</v>
      </c>
      <c r="O223">
        <f ca="1"/>
        <v>240</v>
      </c>
      <c r="P223">
        <f ca="1"/>
        <v>0</v>
      </c>
      <c r="Q223">
        <f ca="1"/>
        <v>0</v>
      </c>
      <c r="R223">
        <f ca="1"/>
        <v>950</v>
      </c>
      <c r="S223">
        <f ca="1"/>
        <v>1200</v>
      </c>
      <c r="T223">
        <f ca="1"/>
        <v>240</v>
      </c>
      <c r="U223">
        <f ca="1"/>
        <v>1140000</v>
      </c>
      <c r="V223">
        <f ca="1"/>
        <v>0</v>
      </c>
      <c r="W223">
        <f ca="1"/>
        <v>1140000</v>
      </c>
      <c r="X223">
        <f ca="1"/>
        <v>148695.65217391305</v>
      </c>
      <c r="Y223">
        <f ca="1"/>
        <v>991304.34782608692</v>
      </c>
      <c r="Z223" t="str">
        <f ca="1"/>
        <v>Cash</v>
      </c>
      <c r="AA223">
        <f ca="1"/>
        <v>627</v>
      </c>
      <c r="AB223" t="str">
        <f ca="1"/>
        <v>Custom</v>
      </c>
      <c r="AC223">
        <f ca="1"/>
        <v>45694</v>
      </c>
      <c r="AD223" t="str">
        <f ca="1"/>
        <v/>
      </c>
      <c r="AE223" t="str">
        <f ca="1"/>
        <v>Captive Sales</v>
      </c>
      <c r="AF223" t="str">
        <f ca="1"/>
        <v>Care Products</v>
      </c>
      <c r="AG223" t="str">
        <f ca="1"/>
        <v>Care Products</v>
      </c>
      <c r="AH223" t="str">
        <f ca="1"/>
        <v>Care Products</v>
      </c>
      <c r="AI223" t="str">
        <f ca="1"/>
        <v>Clean</v>
      </c>
      <c r="AJ223">
        <f ca="1"/>
        <v>0</v>
      </c>
      <c r="AK223" t="str">
        <f ca="1"/>
        <v>24x0.20L</v>
      </c>
      <c r="AL223">
        <f ca="1"/>
        <v>527568</v>
      </c>
      <c r="AM223">
        <f ca="1"/>
        <v>463736.34782608692</v>
      </c>
      <c r="AN223" t="str">
        <f ca="1"/>
        <v>O-45694-D-0025</v>
      </c>
      <c r="AO223" t="str">
        <f ca="1"/>
        <v>Delivered</v>
      </c>
    </row>
    <row r="224" spans="1:41" x14ac:dyDescent="0.5">
      <c r="A224" t="str">
        <f ca="1"/>
        <v>F-158</v>
      </c>
      <c r="B224" s="1">
        <f ca="1"/>
        <v>45694</v>
      </c>
      <c r="C224" t="str">
        <f ca="1"/>
        <v>D-0025</v>
      </c>
      <c r="D224" t="str">
        <f ca="1"/>
        <v>Rancon Motor Bikes Ltd</v>
      </c>
      <c r="E224" t="str">
        <f ca="1"/>
        <v>Dhaka</v>
      </c>
      <c r="F224" t="str">
        <f ca="1"/>
        <v/>
      </c>
      <c r="G224" t="str">
        <f ca="1"/>
        <v>Captive Sales</v>
      </c>
      <c r="H224" t="str">
        <f ca="1"/>
        <v>Captive Sales</v>
      </c>
      <c r="I224" t="str">
        <f ca="1"/>
        <v>Rancon Motor Bikes Ltd</v>
      </c>
      <c r="J224" t="str">
        <f ca="1"/>
        <v>Dhaka</v>
      </c>
      <c r="K224" t="str">
        <f ca="1"/>
        <v>LO00127</v>
      </c>
      <c r="L224" t="str">
        <f ca="1"/>
        <v>EZ LUBE</v>
      </c>
      <c r="M224">
        <f ca="1"/>
        <v>69</v>
      </c>
      <c r="N224">
        <f ca="1"/>
        <v>200</v>
      </c>
      <c r="O224">
        <f ca="1"/>
        <v>5.1749999999999998</v>
      </c>
      <c r="P224">
        <f ca="1"/>
        <v>-2.2204460492503131E-16</v>
      </c>
      <c r="Q224">
        <f ca="1"/>
        <v>0</v>
      </c>
      <c r="R224">
        <f ca="1"/>
        <v>200.00000000000003</v>
      </c>
      <c r="S224">
        <f ca="1"/>
        <v>69</v>
      </c>
      <c r="T224">
        <f ca="1"/>
        <v>5.1749999999999998</v>
      </c>
      <c r="U224">
        <f ca="1"/>
        <v>13800</v>
      </c>
      <c r="V224">
        <f ca="1"/>
        <v>0</v>
      </c>
      <c r="W224">
        <f ca="1"/>
        <v>13800.000000000002</v>
      </c>
      <c r="X224">
        <f ca="1"/>
        <v>1800.0000000000002</v>
      </c>
      <c r="Y224">
        <f ca="1"/>
        <v>12000.000000000002</v>
      </c>
      <c r="Z224" t="str">
        <f ca="1"/>
        <v>Cash</v>
      </c>
      <c r="AA224">
        <f ca="1"/>
        <v>627</v>
      </c>
      <c r="AB224" t="str">
        <f ca="1"/>
        <v>Custom</v>
      </c>
      <c r="AC224">
        <f ca="1"/>
        <v>45694</v>
      </c>
      <c r="AD224" t="str">
        <f ca="1"/>
        <v/>
      </c>
      <c r="AE224" t="str">
        <f ca="1"/>
        <v>Captive Sales</v>
      </c>
      <c r="AF224" t="str">
        <f ca="1"/>
        <v>Care Products</v>
      </c>
      <c r="AG224" t="str">
        <f ca="1"/>
        <v>Care Products</v>
      </c>
      <c r="AH224" t="str">
        <f ca="1"/>
        <v>Care Products</v>
      </c>
      <c r="AI224" t="str">
        <f ca="1"/>
        <v>Lube</v>
      </c>
      <c r="AJ224">
        <f ca="1"/>
        <v>0</v>
      </c>
      <c r="AK224" t="str">
        <f ca="1"/>
        <v>36X0.075L</v>
      </c>
      <c r="AL224">
        <f ca="1"/>
        <v>9126.630000000001</v>
      </c>
      <c r="AM224">
        <f ca="1"/>
        <v>2873.3700000000008</v>
      </c>
      <c r="AN224" t="str">
        <f ca="1"/>
        <v>O-45694-D-0025</v>
      </c>
      <c r="AO224" t="str">
        <f ca="1"/>
        <v>Delivered</v>
      </c>
    </row>
    <row r="225" spans="1:41" x14ac:dyDescent="0.5">
      <c r="A225" t="str">
        <f ca="1"/>
        <v>F-158</v>
      </c>
      <c r="B225" s="1">
        <f ca="1"/>
        <v>45694</v>
      </c>
      <c r="C225" t="str">
        <f ca="1"/>
        <v>D-0025</v>
      </c>
      <c r="D225" t="str">
        <f ca="1"/>
        <v>Rancon Motor Bikes Ltd</v>
      </c>
      <c r="E225" t="str">
        <f ca="1"/>
        <v>Dhaka</v>
      </c>
      <c r="F225" t="str">
        <f ca="1"/>
        <v/>
      </c>
      <c r="G225" t="str">
        <f ca="1"/>
        <v>Captive Sales</v>
      </c>
      <c r="H225" t="str">
        <f ca="1"/>
        <v>Captive Sales</v>
      </c>
      <c r="I225" t="str">
        <f ca="1"/>
        <v>Rancon Motor Bikes Ltd</v>
      </c>
      <c r="J225" t="str">
        <f ca="1"/>
        <v>Dhaka</v>
      </c>
      <c r="K225" t="str">
        <f ca="1"/>
        <v>LO00128</v>
      </c>
      <c r="L225" t="str">
        <f ca="1"/>
        <v>EZ LUBE</v>
      </c>
      <c r="M225">
        <f ca="1"/>
        <v>115</v>
      </c>
      <c r="N225">
        <f ca="1"/>
        <v>650</v>
      </c>
      <c r="O225">
        <f ca="1"/>
        <v>46</v>
      </c>
      <c r="P225">
        <f ca="1"/>
        <v>0</v>
      </c>
      <c r="Q225">
        <f ca="1"/>
        <v>0</v>
      </c>
      <c r="R225">
        <f ca="1"/>
        <v>650</v>
      </c>
      <c r="S225">
        <f ca="1"/>
        <v>115</v>
      </c>
      <c r="T225">
        <f ca="1"/>
        <v>46</v>
      </c>
      <c r="U225">
        <f ca="1"/>
        <v>74750</v>
      </c>
      <c r="V225">
        <f ca="1"/>
        <v>0</v>
      </c>
      <c r="W225">
        <f ca="1"/>
        <v>74750</v>
      </c>
      <c r="X225">
        <f ca="1"/>
        <v>9750</v>
      </c>
      <c r="Y225">
        <f ca="1"/>
        <v>65000</v>
      </c>
      <c r="Z225" t="str">
        <f ca="1"/>
        <v>Cash</v>
      </c>
      <c r="AA225">
        <f ca="1"/>
        <v>627</v>
      </c>
      <c r="AB225" t="str">
        <f ca="1"/>
        <v>Custom</v>
      </c>
      <c r="AC225">
        <f ca="1"/>
        <v>45694</v>
      </c>
      <c r="AD225" t="str">
        <f ca="1"/>
        <v/>
      </c>
      <c r="AE225" t="str">
        <f ca="1"/>
        <v>Captive Sales</v>
      </c>
      <c r="AF225" t="str">
        <f ca="1"/>
        <v>Care Products</v>
      </c>
      <c r="AG225" t="str">
        <f ca="1"/>
        <v>Care Products</v>
      </c>
      <c r="AH225" t="str">
        <f ca="1"/>
        <v>Care Products</v>
      </c>
      <c r="AI225" t="str">
        <f ca="1"/>
        <v>Lube</v>
      </c>
      <c r="AJ225">
        <f ca="1"/>
        <v>0</v>
      </c>
      <c r="AK225" t="str">
        <f ca="1"/>
        <v>12X0.4L</v>
      </c>
      <c r="AL225">
        <f ca="1"/>
        <v>48754.25</v>
      </c>
      <c r="AM225">
        <f ca="1"/>
        <v>16245.75</v>
      </c>
      <c r="AN225" t="str">
        <f ca="1"/>
        <v>O-45694-D-0025</v>
      </c>
      <c r="AO225" t="str">
        <f ca="1"/>
        <v>Delivered</v>
      </c>
    </row>
    <row r="226" spans="1:41" x14ac:dyDescent="0.5">
      <c r="A226" t="str">
        <f ca="1"/>
        <v>F-159</v>
      </c>
      <c r="B226" s="1">
        <f ca="1"/>
        <v>45694</v>
      </c>
      <c r="C226" t="str">
        <f ca="1"/>
        <v>D-0014</v>
      </c>
      <c r="D226" t="str">
        <f ca="1"/>
        <v>A B M Motors</v>
      </c>
      <c r="E226" t="str">
        <f ca="1"/>
        <v>Medda Bus Stand, Brahmanbaria</v>
      </c>
      <c r="F226" t="str">
        <f ca="1"/>
        <v>01725-423635</v>
      </c>
      <c r="G226" t="str">
        <f ca="1"/>
        <v>Md. Robin Sheikh</v>
      </c>
      <c r="H226" t="str">
        <f ca="1"/>
        <v>Razur Rahman (Bipul)</v>
      </c>
      <c r="I226" t="str">
        <f ca="1"/>
        <v>City Lubricants</v>
      </c>
      <c r="J226" t="str">
        <f ca="1"/>
        <v>Paduar Bazar Bisso Road</v>
      </c>
      <c r="K226" t="str">
        <f ca="1"/>
        <v>LO00043</v>
      </c>
      <c r="L226" t="str">
        <f ca="1"/>
        <v>3000 4T PLUS 10W40</v>
      </c>
      <c r="M226">
        <f ca="1"/>
        <v>40</v>
      </c>
      <c r="N226">
        <f ca="1"/>
        <v>550</v>
      </c>
      <c r="O226">
        <f ca="1"/>
        <v>40</v>
      </c>
      <c r="P226">
        <f ca="1"/>
        <v>9.0909090909090384E-3</v>
      </c>
      <c r="Q226">
        <f ca="1"/>
        <v>0</v>
      </c>
      <c r="R226">
        <f ca="1"/>
        <v>545</v>
      </c>
      <c r="S226">
        <f ca="1"/>
        <v>40</v>
      </c>
      <c r="T226">
        <f ca="1"/>
        <v>40</v>
      </c>
      <c r="U226">
        <f ca="1"/>
        <v>22000</v>
      </c>
      <c r="V226">
        <f ca="1"/>
        <v>0</v>
      </c>
      <c r="W226">
        <f ca="1"/>
        <v>21800</v>
      </c>
      <c r="X226">
        <f ca="1"/>
        <v>2843.478260869565</v>
      </c>
      <c r="Y226">
        <f ca="1"/>
        <v>18956.521739130436</v>
      </c>
      <c r="Z226" t="str">
        <f ca="1"/>
        <v>Cash</v>
      </c>
      <c r="AA226">
        <f ca="1"/>
        <v>628</v>
      </c>
      <c r="AB226" t="str">
        <f ca="1"/>
        <v>Regular</v>
      </c>
      <c r="AC226">
        <f ca="1"/>
        <v>45697</v>
      </c>
      <c r="AD226" t="str">
        <f ca="1"/>
        <v/>
      </c>
      <c r="AE226" t="str">
        <f ca="1"/>
        <v>Eastern</v>
      </c>
      <c r="AF226" t="str">
        <f ca="1"/>
        <v>Mineral</v>
      </c>
      <c r="AG226" t="str">
        <f ca="1"/>
        <v>MCO</v>
      </c>
      <c r="AH226" t="str">
        <f ca="1"/>
        <v>10W40</v>
      </c>
      <c r="AI226" t="str">
        <f ca="1"/>
        <v>3000</v>
      </c>
      <c r="AJ226">
        <f ca="1"/>
        <v>0</v>
      </c>
      <c r="AK226" t="str">
        <f ca="1"/>
        <v>20x1L</v>
      </c>
      <c r="AL226">
        <f ca="1"/>
        <v>15394</v>
      </c>
      <c r="AM226">
        <f ca="1"/>
        <v>3562.5217391304359</v>
      </c>
      <c r="AN226" t="str">
        <f ca="1"/>
        <v>O-45694-D-0014</v>
      </c>
      <c r="AO226" t="str">
        <f ca="1"/>
        <v>Delivered</v>
      </c>
    </row>
    <row r="227" spans="1:41" x14ac:dyDescent="0.5">
      <c r="A227" t="str">
        <f ca="1"/>
        <v>F-159</v>
      </c>
      <c r="B227" s="1">
        <f ca="1"/>
        <v>45694</v>
      </c>
      <c r="C227" t="str">
        <f ca="1"/>
        <v>D-0014</v>
      </c>
      <c r="D227" t="str">
        <f ca="1"/>
        <v>A B M Motors</v>
      </c>
      <c r="E227" t="str">
        <f ca="1"/>
        <v>Medda Bus Stand, Brahmanbaria</v>
      </c>
      <c r="F227" t="str">
        <f ca="1"/>
        <v>01725-423635</v>
      </c>
      <c r="G227" t="str">
        <f ca="1"/>
        <v>Md. Robin Sheikh</v>
      </c>
      <c r="H227" t="str">
        <f ca="1"/>
        <v>Razur Rahman (Bipul)</v>
      </c>
      <c r="I227" t="str">
        <f ca="1"/>
        <v>City Lubricants</v>
      </c>
      <c r="J227" t="str">
        <f ca="1"/>
        <v>Paduar Bazar Bisso Road</v>
      </c>
      <c r="K227" t="str">
        <f ca="1"/>
        <v>LO00096</v>
      </c>
      <c r="L227" t="str">
        <f ca="1"/>
        <v>3000 4T PLUS 20W40</v>
      </c>
      <c r="M227">
        <f ca="1"/>
        <v>20</v>
      </c>
      <c r="N227">
        <f ca="1"/>
        <v>645</v>
      </c>
      <c r="O227">
        <f ca="1"/>
        <v>24</v>
      </c>
      <c r="P227">
        <f ca="1"/>
        <v>7.7519379844961378E-3</v>
      </c>
      <c r="Q227">
        <f ca="1"/>
        <v>0</v>
      </c>
      <c r="R227">
        <f ca="1"/>
        <v>640</v>
      </c>
      <c r="S227">
        <f ca="1"/>
        <v>20</v>
      </c>
      <c r="T227">
        <f ca="1"/>
        <v>24</v>
      </c>
      <c r="U227">
        <f ca="1"/>
        <v>12900</v>
      </c>
      <c r="V227">
        <f ca="1"/>
        <v>0</v>
      </c>
      <c r="W227">
        <f ca="1"/>
        <v>12800</v>
      </c>
      <c r="X227">
        <f ca="1"/>
        <v>1669.5652173913043</v>
      </c>
      <c r="Y227">
        <f ca="1"/>
        <v>11130.434782608696</v>
      </c>
      <c r="Z227" t="str">
        <f ca="1"/>
        <v>Cash</v>
      </c>
      <c r="AA227">
        <f ca="1"/>
        <v>628</v>
      </c>
      <c r="AB227" t="str">
        <f ca="1"/>
        <v>Regular</v>
      </c>
      <c r="AC227">
        <f ca="1"/>
        <v>45697</v>
      </c>
      <c r="AD227" t="str">
        <f ca="1"/>
        <v/>
      </c>
      <c r="AE227" t="str">
        <f ca="1"/>
        <v>Eastern</v>
      </c>
      <c r="AF227" t="str">
        <f ca="1"/>
        <v>Mineral</v>
      </c>
      <c r="AG227" t="str">
        <f ca="1"/>
        <v>MCO</v>
      </c>
      <c r="AH227" t="str">
        <f ca="1"/>
        <v>20W40</v>
      </c>
      <c r="AI227" t="str">
        <f ca="1"/>
        <v>3000</v>
      </c>
      <c r="AJ227">
        <f ca="1"/>
        <v>0</v>
      </c>
      <c r="AK227" t="str">
        <f ca="1"/>
        <v>20x1.2L</v>
      </c>
      <c r="AL227">
        <f ca="1"/>
        <v>9397.9559070121941</v>
      </c>
      <c r="AM227">
        <f ca="1"/>
        <v>1732.4788755965019</v>
      </c>
      <c r="AN227" t="str">
        <f ca="1"/>
        <v>O-45694-D-0014</v>
      </c>
      <c r="AO227" t="str">
        <f ca="1"/>
        <v>Delivered</v>
      </c>
    </row>
    <row r="228" spans="1:41" x14ac:dyDescent="0.5">
      <c r="A228" t="str">
        <f ca="1"/>
        <v>F-159</v>
      </c>
      <c r="B228" s="1">
        <f ca="1"/>
        <v>45694</v>
      </c>
      <c r="C228" t="str">
        <f ca="1"/>
        <v>D-0014</v>
      </c>
      <c r="D228" t="str">
        <f ca="1"/>
        <v>A B M Motors</v>
      </c>
      <c r="E228" t="str">
        <f ca="1"/>
        <v>Medda Bus Stand, Brahmanbaria</v>
      </c>
      <c r="F228" t="str">
        <f ca="1"/>
        <v>01725-423635</v>
      </c>
      <c r="G228" t="str">
        <f ca="1"/>
        <v>Md. Robin Sheikh</v>
      </c>
      <c r="H228" t="str">
        <f ca="1"/>
        <v>Razur Rahman (Bipul)</v>
      </c>
      <c r="I228" t="str">
        <f ca="1"/>
        <v>City Lubricants</v>
      </c>
      <c r="J228" t="str">
        <f ca="1"/>
        <v>Paduar Bazar Bisso Road</v>
      </c>
      <c r="K228" t="str">
        <f ca="1"/>
        <v>LO00119</v>
      </c>
      <c r="L228" t="str">
        <f ca="1"/>
        <v>3000 4T 20W50</v>
      </c>
      <c r="M228">
        <f ca="1"/>
        <v>20</v>
      </c>
      <c r="N228">
        <f ca="1"/>
        <v>495</v>
      </c>
      <c r="O228">
        <f ca="1"/>
        <v>20</v>
      </c>
      <c r="P228">
        <f ca="1"/>
        <v>1.0101010101010055E-2</v>
      </c>
      <c r="Q228">
        <f ca="1"/>
        <v>0</v>
      </c>
      <c r="R228">
        <f ca="1"/>
        <v>490</v>
      </c>
      <c r="S228">
        <f ca="1"/>
        <v>20</v>
      </c>
      <c r="T228">
        <f ca="1"/>
        <v>20</v>
      </c>
      <c r="U228">
        <f ca="1"/>
        <v>9900</v>
      </c>
      <c r="V228">
        <f ca="1"/>
        <v>0</v>
      </c>
      <c r="W228">
        <f ca="1"/>
        <v>9800</v>
      </c>
      <c r="X228">
        <f ca="1"/>
        <v>1278.2608695652175</v>
      </c>
      <c r="Y228">
        <f ca="1"/>
        <v>8521.7391304347821</v>
      </c>
      <c r="Z228" t="str">
        <f ca="1"/>
        <v>Cash</v>
      </c>
      <c r="AA228">
        <f ca="1"/>
        <v>628</v>
      </c>
      <c r="AB228" t="str">
        <f ca="1"/>
        <v>Regular</v>
      </c>
      <c r="AC228">
        <f ca="1"/>
        <v>45697</v>
      </c>
      <c r="AD228" t="str">
        <f ca="1"/>
        <v/>
      </c>
      <c r="AE228" t="str">
        <f ca="1"/>
        <v>Eastern</v>
      </c>
      <c r="AF228" t="str">
        <f ca="1"/>
        <v>Mineral</v>
      </c>
      <c r="AG228" t="str">
        <f ca="1"/>
        <v>MCO</v>
      </c>
      <c r="AH228" t="str">
        <f ca="1"/>
        <v>20W50</v>
      </c>
      <c r="AI228" t="str">
        <f ca="1"/>
        <v>3000</v>
      </c>
      <c r="AJ228">
        <f ca="1"/>
        <v>0</v>
      </c>
      <c r="AK228" t="str">
        <f ca="1"/>
        <v>20x1L</v>
      </c>
      <c r="AL228">
        <f ca="1"/>
        <v>7298.4000000000005</v>
      </c>
      <c r="AM228">
        <f ca="1"/>
        <v>1223.3391304347815</v>
      </c>
      <c r="AN228" t="str">
        <f ca="1"/>
        <v>O-45694-D-0014</v>
      </c>
      <c r="AO228" t="str">
        <f ca="1"/>
        <v>Delivered</v>
      </c>
    </row>
    <row r="229" spans="1:41" x14ac:dyDescent="0.5">
      <c r="A229" t="str">
        <f ca="1"/>
        <v>F-160</v>
      </c>
      <c r="B229" s="1">
        <f ca="1"/>
        <v>45694</v>
      </c>
      <c r="C229" t="str">
        <f ca="1"/>
        <v>D-0023</v>
      </c>
      <c r="D229" t="str">
        <f ca="1"/>
        <v xml:space="preserve">Probir Automobile </v>
      </c>
      <c r="E229" t="str">
        <f ca="1"/>
        <v>26,J.K.M.C,Saha Road(Bro Bazar), Mymensingh</v>
      </c>
      <c r="F229">
        <f ca="1"/>
        <v>1712284667</v>
      </c>
      <c r="G229" t="str">
        <f ca="1"/>
        <v>Monirul Islam</v>
      </c>
      <c r="H229" t="str">
        <f ca="1"/>
        <v>Raihan Siddiqui</v>
      </c>
      <c r="I229" t="str">
        <f ca="1"/>
        <v>Bondhu Motors</v>
      </c>
      <c r="J229" t="str">
        <f ca="1"/>
        <v>Rangpur</v>
      </c>
      <c r="K229" t="str">
        <f ca="1"/>
        <v>LO00041</v>
      </c>
      <c r="L229" t="str">
        <f ca="1"/>
        <v>3000 4T PLUS 10W30</v>
      </c>
      <c r="M229">
        <f ca="1"/>
        <v>20</v>
      </c>
      <c r="N229">
        <f ca="1"/>
        <v>540</v>
      </c>
      <c r="O229">
        <f ca="1"/>
        <v>20</v>
      </c>
      <c r="P229">
        <f ca="1"/>
        <v>0</v>
      </c>
      <c r="Q229">
        <f ca="1"/>
        <v>0</v>
      </c>
      <c r="R229">
        <f ca="1"/>
        <v>540</v>
      </c>
      <c r="S229">
        <f ca="1"/>
        <v>20</v>
      </c>
      <c r="T229">
        <f ca="1"/>
        <v>20</v>
      </c>
      <c r="U229">
        <f ca="1"/>
        <v>10800</v>
      </c>
      <c r="V229">
        <f ca="1"/>
        <v>0</v>
      </c>
      <c r="W229">
        <f ca="1"/>
        <v>10800</v>
      </c>
      <c r="X229">
        <f ca="1"/>
        <v>1408.695652173913</v>
      </c>
      <c r="Y229">
        <f ca="1"/>
        <v>9391.3043478260861</v>
      </c>
      <c r="Z229" t="str">
        <f ca="1"/>
        <v>Cash</v>
      </c>
      <c r="AA229">
        <f ca="1"/>
        <v>629</v>
      </c>
      <c r="AB229" t="str">
        <f ca="1"/>
        <v>Regular</v>
      </c>
      <c r="AC229">
        <f ca="1"/>
        <v>45697</v>
      </c>
      <c r="AD229" t="str">
        <f ca="1"/>
        <v/>
      </c>
      <c r="AE229" t="str">
        <f ca="1"/>
        <v>Northern</v>
      </c>
      <c r="AF229" t="str">
        <f ca="1"/>
        <v>Mineral</v>
      </c>
      <c r="AG229" t="str">
        <f ca="1"/>
        <v>MCO</v>
      </c>
      <c r="AH229" t="str">
        <f ca="1"/>
        <v>10W30</v>
      </c>
      <c r="AI229" t="str">
        <f ca="1"/>
        <v>3000</v>
      </c>
      <c r="AJ229">
        <f ca="1"/>
        <v>0</v>
      </c>
      <c r="AK229" t="str">
        <f ca="1"/>
        <v>20x1L</v>
      </c>
      <c r="AL229">
        <f ca="1"/>
        <v>7586.5999999999995</v>
      </c>
      <c r="AM229">
        <f ca="1"/>
        <v>1804.7043478260866</v>
      </c>
      <c r="AN229" t="str">
        <f ca="1"/>
        <v>O-45694-D-0023</v>
      </c>
      <c r="AO229" t="str">
        <f ca="1"/>
        <v>Delivered</v>
      </c>
    </row>
    <row r="230" spans="1:41" x14ac:dyDescent="0.5">
      <c r="A230" t="str">
        <f ca="1"/>
        <v>F-160</v>
      </c>
      <c r="B230" s="1">
        <f ca="1"/>
        <v>45694</v>
      </c>
      <c r="C230" t="str">
        <f ca="1"/>
        <v>D-0023</v>
      </c>
      <c r="D230" t="str">
        <f ca="1"/>
        <v xml:space="preserve">Probir Automobile </v>
      </c>
      <c r="E230" t="str">
        <f ca="1"/>
        <v>26,J.K.M.C,Saha Road(Bro Bazar), Mymensingh</v>
      </c>
      <c r="F230">
        <f ca="1"/>
        <v>1712284667</v>
      </c>
      <c r="G230" t="str">
        <f ca="1"/>
        <v>Monirul Islam</v>
      </c>
      <c r="H230" t="str">
        <f ca="1"/>
        <v>Raihan Siddiqui</v>
      </c>
      <c r="I230" t="str">
        <f ca="1"/>
        <v>Bondhu Motors</v>
      </c>
      <c r="J230" t="str">
        <f ca="1"/>
        <v>Rangpur</v>
      </c>
      <c r="K230" t="str">
        <f ca="1"/>
        <v>LO00043</v>
      </c>
      <c r="L230" t="str">
        <f ca="1"/>
        <v>3000 4T PLUS 10W40</v>
      </c>
      <c r="M230">
        <f ca="1"/>
        <v>80</v>
      </c>
      <c r="N230">
        <f ca="1"/>
        <v>550</v>
      </c>
      <c r="O230">
        <f ca="1"/>
        <v>80</v>
      </c>
      <c r="P230">
        <f ca="1"/>
        <v>0</v>
      </c>
      <c r="Q230">
        <f ca="1"/>
        <v>0</v>
      </c>
      <c r="R230">
        <f ca="1"/>
        <v>550</v>
      </c>
      <c r="S230">
        <f ca="1"/>
        <v>80</v>
      </c>
      <c r="T230">
        <f ca="1"/>
        <v>80</v>
      </c>
      <c r="U230">
        <f ca="1"/>
        <v>44000</v>
      </c>
      <c r="V230">
        <f ca="1"/>
        <v>0</v>
      </c>
      <c r="W230">
        <f ca="1"/>
        <v>44000</v>
      </c>
      <c r="X230">
        <f ca="1"/>
        <v>5739.130434782609</v>
      </c>
      <c r="Y230">
        <f ca="1"/>
        <v>38260.869565217392</v>
      </c>
      <c r="Z230" t="str">
        <f ca="1"/>
        <v>Cash</v>
      </c>
      <c r="AA230">
        <f ca="1"/>
        <v>629</v>
      </c>
      <c r="AB230" t="str">
        <f ca="1"/>
        <v>Regular</v>
      </c>
      <c r="AC230">
        <f ca="1"/>
        <v>45697</v>
      </c>
      <c r="AD230" t="str">
        <f ca="1"/>
        <v/>
      </c>
      <c r="AE230" t="str">
        <f ca="1"/>
        <v>Northern</v>
      </c>
      <c r="AF230" t="str">
        <f ca="1"/>
        <v>Mineral</v>
      </c>
      <c r="AG230" t="str">
        <f ca="1"/>
        <v>MCO</v>
      </c>
      <c r="AH230" t="str">
        <f ca="1"/>
        <v>10W40</v>
      </c>
      <c r="AI230" t="str">
        <f ca="1"/>
        <v>3000</v>
      </c>
      <c r="AJ230">
        <f ca="1"/>
        <v>0</v>
      </c>
      <c r="AK230" t="str">
        <f ca="1"/>
        <v>20x1L</v>
      </c>
      <c r="AL230">
        <f ca="1"/>
        <v>30788</v>
      </c>
      <c r="AM230">
        <f ca="1"/>
        <v>7472.8695652173919</v>
      </c>
      <c r="AN230" t="str">
        <f ca="1"/>
        <v>O-45694-D-0023</v>
      </c>
      <c r="AO230" t="str">
        <f ca="1"/>
        <v>Delivered</v>
      </c>
    </row>
    <row r="231" spans="1:41" x14ac:dyDescent="0.5">
      <c r="A231" t="str">
        <f ca="1"/>
        <v>F-160</v>
      </c>
      <c r="B231" s="1">
        <f ca="1"/>
        <v>45694</v>
      </c>
      <c r="C231" t="str">
        <f ca="1"/>
        <v>D-0023</v>
      </c>
      <c r="D231" t="str">
        <f ca="1"/>
        <v xml:space="preserve">Probir Automobile </v>
      </c>
      <c r="E231" t="str">
        <f ca="1"/>
        <v>26,J.K.M.C,Saha Road(Bro Bazar), Mymensingh</v>
      </c>
      <c r="F231">
        <f ca="1"/>
        <v>1712284667</v>
      </c>
      <c r="G231" t="str">
        <f ca="1"/>
        <v>Monirul Islam</v>
      </c>
      <c r="H231" t="str">
        <f ca="1"/>
        <v>Raihan Siddiqui</v>
      </c>
      <c r="I231" t="str">
        <f ca="1"/>
        <v>Bondhu Motors</v>
      </c>
      <c r="J231" t="str">
        <f ca="1"/>
        <v>Rangpur</v>
      </c>
      <c r="K231" t="str">
        <f ca="1"/>
        <v>LO00120</v>
      </c>
      <c r="L231" t="str">
        <f ca="1"/>
        <v>3000 4T 20W50</v>
      </c>
      <c r="M231">
        <f ca="1"/>
        <v>20</v>
      </c>
      <c r="N231">
        <f ca="1"/>
        <v>595</v>
      </c>
      <c r="O231">
        <f ca="1"/>
        <v>24</v>
      </c>
      <c r="P231">
        <f ca="1"/>
        <v>0</v>
      </c>
      <c r="Q231">
        <f ca="1"/>
        <v>0</v>
      </c>
      <c r="R231">
        <f ca="1"/>
        <v>595</v>
      </c>
      <c r="S231">
        <f ca="1"/>
        <v>20</v>
      </c>
      <c r="T231">
        <f ca="1"/>
        <v>24</v>
      </c>
      <c r="U231">
        <f ca="1"/>
        <v>11900</v>
      </c>
      <c r="V231">
        <f ca="1"/>
        <v>0</v>
      </c>
      <c r="W231">
        <f ca="1"/>
        <v>11900</v>
      </c>
      <c r="X231">
        <f ca="1"/>
        <v>1552.1739130434783</v>
      </c>
      <c r="Y231">
        <f ca="1"/>
        <v>10347.826086956522</v>
      </c>
      <c r="Z231" t="str">
        <f ca="1"/>
        <v>Cash</v>
      </c>
      <c r="AA231">
        <f ca="1"/>
        <v>629</v>
      </c>
      <c r="AB231" t="str">
        <f ca="1"/>
        <v>Regular</v>
      </c>
      <c r="AC231">
        <f ca="1"/>
        <v>45697</v>
      </c>
      <c r="AD231" t="str">
        <f ca="1"/>
        <v/>
      </c>
      <c r="AE231" t="str">
        <f ca="1"/>
        <v>Northern</v>
      </c>
      <c r="AF231" t="str">
        <f ca="1"/>
        <v>Mineral</v>
      </c>
      <c r="AG231" t="str">
        <f ca="1"/>
        <v>MCO</v>
      </c>
      <c r="AH231" t="str">
        <f ca="1"/>
        <v>20W50</v>
      </c>
      <c r="AI231" t="str">
        <f ca="1"/>
        <v>3000</v>
      </c>
      <c r="AJ231">
        <f ca="1"/>
        <v>0</v>
      </c>
      <c r="AK231" t="str">
        <f ca="1"/>
        <v>20x1.2L</v>
      </c>
      <c r="AL231">
        <f ca="1"/>
        <v>8692.2000000000007</v>
      </c>
      <c r="AM231">
        <f ca="1"/>
        <v>1655.6260869565212</v>
      </c>
      <c r="AN231" t="str">
        <f ca="1"/>
        <v>O-45694-D-0023</v>
      </c>
      <c r="AO231" t="str">
        <f ca="1"/>
        <v>Delivered</v>
      </c>
    </row>
    <row r="232" spans="1:41" x14ac:dyDescent="0.5">
      <c r="A232" t="str">
        <f ca="1"/>
        <v>F-161</v>
      </c>
      <c r="B232" s="1">
        <f ca="1"/>
        <v>45694</v>
      </c>
      <c r="C232" t="str">
        <f ca="1"/>
        <v>D-0010</v>
      </c>
      <c r="D232" t="str">
        <f ca="1"/>
        <v>Hazipur Traders</v>
      </c>
      <c r="E232" t="str">
        <f ca="1"/>
        <v>Hawkars Market, Chowmuhoni</v>
      </c>
      <c r="F232" t="str">
        <f ca="1"/>
        <v>01710-639669</v>
      </c>
      <c r="G232" t="str">
        <f ca="1"/>
        <v>Md. Robin Sheikh</v>
      </c>
      <c r="H232" t="str">
        <f ca="1"/>
        <v>Razur Rahman (Bipul)</v>
      </c>
      <c r="I232" t="str">
        <f ca="1"/>
        <v>City Trading</v>
      </c>
      <c r="J232" t="str">
        <f ca="1"/>
        <v>Chowmuhoni</v>
      </c>
      <c r="K232" t="str">
        <f ca="1"/>
        <v>LO00041</v>
      </c>
      <c r="L232" t="str">
        <f ca="1"/>
        <v>3000 4T PLUS 10W30</v>
      </c>
      <c r="M232">
        <f ca="1"/>
        <v>20</v>
      </c>
      <c r="N232">
        <f ca="1"/>
        <v>540</v>
      </c>
      <c r="O232">
        <f ca="1"/>
        <v>20</v>
      </c>
      <c r="P232">
        <f ca="1"/>
        <v>0</v>
      </c>
      <c r="Q232">
        <f ca="1"/>
        <v>0</v>
      </c>
      <c r="R232">
        <f ca="1"/>
        <v>540</v>
      </c>
      <c r="S232">
        <f ca="1"/>
        <v>20</v>
      </c>
      <c r="T232">
        <f ca="1"/>
        <v>20</v>
      </c>
      <c r="U232">
        <f ca="1"/>
        <v>10800</v>
      </c>
      <c r="V232">
        <f ca="1"/>
        <v>0</v>
      </c>
      <c r="W232">
        <f ca="1"/>
        <v>10800</v>
      </c>
      <c r="X232">
        <f ca="1"/>
        <v>1408.695652173913</v>
      </c>
      <c r="Y232">
        <f ca="1"/>
        <v>9391.3043478260861</v>
      </c>
      <c r="Z232" t="str">
        <f ca="1"/>
        <v>Cash</v>
      </c>
      <c r="AA232">
        <f ca="1"/>
        <v>630</v>
      </c>
      <c r="AB232" t="str">
        <f ca="1"/>
        <v>Regular</v>
      </c>
      <c r="AC232">
        <f ca="1"/>
        <v>45697</v>
      </c>
      <c r="AD232" t="str">
        <f ca="1"/>
        <v/>
      </c>
      <c r="AE232" t="str">
        <f ca="1"/>
        <v>Eastern</v>
      </c>
      <c r="AF232" t="str">
        <f ca="1"/>
        <v>Mineral</v>
      </c>
      <c r="AG232" t="str">
        <f ca="1"/>
        <v>MCO</v>
      </c>
      <c r="AH232" t="str">
        <f ca="1"/>
        <v>10W30</v>
      </c>
      <c r="AI232" t="str">
        <f ca="1"/>
        <v>3000</v>
      </c>
      <c r="AJ232">
        <f ca="1"/>
        <v>0</v>
      </c>
      <c r="AK232" t="str">
        <f ca="1"/>
        <v>20x1L</v>
      </c>
      <c r="AL232">
        <f ca="1"/>
        <v>7586.5999999999995</v>
      </c>
      <c r="AM232">
        <f ca="1"/>
        <v>1804.7043478260866</v>
      </c>
      <c r="AN232" t="str">
        <f ca="1"/>
        <v>O-45694-D-0010</v>
      </c>
      <c r="AO232" t="str">
        <f ca="1"/>
        <v>Delivered</v>
      </c>
    </row>
    <row r="233" spans="1:41" x14ac:dyDescent="0.5">
      <c r="A233" t="str">
        <f ca="1"/>
        <v>F-161</v>
      </c>
      <c r="B233" s="1">
        <f ca="1"/>
        <v>45694</v>
      </c>
      <c r="C233" t="str">
        <f ca="1"/>
        <v>D-0010</v>
      </c>
      <c r="D233" t="str">
        <f ca="1"/>
        <v>Hazipur Traders</v>
      </c>
      <c r="E233" t="str">
        <f ca="1"/>
        <v>Hawkars Market, Chowmuhoni</v>
      </c>
      <c r="F233" t="str">
        <f ca="1"/>
        <v>01710-639669</v>
      </c>
      <c r="G233" t="str">
        <f ca="1"/>
        <v>Md. Robin Sheikh</v>
      </c>
      <c r="H233" t="str">
        <f ca="1"/>
        <v>Razur Rahman (Bipul)</v>
      </c>
      <c r="I233" t="str">
        <f ca="1"/>
        <v>City Trading</v>
      </c>
      <c r="J233" t="str">
        <f ca="1"/>
        <v>Chowmuhoni</v>
      </c>
      <c r="K233" t="str">
        <f ca="1"/>
        <v>LO00043</v>
      </c>
      <c r="L233" t="str">
        <f ca="1"/>
        <v>3000 4T PLUS 10W40</v>
      </c>
      <c r="M233">
        <f ca="1"/>
        <v>40</v>
      </c>
      <c r="N233">
        <f ca="1"/>
        <v>550</v>
      </c>
      <c r="O233">
        <f ca="1"/>
        <v>40</v>
      </c>
      <c r="P233">
        <f ca="1"/>
        <v>0</v>
      </c>
      <c r="Q233">
        <f ca="1"/>
        <v>0</v>
      </c>
      <c r="R233">
        <f ca="1"/>
        <v>550</v>
      </c>
      <c r="S233">
        <f ca="1"/>
        <v>40</v>
      </c>
      <c r="T233">
        <f ca="1"/>
        <v>40</v>
      </c>
      <c r="U233">
        <f ca="1"/>
        <v>22000</v>
      </c>
      <c r="V233">
        <f ca="1"/>
        <v>0</v>
      </c>
      <c r="W233">
        <f ca="1"/>
        <v>22000</v>
      </c>
      <c r="X233">
        <f ca="1"/>
        <v>2869.5652173913045</v>
      </c>
      <c r="Y233">
        <f ca="1"/>
        <v>19130.434782608696</v>
      </c>
      <c r="Z233" t="str">
        <f ca="1"/>
        <v>Cash</v>
      </c>
      <c r="AA233">
        <f ca="1"/>
        <v>630</v>
      </c>
      <c r="AB233" t="str">
        <f ca="1"/>
        <v>Regular</v>
      </c>
      <c r="AC233">
        <f ca="1"/>
        <v>45697</v>
      </c>
      <c r="AD233" t="str">
        <f ca="1"/>
        <v/>
      </c>
      <c r="AE233" t="str">
        <f ca="1"/>
        <v>Eastern</v>
      </c>
      <c r="AF233" t="str">
        <f ca="1"/>
        <v>Mineral</v>
      </c>
      <c r="AG233" t="str">
        <f ca="1"/>
        <v>MCO</v>
      </c>
      <c r="AH233" t="str">
        <f ca="1"/>
        <v>10W40</v>
      </c>
      <c r="AI233" t="str">
        <f ca="1"/>
        <v>3000</v>
      </c>
      <c r="AJ233">
        <f ca="1"/>
        <v>0</v>
      </c>
      <c r="AK233" t="str">
        <f ca="1"/>
        <v>20x1L</v>
      </c>
      <c r="AL233">
        <f ca="1"/>
        <v>15394</v>
      </c>
      <c r="AM233">
        <f ca="1"/>
        <v>3736.434782608696</v>
      </c>
      <c r="AN233" t="str">
        <f ca="1"/>
        <v>O-45694-D-0010</v>
      </c>
      <c r="AO233" t="str">
        <f ca="1"/>
        <v>Delivered</v>
      </c>
    </row>
    <row r="234" spans="1:41" x14ac:dyDescent="0.5">
      <c r="A234" t="str">
        <f ca="1"/>
        <v>F-161</v>
      </c>
      <c r="B234" s="1">
        <f ca="1"/>
        <v>45694</v>
      </c>
      <c r="C234" t="str">
        <f ca="1"/>
        <v>D-0010</v>
      </c>
      <c r="D234" t="str">
        <f ca="1"/>
        <v>Hazipur Traders</v>
      </c>
      <c r="E234" t="str">
        <f ca="1"/>
        <v>Hawkars Market, Chowmuhoni</v>
      </c>
      <c r="F234" t="str">
        <f ca="1"/>
        <v>01710-639669</v>
      </c>
      <c r="G234" t="str">
        <f ca="1"/>
        <v>Md. Robin Sheikh</v>
      </c>
      <c r="H234" t="str">
        <f ca="1"/>
        <v>Razur Rahman (Bipul)</v>
      </c>
      <c r="I234" t="str">
        <f ca="1"/>
        <v>City Trading</v>
      </c>
      <c r="J234" t="str">
        <f ca="1"/>
        <v>Chowmuhoni</v>
      </c>
      <c r="K234" t="str">
        <f ca="1"/>
        <v>LO00073</v>
      </c>
      <c r="L234" t="str">
        <f ca="1"/>
        <v>3000 4T PLUS 10W30</v>
      </c>
      <c r="M234">
        <f ca="1"/>
        <v>40</v>
      </c>
      <c r="N234">
        <f ca="1"/>
        <v>650</v>
      </c>
      <c r="O234">
        <f ca="1"/>
        <v>48</v>
      </c>
      <c r="P234">
        <f ca="1"/>
        <v>-2.2204460492503131E-16</v>
      </c>
      <c r="Q234">
        <f ca="1"/>
        <v>0</v>
      </c>
      <c r="R234">
        <f ca="1"/>
        <v>650.00000000000011</v>
      </c>
      <c r="S234">
        <f ca="1"/>
        <v>40</v>
      </c>
      <c r="T234">
        <f ca="1"/>
        <v>48</v>
      </c>
      <c r="U234">
        <f ca="1"/>
        <v>26000</v>
      </c>
      <c r="V234">
        <f ca="1"/>
        <v>0</v>
      </c>
      <c r="W234">
        <f ca="1"/>
        <v>26000.000000000004</v>
      </c>
      <c r="X234">
        <f ca="1"/>
        <v>3391.3043478260875</v>
      </c>
      <c r="Y234">
        <f ca="1"/>
        <v>22608.695652173916</v>
      </c>
      <c r="Z234" t="str">
        <f ca="1"/>
        <v>Cash</v>
      </c>
      <c r="AA234">
        <f ca="1"/>
        <v>630</v>
      </c>
      <c r="AB234" t="str">
        <f ca="1"/>
        <v>Regular</v>
      </c>
      <c r="AC234">
        <f ca="1"/>
        <v>45697</v>
      </c>
      <c r="AD234" t="str">
        <f ca="1"/>
        <v/>
      </c>
      <c r="AE234" t="str">
        <f ca="1"/>
        <v>Eastern</v>
      </c>
      <c r="AF234" t="str">
        <f ca="1"/>
        <v>Mineral</v>
      </c>
      <c r="AG234" t="str">
        <f ca="1"/>
        <v>MCO</v>
      </c>
      <c r="AH234" t="str">
        <f ca="1"/>
        <v>10W30</v>
      </c>
      <c r="AI234" t="str">
        <f ca="1"/>
        <v>3000</v>
      </c>
      <c r="AJ234">
        <f ca="1"/>
        <v>0</v>
      </c>
      <c r="AK234" t="str">
        <f ca="1"/>
        <v>20x1.2L</v>
      </c>
      <c r="AL234">
        <f ca="1"/>
        <v>17556</v>
      </c>
      <c r="AM234">
        <f ca="1"/>
        <v>5052.6956521739157</v>
      </c>
      <c r="AN234" t="str">
        <f ca="1"/>
        <v>O-45694-D-0010</v>
      </c>
      <c r="AO234" t="str">
        <f ca="1"/>
        <v>Delivered</v>
      </c>
    </row>
    <row r="235" spans="1:41" x14ac:dyDescent="0.5">
      <c r="A235" t="str">
        <f ca="1"/>
        <v>F-161</v>
      </c>
      <c r="B235" s="1">
        <f ca="1"/>
        <v>45694</v>
      </c>
      <c r="C235" t="str">
        <f ca="1"/>
        <v>D-0010</v>
      </c>
      <c r="D235" t="str">
        <f ca="1"/>
        <v>Hazipur Traders</v>
      </c>
      <c r="E235" t="str">
        <f ca="1"/>
        <v>Hawkars Market, Chowmuhoni</v>
      </c>
      <c r="F235" t="str">
        <f ca="1"/>
        <v>01710-639669</v>
      </c>
      <c r="G235" t="str">
        <f ca="1"/>
        <v>Md. Robin Sheikh</v>
      </c>
      <c r="H235" t="str">
        <f ca="1"/>
        <v>Razur Rahman (Bipul)</v>
      </c>
      <c r="I235" t="str">
        <f ca="1"/>
        <v>City Trading</v>
      </c>
      <c r="J235" t="str">
        <f ca="1"/>
        <v>Chowmuhoni</v>
      </c>
      <c r="K235" t="str">
        <f ca="1"/>
        <v>LO00096</v>
      </c>
      <c r="L235" t="str">
        <f ca="1"/>
        <v>3000 4T PLUS 20W40</v>
      </c>
      <c r="M235">
        <f ca="1"/>
        <v>40</v>
      </c>
      <c r="N235">
        <f ca="1"/>
        <v>645</v>
      </c>
      <c r="O235">
        <f ca="1"/>
        <v>48</v>
      </c>
      <c r="P235">
        <f ca="1"/>
        <v>0</v>
      </c>
      <c r="Q235">
        <f ca="1"/>
        <v>0</v>
      </c>
      <c r="R235">
        <f ca="1"/>
        <v>645</v>
      </c>
      <c r="S235">
        <f ca="1"/>
        <v>40</v>
      </c>
      <c r="T235">
        <f ca="1"/>
        <v>48</v>
      </c>
      <c r="U235">
        <f ca="1"/>
        <v>25800</v>
      </c>
      <c r="V235">
        <f ca="1"/>
        <v>0</v>
      </c>
      <c r="W235">
        <f ca="1"/>
        <v>25800</v>
      </c>
      <c r="X235">
        <f ca="1"/>
        <v>3365.217391304348</v>
      </c>
      <c r="Y235">
        <f ca="1"/>
        <v>22434.782608695652</v>
      </c>
      <c r="Z235" t="str">
        <f ca="1"/>
        <v>Cash</v>
      </c>
      <c r="AA235">
        <f ca="1"/>
        <v>630</v>
      </c>
      <c r="AB235" t="str">
        <f ca="1"/>
        <v>Regular</v>
      </c>
      <c r="AC235">
        <f ca="1"/>
        <v>45697</v>
      </c>
      <c r="AD235" t="str">
        <f ca="1"/>
        <v/>
      </c>
      <c r="AE235" t="str">
        <f ca="1"/>
        <v>Eastern</v>
      </c>
      <c r="AF235" t="str">
        <f ca="1"/>
        <v>Mineral</v>
      </c>
      <c r="AG235" t="str">
        <f ca="1"/>
        <v>MCO</v>
      </c>
      <c r="AH235" t="str">
        <f ca="1"/>
        <v>20W40</v>
      </c>
      <c r="AI235" t="str">
        <f ca="1"/>
        <v>3000</v>
      </c>
      <c r="AJ235">
        <f ca="1"/>
        <v>0</v>
      </c>
      <c r="AK235" t="str">
        <f ca="1"/>
        <v>20x1.2L</v>
      </c>
      <c r="AL235">
        <f ca="1"/>
        <v>18795.911814024388</v>
      </c>
      <c r="AM235">
        <f ca="1"/>
        <v>3638.8707946712639</v>
      </c>
      <c r="AN235" t="str">
        <f ca="1"/>
        <v>O-45694-D-0010</v>
      </c>
      <c r="AO235" t="str">
        <f ca="1"/>
        <v>Delivered</v>
      </c>
    </row>
    <row r="236" spans="1:41" x14ac:dyDescent="0.5">
      <c r="A236" t="str">
        <f ca="1"/>
        <v>F-162</v>
      </c>
      <c r="B236" s="1">
        <f ca="1"/>
        <v>45698</v>
      </c>
      <c r="C236" t="str">
        <f ca="1"/>
        <v>D-0019</v>
      </c>
      <c r="D236" t="str">
        <f ca="1"/>
        <v>SS LUB MART</v>
      </c>
      <c r="E236" t="str">
        <f ca="1"/>
        <v>Faridpur Sadar.</v>
      </c>
      <c r="F236" t="str">
        <f ca="1"/>
        <v>01923-641421</v>
      </c>
      <c r="G236" t="str">
        <f ca="1"/>
        <v>Md.Mahfuzur Rahman</v>
      </c>
      <c r="H236" t="str">
        <f ca="1"/>
        <v>Abdul Matin</v>
      </c>
      <c r="I236" t="str">
        <f ca="1"/>
        <v>SS Lub Mart</v>
      </c>
      <c r="J236" t="str">
        <f ca="1"/>
        <v>Puratan Bus Stand Faridpur</v>
      </c>
      <c r="K236" t="str">
        <f ca="1"/>
        <v>LO00041</v>
      </c>
      <c r="L236" t="str">
        <f ca="1"/>
        <v>3000 4T PLUS 10W30</v>
      </c>
      <c r="M236">
        <f ca="1"/>
        <v>300</v>
      </c>
      <c r="N236">
        <f ca="1"/>
        <v>540</v>
      </c>
      <c r="O236">
        <f ca="1"/>
        <v>300</v>
      </c>
      <c r="P236">
        <f ca="1"/>
        <v>1.851851851851849E-2</v>
      </c>
      <c r="Q236">
        <f ca="1"/>
        <v>0</v>
      </c>
      <c r="R236">
        <f ca="1"/>
        <v>530</v>
      </c>
      <c r="S236">
        <f ca="1"/>
        <v>300</v>
      </c>
      <c r="T236">
        <f ca="1"/>
        <v>300</v>
      </c>
      <c r="U236">
        <f ca="1"/>
        <v>162000</v>
      </c>
      <c r="V236">
        <f ca="1"/>
        <v>1500</v>
      </c>
      <c r="W236">
        <f ca="1"/>
        <v>159000</v>
      </c>
      <c r="X236">
        <f ca="1"/>
        <v>20739.130434782608</v>
      </c>
      <c r="Y236">
        <f ca="1"/>
        <v>138260.86956521738</v>
      </c>
      <c r="Z236" t="str">
        <f ca="1"/>
        <v>Cash</v>
      </c>
      <c r="AA236">
        <f ca="1"/>
        <v>631</v>
      </c>
      <c r="AB236" t="str">
        <f ca="1"/>
        <v>Regular</v>
      </c>
      <c r="AC236" t="str">
        <f ca="1"/>
        <v/>
      </c>
      <c r="AD236" t="str">
        <f ca="1"/>
        <v/>
      </c>
      <c r="AE236" t="str">
        <f ca="1"/>
        <v>Central</v>
      </c>
      <c r="AF236" t="str">
        <f ca="1"/>
        <v>Mineral</v>
      </c>
      <c r="AG236" t="str">
        <f ca="1"/>
        <v>MCO</v>
      </c>
      <c r="AH236" t="str">
        <f ca="1"/>
        <v>10W30</v>
      </c>
      <c r="AI236" t="str">
        <f ca="1"/>
        <v>3000</v>
      </c>
      <c r="AJ236">
        <f ca="1"/>
        <v>0</v>
      </c>
      <c r="AK236" t="str">
        <f ca="1"/>
        <v>20x1L</v>
      </c>
      <c r="AL236">
        <f ca="1"/>
        <v>113799</v>
      </c>
      <c r="AM236">
        <f ca="1"/>
        <v>24461.869565217377</v>
      </c>
      <c r="AN236" t="str">
        <f ca="1"/>
        <v>O-45698-D-0019</v>
      </c>
      <c r="AO236" t="str">
        <f ca="1"/>
        <v>Delivered</v>
      </c>
    </row>
    <row r="237" spans="1:41" x14ac:dyDescent="0.5">
      <c r="A237" t="str">
        <f ca="1"/>
        <v>F-162</v>
      </c>
      <c r="B237" s="1">
        <f ca="1"/>
        <v>45698</v>
      </c>
      <c r="C237" t="str">
        <f ca="1"/>
        <v>D-0019</v>
      </c>
      <c r="D237" t="str">
        <f ca="1"/>
        <v>SS LUB MART</v>
      </c>
      <c r="E237" t="str">
        <f ca="1"/>
        <v>Faridpur Sadar.</v>
      </c>
      <c r="F237" t="str">
        <f ca="1"/>
        <v>01923-641421</v>
      </c>
      <c r="G237" t="str">
        <f ca="1"/>
        <v>Md.Mahfuzur Rahman</v>
      </c>
      <c r="H237" t="str">
        <f ca="1"/>
        <v>Abdul Matin</v>
      </c>
      <c r="I237" t="str">
        <f ca="1"/>
        <v>SS Lub Mart</v>
      </c>
      <c r="J237" t="str">
        <f ca="1"/>
        <v>Puratan Bus Stand Faridpur</v>
      </c>
      <c r="K237" t="str">
        <f ca="1"/>
        <v>LO00042</v>
      </c>
      <c r="L237" t="str">
        <f ca="1"/>
        <v>3000 4T PLUS 20W40</v>
      </c>
      <c r="M237">
        <f ca="1"/>
        <v>400</v>
      </c>
      <c r="N237">
        <f ca="1"/>
        <v>535</v>
      </c>
      <c r="O237">
        <f ca="1"/>
        <v>400</v>
      </c>
      <c r="P237">
        <f ca="1"/>
        <v>1.8691588785046731E-2</v>
      </c>
      <c r="Q237">
        <f ca="1"/>
        <v>0</v>
      </c>
      <c r="R237">
        <f ca="1"/>
        <v>525</v>
      </c>
      <c r="S237">
        <f ca="1"/>
        <v>400</v>
      </c>
      <c r="T237">
        <f ca="1"/>
        <v>400</v>
      </c>
      <c r="U237">
        <f ca="1"/>
        <v>214000</v>
      </c>
      <c r="V237">
        <f ca="1"/>
        <v>2000</v>
      </c>
      <c r="W237">
        <f ca="1"/>
        <v>210000</v>
      </c>
      <c r="X237">
        <f ca="1"/>
        <v>27391.304347826088</v>
      </c>
      <c r="Y237">
        <f ca="1"/>
        <v>182608.69565217392</v>
      </c>
      <c r="Z237" t="str">
        <f ca="1"/>
        <v>Cash</v>
      </c>
      <c r="AA237">
        <f ca="1"/>
        <v>631</v>
      </c>
      <c r="AB237" t="str">
        <f ca="1"/>
        <v>Regular</v>
      </c>
      <c r="AC237" t="str">
        <f ca="1"/>
        <v/>
      </c>
      <c r="AD237" t="str">
        <f ca="1"/>
        <v/>
      </c>
      <c r="AE237" t="str">
        <f ca="1"/>
        <v>Central</v>
      </c>
      <c r="AF237" t="str">
        <f ca="1"/>
        <v>Mineral</v>
      </c>
      <c r="AG237" t="str">
        <f ca="1"/>
        <v>MCO</v>
      </c>
      <c r="AH237" t="str">
        <f ca="1"/>
        <v>20W40</v>
      </c>
      <c r="AI237" t="str">
        <f ca="1"/>
        <v>3000</v>
      </c>
      <c r="AJ237">
        <f ca="1"/>
        <v>0</v>
      </c>
      <c r="AK237" t="str">
        <f ca="1"/>
        <v>20x1L</v>
      </c>
      <c r="AL237">
        <f ca="1"/>
        <v>165104</v>
      </c>
      <c r="AM237">
        <f ca="1"/>
        <v>17504.695652173919</v>
      </c>
      <c r="AN237" t="str">
        <f ca="1"/>
        <v>O-45698-D-0019</v>
      </c>
      <c r="AO237" t="str">
        <f ca="1"/>
        <v>Delivered</v>
      </c>
    </row>
    <row r="238" spans="1:41" x14ac:dyDescent="0.5">
      <c r="A238" t="str">
        <f ca="1"/>
        <v>F-162</v>
      </c>
      <c r="B238" s="1">
        <f ca="1"/>
        <v>45698</v>
      </c>
      <c r="C238" t="str">
        <f ca="1"/>
        <v>D-0019</v>
      </c>
      <c r="D238" t="str">
        <f ca="1"/>
        <v>SS LUB MART</v>
      </c>
      <c r="E238" t="str">
        <f ca="1"/>
        <v>Faridpur Sadar.</v>
      </c>
      <c r="F238" t="str">
        <f ca="1"/>
        <v>01923-641421</v>
      </c>
      <c r="G238" t="str">
        <f ca="1"/>
        <v>Md.Mahfuzur Rahman</v>
      </c>
      <c r="H238" t="str">
        <f ca="1"/>
        <v>Abdul Matin</v>
      </c>
      <c r="I238" t="str">
        <f ca="1"/>
        <v>SS Lub Mart</v>
      </c>
      <c r="J238" t="str">
        <f ca="1"/>
        <v>Puratan Bus Stand Faridpur</v>
      </c>
      <c r="K238" t="str">
        <f ca="1"/>
        <v>LO00073</v>
      </c>
      <c r="L238" t="str">
        <f ca="1"/>
        <v>3000 4T PLUS 10W30</v>
      </c>
      <c r="M238">
        <f ca="1"/>
        <v>200</v>
      </c>
      <c r="N238">
        <f ca="1"/>
        <v>650</v>
      </c>
      <c r="O238">
        <f ca="1"/>
        <v>240</v>
      </c>
      <c r="P238">
        <f ca="1"/>
        <v>1.6923076923076708E-2</v>
      </c>
      <c r="Q238">
        <f ca="1"/>
        <v>0</v>
      </c>
      <c r="R238">
        <f ca="1"/>
        <v>639.00000000000011</v>
      </c>
      <c r="S238">
        <f ca="1"/>
        <v>200</v>
      </c>
      <c r="T238">
        <f ca="1"/>
        <v>240</v>
      </c>
      <c r="U238">
        <f ca="1"/>
        <v>130000</v>
      </c>
      <c r="V238">
        <f ca="1"/>
        <v>1200</v>
      </c>
      <c r="W238">
        <f ca="1"/>
        <v>127800.00000000003</v>
      </c>
      <c r="X238">
        <f ca="1"/>
        <v>16669.565217391308</v>
      </c>
      <c r="Y238">
        <f ca="1"/>
        <v>111130.43478260873</v>
      </c>
      <c r="Z238" t="str">
        <f ca="1"/>
        <v>Cash</v>
      </c>
      <c r="AA238">
        <f ca="1"/>
        <v>631</v>
      </c>
      <c r="AB238" t="str">
        <f ca="1"/>
        <v>Regular</v>
      </c>
      <c r="AC238" t="str">
        <f ca="1"/>
        <v/>
      </c>
      <c r="AD238" t="str">
        <f ca="1"/>
        <v/>
      </c>
      <c r="AE238" t="str">
        <f ca="1"/>
        <v>Central</v>
      </c>
      <c r="AF238" t="str">
        <f ca="1"/>
        <v>Mineral</v>
      </c>
      <c r="AG238" t="str">
        <f ca="1"/>
        <v>MCO</v>
      </c>
      <c r="AH238" t="str">
        <f ca="1"/>
        <v>10W30</v>
      </c>
      <c r="AI238" t="str">
        <f ca="1"/>
        <v>3000</v>
      </c>
      <c r="AJ238">
        <f ca="1"/>
        <v>0</v>
      </c>
      <c r="AK238" t="str">
        <f ca="1"/>
        <v>20x1.2L</v>
      </c>
      <c r="AL238">
        <f ca="1"/>
        <v>87780</v>
      </c>
      <c r="AM238">
        <f ca="1"/>
        <v>23350.434782608732</v>
      </c>
      <c r="AN238" t="str">
        <f ca="1"/>
        <v>O-45698-D-0019</v>
      </c>
      <c r="AO238" t="str">
        <f ca="1"/>
        <v>Delivered</v>
      </c>
    </row>
    <row r="239" spans="1:41" x14ac:dyDescent="0.5">
      <c r="A239" t="str">
        <f ca="1"/>
        <v>F-162</v>
      </c>
      <c r="B239" s="1">
        <f ca="1"/>
        <v>45698</v>
      </c>
      <c r="C239" t="str">
        <f ca="1"/>
        <v>D-0019</v>
      </c>
      <c r="D239" t="str">
        <f ca="1"/>
        <v>SS LUB MART</v>
      </c>
      <c r="E239" t="str">
        <f ca="1"/>
        <v>Faridpur Sadar.</v>
      </c>
      <c r="F239" t="str">
        <f ca="1"/>
        <v>01923-641421</v>
      </c>
      <c r="G239" t="str">
        <f ca="1"/>
        <v>Md.Mahfuzur Rahman</v>
      </c>
      <c r="H239" t="str">
        <f ca="1"/>
        <v>Abdul Matin</v>
      </c>
      <c r="I239" t="str">
        <f ca="1"/>
        <v>SS Lub Mart</v>
      </c>
      <c r="J239" t="str">
        <f ca="1"/>
        <v>Puratan Bus Stand Faridpur</v>
      </c>
      <c r="K239" t="str">
        <f ca="1"/>
        <v>LO00096</v>
      </c>
      <c r="L239" t="str">
        <f ca="1"/>
        <v>3000 4T PLUS 20W40</v>
      </c>
      <c r="M239">
        <f ca="1"/>
        <v>200</v>
      </c>
      <c r="N239">
        <f ca="1"/>
        <v>645</v>
      </c>
      <c r="O239">
        <f ca="1"/>
        <v>240</v>
      </c>
      <c r="P239">
        <f ca="1"/>
        <v>1.7054263565891459E-2</v>
      </c>
      <c r="Q239">
        <f ca="1"/>
        <v>0</v>
      </c>
      <c r="R239">
        <f ca="1"/>
        <v>634</v>
      </c>
      <c r="S239">
        <f ca="1"/>
        <v>200</v>
      </c>
      <c r="T239">
        <f ca="1"/>
        <v>240</v>
      </c>
      <c r="U239">
        <f ca="1"/>
        <v>129000</v>
      </c>
      <c r="V239">
        <f ca="1"/>
        <v>1200</v>
      </c>
      <c r="W239">
        <f ca="1"/>
        <v>126800</v>
      </c>
      <c r="X239">
        <f ca="1"/>
        <v>16539.130434782608</v>
      </c>
      <c r="Y239">
        <f ca="1"/>
        <v>110260.86956521739</v>
      </c>
      <c r="Z239" t="str">
        <f ca="1"/>
        <v>Cash</v>
      </c>
      <c r="AA239">
        <f ca="1"/>
        <v>631</v>
      </c>
      <c r="AB239" t="str">
        <f ca="1"/>
        <v>Regular</v>
      </c>
      <c r="AC239" t="str">
        <f ca="1"/>
        <v/>
      </c>
      <c r="AD239" t="str">
        <f ca="1"/>
        <v/>
      </c>
      <c r="AE239" t="str">
        <f ca="1"/>
        <v>Central</v>
      </c>
      <c r="AF239" t="str">
        <f ca="1"/>
        <v>Mineral</v>
      </c>
      <c r="AG239" t="str">
        <f ca="1"/>
        <v>MCO</v>
      </c>
      <c r="AH239" t="str">
        <f ca="1"/>
        <v>20W40</v>
      </c>
      <c r="AI239" t="str">
        <f ca="1"/>
        <v>3000</v>
      </c>
      <c r="AJ239">
        <f ca="1"/>
        <v>0</v>
      </c>
      <c r="AK239" t="str">
        <f ca="1"/>
        <v>20x1.2L</v>
      </c>
      <c r="AL239">
        <f ca="1"/>
        <v>93979.559070121948</v>
      </c>
      <c r="AM239">
        <f ca="1"/>
        <v>16281.310495095444</v>
      </c>
      <c r="AN239" t="str">
        <f ca="1"/>
        <v>O-45698-D-0019</v>
      </c>
      <c r="AO239" t="str">
        <f ca="1"/>
        <v>Delivered</v>
      </c>
    </row>
    <row r="240" spans="1:41" x14ac:dyDescent="0.5">
      <c r="A240" t="str">
        <f ca="1"/>
        <v>F-162</v>
      </c>
      <c r="B240" s="1">
        <f ca="1"/>
        <v>45698</v>
      </c>
      <c r="C240" t="str">
        <f ca="1"/>
        <v>D-0019</v>
      </c>
      <c r="D240" t="str">
        <f ca="1"/>
        <v>SS LUB MART</v>
      </c>
      <c r="E240" t="str">
        <f ca="1"/>
        <v>Faridpur Sadar.</v>
      </c>
      <c r="F240" t="str">
        <f ca="1"/>
        <v>01923-641421</v>
      </c>
      <c r="G240" t="str">
        <f ca="1"/>
        <v>Md.Mahfuzur Rahman</v>
      </c>
      <c r="H240" t="str">
        <f ca="1"/>
        <v>Abdul Matin</v>
      </c>
      <c r="I240" t="str">
        <f ca="1"/>
        <v>SS Lub Mart</v>
      </c>
      <c r="J240" t="str">
        <f ca="1"/>
        <v>Puratan Bus Stand Faridpur</v>
      </c>
      <c r="K240" t="str">
        <f ca="1"/>
        <v>LO00119</v>
      </c>
      <c r="L240" t="str">
        <f ca="1"/>
        <v>3000 4T 20W50</v>
      </c>
      <c r="M240">
        <f ca="1"/>
        <v>40</v>
      </c>
      <c r="N240">
        <f ca="1"/>
        <v>495</v>
      </c>
      <c r="O240">
        <f ca="1"/>
        <v>40</v>
      </c>
      <c r="P240">
        <f ca="1"/>
        <v>3.8383838383838409E-2</v>
      </c>
      <c r="Q240">
        <f ca="1"/>
        <v>0</v>
      </c>
      <c r="R240">
        <f ca="1"/>
        <v>476</v>
      </c>
      <c r="S240">
        <f ca="1"/>
        <v>40</v>
      </c>
      <c r="T240">
        <f ca="1"/>
        <v>40</v>
      </c>
      <c r="U240">
        <f ca="1"/>
        <v>19800</v>
      </c>
      <c r="V240">
        <f ca="1"/>
        <v>200</v>
      </c>
      <c r="W240">
        <f ca="1"/>
        <v>19040</v>
      </c>
      <c r="X240">
        <f ca="1"/>
        <v>2483.478260869565</v>
      </c>
      <c r="Y240">
        <f ca="1"/>
        <v>16556.521739130436</v>
      </c>
      <c r="Z240" t="str">
        <f ca="1"/>
        <v>Cash</v>
      </c>
      <c r="AA240">
        <f ca="1"/>
        <v>631</v>
      </c>
      <c r="AB240" t="str">
        <f ca="1"/>
        <v>Regular</v>
      </c>
      <c r="AC240" t="str">
        <f ca="1"/>
        <v/>
      </c>
      <c r="AD240" t="str">
        <f ca="1"/>
        <v/>
      </c>
      <c r="AE240" t="str">
        <f ca="1"/>
        <v>Central</v>
      </c>
      <c r="AF240" t="str">
        <f ca="1"/>
        <v>Mineral</v>
      </c>
      <c r="AG240" t="str">
        <f ca="1"/>
        <v>MCO</v>
      </c>
      <c r="AH240" t="str">
        <f ca="1"/>
        <v>20W50</v>
      </c>
      <c r="AI240" t="str">
        <f ca="1"/>
        <v>3000</v>
      </c>
      <c r="AJ240">
        <f ca="1"/>
        <v>0</v>
      </c>
      <c r="AK240" t="str">
        <f ca="1"/>
        <v>20x1L</v>
      </c>
      <c r="AL240">
        <f ca="1"/>
        <v>14596.800000000001</v>
      </c>
      <c r="AM240">
        <f ca="1"/>
        <v>1959.7217391304348</v>
      </c>
      <c r="AN240" t="str">
        <f ca="1"/>
        <v>O-45698-D-0019</v>
      </c>
      <c r="AO240" t="str">
        <f ca="1"/>
        <v>Delivered</v>
      </c>
    </row>
    <row r="241" spans="1:41" x14ac:dyDescent="0.5">
      <c r="A241" t="str">
        <f ca="1"/>
        <v>F-162</v>
      </c>
      <c r="B241" s="1">
        <f ca="1"/>
        <v>45698</v>
      </c>
      <c r="C241" t="str">
        <f ca="1"/>
        <v>D-0019</v>
      </c>
      <c r="D241" t="str">
        <f ca="1"/>
        <v>SS LUB MART</v>
      </c>
      <c r="E241" t="str">
        <f ca="1"/>
        <v>Faridpur Sadar.</v>
      </c>
      <c r="F241" t="str">
        <f ca="1"/>
        <v>01923-641421</v>
      </c>
      <c r="G241" t="str">
        <f ca="1"/>
        <v>Md.Mahfuzur Rahman</v>
      </c>
      <c r="H241" t="str">
        <f ca="1"/>
        <v>Abdul Matin</v>
      </c>
      <c r="I241" t="str">
        <f ca="1"/>
        <v>SS Lub Mart</v>
      </c>
      <c r="J241" t="str">
        <f ca="1"/>
        <v>Puratan Bus Stand Faridpur</v>
      </c>
      <c r="K241" t="str">
        <f ca="1"/>
        <v>LO00120</v>
      </c>
      <c r="L241" t="str">
        <f ca="1"/>
        <v>3000 4T 20W50</v>
      </c>
      <c r="M241">
        <f ca="1"/>
        <v>240</v>
      </c>
      <c r="N241">
        <f ca="1"/>
        <v>595</v>
      </c>
      <c r="O241">
        <f ca="1"/>
        <v>288</v>
      </c>
      <c r="P241">
        <f ca="1"/>
        <v>3.6638655462184921E-2</v>
      </c>
      <c r="Q241">
        <f ca="1"/>
        <v>0</v>
      </c>
      <c r="R241">
        <f ca="1"/>
        <v>573.20000000000005</v>
      </c>
      <c r="S241">
        <f ca="1"/>
        <v>240</v>
      </c>
      <c r="T241">
        <f ca="1"/>
        <v>288</v>
      </c>
      <c r="U241">
        <f ca="1"/>
        <v>142800</v>
      </c>
      <c r="V241">
        <f ca="1"/>
        <v>1440</v>
      </c>
      <c r="W241">
        <f ca="1"/>
        <v>137568</v>
      </c>
      <c r="X241">
        <f ca="1"/>
        <v>17943.652173913044</v>
      </c>
      <c r="Y241">
        <f ca="1"/>
        <v>119624.34782608696</v>
      </c>
      <c r="Z241" t="str">
        <f ca="1"/>
        <v>Cash</v>
      </c>
      <c r="AA241">
        <f ca="1"/>
        <v>631</v>
      </c>
      <c r="AB241" t="str">
        <f ca="1"/>
        <v>Regular</v>
      </c>
      <c r="AC241" t="str">
        <f ca="1"/>
        <v/>
      </c>
      <c r="AD241" t="str">
        <f ca="1"/>
        <v/>
      </c>
      <c r="AE241" t="str">
        <f ca="1"/>
        <v>Central</v>
      </c>
      <c r="AF241" t="str">
        <f ca="1"/>
        <v>Mineral</v>
      </c>
      <c r="AG241" t="str">
        <f ca="1"/>
        <v>MCO</v>
      </c>
      <c r="AH241" t="str">
        <f ca="1"/>
        <v>20W50</v>
      </c>
      <c r="AI241" t="str">
        <f ca="1"/>
        <v>3000</v>
      </c>
      <c r="AJ241">
        <f ca="1"/>
        <v>0</v>
      </c>
      <c r="AK241" t="str">
        <f ca="1"/>
        <v>20x1.2L</v>
      </c>
      <c r="AL241">
        <f ca="1"/>
        <v>104306.40000000001</v>
      </c>
      <c r="AM241">
        <f ca="1"/>
        <v>15317.947826086951</v>
      </c>
      <c r="AN241" t="str">
        <f ca="1"/>
        <v>O-45698-D-0019</v>
      </c>
      <c r="AO241" t="str">
        <f ca="1"/>
        <v>Delivered</v>
      </c>
    </row>
    <row r="242" spans="1:41" x14ac:dyDescent="0.5">
      <c r="A242" t="str">
        <f ca="1"/>
        <v>F-163</v>
      </c>
      <c r="B242" s="1">
        <f ca="1"/>
        <v>45697</v>
      </c>
      <c r="C242" t="str">
        <f ca="1"/>
        <v>D-0026</v>
      </c>
      <c r="D242" t="str">
        <f ca="1"/>
        <v>Rangs Motors Workshop limited</v>
      </c>
      <c r="E242" t="str">
        <f ca="1"/>
        <v>Dhaka</v>
      </c>
      <c r="F242">
        <f ca="1"/>
        <v>0</v>
      </c>
      <c r="G242" t="str">
        <f ca="1"/>
        <v>Captive Sales</v>
      </c>
      <c r="H242" t="str">
        <f ca="1"/>
        <v>Captive Sales</v>
      </c>
      <c r="I242" t="str">
        <f ca="1"/>
        <v>Ranks Motor Workshop limited</v>
      </c>
      <c r="J242" t="str">
        <f ca="1"/>
        <v>Gazipur</v>
      </c>
      <c r="K242" t="str">
        <f ca="1"/>
        <v>LO00101</v>
      </c>
      <c r="L242" t="str">
        <f ca="1"/>
        <v>Tekma Mega Fleet LD 15W40</v>
      </c>
      <c r="M242">
        <f ca="1"/>
        <v>0</v>
      </c>
      <c r="N242">
        <f ca="1"/>
        <v>0</v>
      </c>
      <c r="O242">
        <f ca="1"/>
        <v>0</v>
      </c>
      <c r="P242" t="str">
        <f ca="1"/>
        <v/>
      </c>
      <c r="Q242">
        <f ca="1"/>
        <v>4</v>
      </c>
      <c r="R242">
        <f ca="1"/>
        <v>0</v>
      </c>
      <c r="S242">
        <f ca="1"/>
        <v>4</v>
      </c>
      <c r="T242">
        <f ca="1"/>
        <v>44</v>
      </c>
      <c r="U242">
        <f ca="1"/>
        <v>0</v>
      </c>
      <c r="V242">
        <f ca="1"/>
        <v>0</v>
      </c>
      <c r="W242">
        <f ca="1"/>
        <v>0</v>
      </c>
      <c r="X242">
        <f ca="1"/>
        <v>0</v>
      </c>
      <c r="Y242">
        <f ca="1"/>
        <v>0</v>
      </c>
      <c r="Z242" t="str">
        <f ca="1"/>
        <v>Free</v>
      </c>
      <c r="AA242" t="str">
        <f ca="1"/>
        <v/>
      </c>
      <c r="AB242" t="str">
        <f ca="1"/>
        <v>Flat Discount</v>
      </c>
      <c r="AC242">
        <f ca="1"/>
        <v>45697</v>
      </c>
      <c r="AD242" t="str">
        <f ca="1"/>
        <v>sample checking purpose</v>
      </c>
      <c r="AE242" t="str">
        <f ca="1"/>
        <v>Captive Sales</v>
      </c>
      <c r="AF242" t="str">
        <f ca="1"/>
        <v>Mineral</v>
      </c>
      <c r="AG242" t="str">
        <f ca="1"/>
        <v>HDDO</v>
      </c>
      <c r="AH242" t="str">
        <f ca="1"/>
        <v>15W40</v>
      </c>
      <c r="AI242" t="str">
        <f ca="1"/>
        <v>Tekma</v>
      </c>
      <c r="AJ242">
        <f ca="1"/>
        <v>44</v>
      </c>
      <c r="AK242" t="str">
        <f ca="1"/>
        <v>11L</v>
      </c>
      <c r="AL242">
        <f ca="1"/>
        <v>16442.919999999998</v>
      </c>
      <c r="AM242">
        <f ca="1"/>
        <v>-16442.919999999998</v>
      </c>
      <c r="AN242" t="str">
        <f ca="1"/>
        <v>O-45697-D-0026</v>
      </c>
      <c r="AO242" t="str">
        <f ca="1"/>
        <v>Delivered</v>
      </c>
    </row>
    <row r="243" spans="1:41" x14ac:dyDescent="0.5">
      <c r="A243" t="str">
        <f ca="1"/>
        <v>F-163</v>
      </c>
      <c r="B243" s="1">
        <f ca="1"/>
        <v>45697</v>
      </c>
      <c r="C243" t="str">
        <f ca="1"/>
        <v>D-0026</v>
      </c>
      <c r="D243" t="str">
        <f ca="1"/>
        <v>Rangs Motors Workshop limited</v>
      </c>
      <c r="E243" t="str">
        <f ca="1"/>
        <v>Dhaka</v>
      </c>
      <c r="F243">
        <f ca="1"/>
        <v>0</v>
      </c>
      <c r="G243" t="str">
        <f ca="1"/>
        <v>Captive Sales</v>
      </c>
      <c r="H243" t="str">
        <f ca="1"/>
        <v>Captive Sales</v>
      </c>
      <c r="I243" t="str">
        <f ca="1"/>
        <v>Ranks Motor Workshop limited</v>
      </c>
      <c r="J243" t="str">
        <f ca="1"/>
        <v>Gazipur</v>
      </c>
      <c r="K243" t="str">
        <f ca="1"/>
        <v>LO00102</v>
      </c>
      <c r="L243" t="str">
        <f ca="1"/>
        <v>Tekma Mega Fleet LD 15W40</v>
      </c>
      <c r="M243">
        <f ca="1"/>
        <v>0</v>
      </c>
      <c r="N243">
        <f ca="1"/>
        <v>0</v>
      </c>
      <c r="O243">
        <f ca="1"/>
        <v>0</v>
      </c>
      <c r="P243" t="str">
        <f ca="1"/>
        <v/>
      </c>
      <c r="Q243">
        <f ca="1"/>
        <v>4</v>
      </c>
      <c r="R243">
        <f ca="1"/>
        <v>0</v>
      </c>
      <c r="S243">
        <f ca="1"/>
        <v>4</v>
      </c>
      <c r="T243">
        <f ca="1"/>
        <v>60</v>
      </c>
      <c r="U243">
        <f ca="1"/>
        <v>0</v>
      </c>
      <c r="V243">
        <f ca="1"/>
        <v>0</v>
      </c>
      <c r="W243">
        <f ca="1"/>
        <v>0</v>
      </c>
      <c r="X243">
        <f ca="1"/>
        <v>0</v>
      </c>
      <c r="Y243">
        <f ca="1"/>
        <v>0</v>
      </c>
      <c r="Z243" t="str">
        <f ca="1"/>
        <v>Free</v>
      </c>
      <c r="AA243" t="str">
        <f ca="1"/>
        <v/>
      </c>
      <c r="AB243" t="str">
        <f ca="1"/>
        <v>Flat Discount</v>
      </c>
      <c r="AC243">
        <f ca="1"/>
        <v>45697</v>
      </c>
      <c r="AD243" t="str">
        <f ca="1"/>
        <v>sample checking purpose</v>
      </c>
      <c r="AE243" t="str">
        <f ca="1"/>
        <v>Captive Sales</v>
      </c>
      <c r="AF243" t="str">
        <f ca="1"/>
        <v>Mineral</v>
      </c>
      <c r="AG243" t="str">
        <f ca="1"/>
        <v>HDDO</v>
      </c>
      <c r="AH243" t="str">
        <f ca="1"/>
        <v>15W40</v>
      </c>
      <c r="AI243" t="str">
        <f ca="1"/>
        <v>Tekma</v>
      </c>
      <c r="AJ243">
        <f ca="1"/>
        <v>60</v>
      </c>
      <c r="AK243" t="str">
        <f ca="1"/>
        <v>15L</v>
      </c>
      <c r="AL243">
        <f ca="1"/>
        <v>22139.48</v>
      </c>
      <c r="AM243">
        <f ca="1"/>
        <v>-22139.48</v>
      </c>
      <c r="AN243" t="str">
        <f ca="1"/>
        <v>O-45697-D-0026</v>
      </c>
      <c r="AO243" t="str">
        <f ca="1"/>
        <v>Delivered</v>
      </c>
    </row>
    <row r="244" spans="1:41" x14ac:dyDescent="0.5">
      <c r="A244" t="str">
        <f ca="1"/>
        <v>F-163</v>
      </c>
      <c r="B244" s="1">
        <f ca="1"/>
        <v>45697</v>
      </c>
      <c r="C244" t="str">
        <f ca="1"/>
        <v>D-0026</v>
      </c>
      <c r="D244" t="str">
        <f ca="1"/>
        <v>Rangs Motors Workshop limited</v>
      </c>
      <c r="E244" t="str">
        <f ca="1"/>
        <v>Dhaka</v>
      </c>
      <c r="F244">
        <f ca="1"/>
        <v>0</v>
      </c>
      <c r="G244" t="str">
        <f ca="1"/>
        <v>Captive Sales</v>
      </c>
      <c r="H244" t="str">
        <f ca="1"/>
        <v>Captive Sales</v>
      </c>
      <c r="I244" t="str">
        <f ca="1"/>
        <v>Ranks Motor Workshop limited</v>
      </c>
      <c r="J244" t="str">
        <f ca="1"/>
        <v>Gazipur</v>
      </c>
      <c r="K244" t="str">
        <f ca="1"/>
        <v>LO00110</v>
      </c>
      <c r="L244" t="str">
        <f ca="1"/>
        <v>Tekma Mega Fleet LD 15W40</v>
      </c>
      <c r="M244">
        <f ca="1"/>
        <v>0</v>
      </c>
      <c r="N244">
        <f ca="1"/>
        <v>0</v>
      </c>
      <c r="O244">
        <f ca="1"/>
        <v>0</v>
      </c>
      <c r="P244" t="str">
        <f ca="1"/>
        <v/>
      </c>
      <c r="Q244">
        <f ca="1"/>
        <v>12</v>
      </c>
      <c r="R244">
        <f ca="1"/>
        <v>0</v>
      </c>
      <c r="S244">
        <f ca="1"/>
        <v>12</v>
      </c>
      <c r="T244">
        <f ca="1"/>
        <v>12</v>
      </c>
      <c r="U244">
        <f ca="1"/>
        <v>0</v>
      </c>
      <c r="V244">
        <f ca="1"/>
        <v>0</v>
      </c>
      <c r="W244">
        <f ca="1"/>
        <v>0</v>
      </c>
      <c r="X244">
        <f ca="1"/>
        <v>0</v>
      </c>
      <c r="Y244">
        <f ca="1"/>
        <v>0</v>
      </c>
      <c r="Z244" t="str">
        <f ca="1"/>
        <v>Free</v>
      </c>
      <c r="AA244" t="str">
        <f ca="1"/>
        <v/>
      </c>
      <c r="AB244" t="str">
        <f ca="1"/>
        <v>Flat Discount</v>
      </c>
      <c r="AC244">
        <f ca="1"/>
        <v>45697</v>
      </c>
      <c r="AD244" t="str">
        <f ca="1"/>
        <v>sample checking purpose</v>
      </c>
      <c r="AE244" t="str">
        <f ca="1"/>
        <v>Captive Sales</v>
      </c>
      <c r="AF244" t="str">
        <f ca="1"/>
        <v>Mineral</v>
      </c>
      <c r="AG244" t="str">
        <f ca="1"/>
        <v>HDDO</v>
      </c>
      <c r="AH244" t="str">
        <f ca="1"/>
        <v>15W40</v>
      </c>
      <c r="AI244" t="str">
        <f ca="1"/>
        <v>Tekma</v>
      </c>
      <c r="AJ244">
        <f ca="1"/>
        <v>12</v>
      </c>
      <c r="AK244" t="str">
        <f ca="1"/>
        <v>20x1L</v>
      </c>
      <c r="AL244">
        <f ca="1"/>
        <v>4996.5599999999995</v>
      </c>
      <c r="AM244">
        <f ca="1"/>
        <v>-4996.5599999999995</v>
      </c>
      <c r="AN244" t="str">
        <f ca="1"/>
        <v>O-45697-D-0026</v>
      </c>
      <c r="AO244" t="str">
        <f ca="1"/>
        <v>Delivered</v>
      </c>
    </row>
    <row r="245" spans="1:41" x14ac:dyDescent="0.5">
      <c r="A245" t="str">
        <f ca="1"/>
        <v>F-167</v>
      </c>
      <c r="B245" s="1">
        <f ca="1"/>
        <v>45701</v>
      </c>
      <c r="C245" t="str">
        <f ca="1"/>
        <v>D-0026</v>
      </c>
      <c r="D245" t="str">
        <f ca="1"/>
        <v>Rangs Motors Workshop limited</v>
      </c>
      <c r="E245" t="str">
        <f ca="1"/>
        <v>Dhaka</v>
      </c>
      <c r="F245" t="str">
        <f ca="1"/>
        <v/>
      </c>
      <c r="G245" t="str">
        <f ca="1"/>
        <v>Captive Sales</v>
      </c>
      <c r="H245" t="str">
        <f ca="1"/>
        <v>Captive Sales</v>
      </c>
      <c r="I245" t="str">
        <f ca="1"/>
        <v>Ranks Motor Workshop limited</v>
      </c>
      <c r="J245" t="str">
        <f ca="1"/>
        <v>Dhaka</v>
      </c>
      <c r="K245" t="str">
        <f ca="1"/>
        <v>LO00101</v>
      </c>
      <c r="L245" t="str">
        <f ca="1"/>
        <v>Tekma Mega Fleet LD 15W40</v>
      </c>
      <c r="M245">
        <f ca="1"/>
        <v>190</v>
      </c>
      <c r="N245">
        <f ca="1"/>
        <v>4400</v>
      </c>
      <c r="O245">
        <f ca="1"/>
        <v>2090</v>
      </c>
      <c r="P245">
        <f ca="1"/>
        <v>0</v>
      </c>
      <c r="Q245">
        <f ca="1"/>
        <v>0</v>
      </c>
      <c r="R245">
        <f ca="1"/>
        <v>4400</v>
      </c>
      <c r="S245">
        <f ca="1"/>
        <v>190</v>
      </c>
      <c r="T245">
        <f ca="1"/>
        <v>2090</v>
      </c>
      <c r="U245">
        <f ca="1"/>
        <v>836000</v>
      </c>
      <c r="V245">
        <f ca="1"/>
        <v>0</v>
      </c>
      <c r="W245">
        <f ca="1"/>
        <v>836000</v>
      </c>
      <c r="X245">
        <f ca="1"/>
        <v>109043.47826086957</v>
      </c>
      <c r="Y245">
        <f ca="1"/>
        <v>726956.52173913049</v>
      </c>
      <c r="Z245" t="str">
        <f ca="1"/>
        <v>Cash</v>
      </c>
      <c r="AA245">
        <f ca="1"/>
        <v>635</v>
      </c>
      <c r="AB245" t="str">
        <f ca="1"/>
        <v>Flat Discount</v>
      </c>
      <c r="AC245">
        <f ca="1"/>
        <v>45704</v>
      </c>
      <c r="AD245" t="str">
        <f ca="1"/>
        <v/>
      </c>
      <c r="AE245" t="str">
        <f ca="1"/>
        <v>Captive Sales</v>
      </c>
      <c r="AF245" t="str">
        <f ca="1"/>
        <v>Mineral</v>
      </c>
      <c r="AG245" t="str">
        <f ca="1"/>
        <v>HDDO</v>
      </c>
      <c r="AH245" t="str">
        <f ca="1"/>
        <v>15W40</v>
      </c>
      <c r="AI245" t="str">
        <f ca="1"/>
        <v>Tekma</v>
      </c>
      <c r="AJ245">
        <f ca="1"/>
        <v>0</v>
      </c>
      <c r="AK245" t="str">
        <f ca="1"/>
        <v>11L</v>
      </c>
      <c r="AL245">
        <f ca="1"/>
        <v>781038.7</v>
      </c>
      <c r="AM245">
        <f ca="1"/>
        <v>-54082.178260869463</v>
      </c>
      <c r="AN245" t="str">
        <f ca="1"/>
        <v>O-45701-D-0026</v>
      </c>
      <c r="AO245" t="str">
        <f ca="1"/>
        <v>Delivered</v>
      </c>
    </row>
    <row r="246" spans="1:41" x14ac:dyDescent="0.5">
      <c r="A246" t="str">
        <f ca="1"/>
        <v>F-167</v>
      </c>
      <c r="B246" s="1">
        <f ca="1"/>
        <v>45701</v>
      </c>
      <c r="C246" t="str">
        <f ca="1"/>
        <v>D-0026</v>
      </c>
      <c r="D246" t="str">
        <f ca="1"/>
        <v>Rangs Motors Workshop limited</v>
      </c>
      <c r="E246" t="str">
        <f ca="1"/>
        <v>Dhaka</v>
      </c>
      <c r="F246" t="str">
        <f ca="1"/>
        <v/>
      </c>
      <c r="G246" t="str">
        <f ca="1"/>
        <v>Captive Sales</v>
      </c>
      <c r="H246" t="str">
        <f ca="1"/>
        <v>Captive Sales</v>
      </c>
      <c r="I246" t="str">
        <f ca="1"/>
        <v>Ranks Motor Workshop limited</v>
      </c>
      <c r="J246" t="str">
        <f ca="1"/>
        <v>Dhaka</v>
      </c>
      <c r="K246" t="str">
        <f ca="1"/>
        <v>LO00102</v>
      </c>
      <c r="L246" t="str">
        <f ca="1"/>
        <v>Tekma Mega Fleet LD 15W40</v>
      </c>
      <c r="M246">
        <f ca="1"/>
        <v>93</v>
      </c>
      <c r="N246">
        <f ca="1"/>
        <v>6000</v>
      </c>
      <c r="O246">
        <f ca="1"/>
        <v>1395</v>
      </c>
      <c r="P246">
        <f ca="1"/>
        <v>0</v>
      </c>
      <c r="Q246">
        <f ca="1"/>
        <v>0</v>
      </c>
      <c r="R246">
        <f ca="1"/>
        <v>6000</v>
      </c>
      <c r="S246">
        <f ca="1"/>
        <v>93</v>
      </c>
      <c r="T246">
        <f ca="1"/>
        <v>1395</v>
      </c>
      <c r="U246">
        <f ca="1"/>
        <v>558000</v>
      </c>
      <c r="V246">
        <f ca="1"/>
        <v>0</v>
      </c>
      <c r="W246">
        <f ca="1"/>
        <v>558000</v>
      </c>
      <c r="X246">
        <f ca="1"/>
        <v>72782.608695652176</v>
      </c>
      <c r="Y246">
        <f ca="1"/>
        <v>485217.39130434784</v>
      </c>
      <c r="Z246" t="str">
        <f ca="1"/>
        <v>Cash</v>
      </c>
      <c r="AA246">
        <f ca="1"/>
        <v>635</v>
      </c>
      <c r="AB246" t="str">
        <f ca="1"/>
        <v>Flat Discount</v>
      </c>
      <c r="AC246">
        <f ca="1"/>
        <v>45704</v>
      </c>
      <c r="AD246" t="str">
        <f ca="1"/>
        <v/>
      </c>
      <c r="AE246" t="str">
        <f ca="1"/>
        <v>Captive Sales</v>
      </c>
      <c r="AF246" t="str">
        <f ca="1"/>
        <v>Mineral</v>
      </c>
      <c r="AG246" t="str">
        <f ca="1"/>
        <v>HDDO</v>
      </c>
      <c r="AH246" t="str">
        <f ca="1"/>
        <v>15W40</v>
      </c>
      <c r="AI246" t="str">
        <f ca="1"/>
        <v>Tekma</v>
      </c>
      <c r="AJ246">
        <f ca="1"/>
        <v>0</v>
      </c>
      <c r="AK246" t="str">
        <f ca="1"/>
        <v>15L</v>
      </c>
      <c r="AL246">
        <f ca="1"/>
        <v>514742.91</v>
      </c>
      <c r="AM246">
        <f ca="1"/>
        <v>-29525.518695652136</v>
      </c>
      <c r="AN246" t="str">
        <f ca="1"/>
        <v>O-45701-D-0026</v>
      </c>
      <c r="AO246" t="str">
        <f ca="1"/>
        <v>Delivered</v>
      </c>
    </row>
    <row r="247" spans="1:41" x14ac:dyDescent="0.5">
      <c r="A247" t="str">
        <f ca="1"/>
        <v>F-167</v>
      </c>
      <c r="B247" s="1">
        <f ca="1"/>
        <v>45701</v>
      </c>
      <c r="C247" t="str">
        <f ca="1"/>
        <v>D-0026</v>
      </c>
      <c r="D247" t="str">
        <f ca="1"/>
        <v>Rangs Motors Workshop limited</v>
      </c>
      <c r="E247" t="str">
        <f ca="1"/>
        <v>Dhaka</v>
      </c>
      <c r="F247" t="str">
        <f ca="1"/>
        <v/>
      </c>
      <c r="G247" t="str">
        <f ca="1"/>
        <v>Captive Sales</v>
      </c>
      <c r="H247" t="str">
        <f ca="1"/>
        <v>Captive Sales</v>
      </c>
      <c r="I247" t="str">
        <f ca="1"/>
        <v>Ranks Motor Workshop limited</v>
      </c>
      <c r="J247" t="str">
        <f ca="1"/>
        <v>Dhaka</v>
      </c>
      <c r="K247" t="str">
        <f ca="1"/>
        <v>LO00110</v>
      </c>
      <c r="L247" t="str">
        <f ca="1"/>
        <v>Tekma Mega Fleet LD 15W40</v>
      </c>
      <c r="M247">
        <f ca="1"/>
        <v>201</v>
      </c>
      <c r="N247">
        <f ca="1"/>
        <v>400</v>
      </c>
      <c r="O247">
        <f ca="1"/>
        <v>201</v>
      </c>
      <c r="P247">
        <f ca="1"/>
        <v>0</v>
      </c>
      <c r="Q247">
        <f ca="1"/>
        <v>0</v>
      </c>
      <c r="R247">
        <f ca="1"/>
        <v>400</v>
      </c>
      <c r="S247">
        <f ca="1"/>
        <v>201</v>
      </c>
      <c r="T247">
        <f ca="1"/>
        <v>201</v>
      </c>
      <c r="U247">
        <f ca="1"/>
        <v>80400</v>
      </c>
      <c r="V247">
        <f ca="1"/>
        <v>0</v>
      </c>
      <c r="W247">
        <f ca="1"/>
        <v>80400</v>
      </c>
      <c r="X247">
        <f ca="1"/>
        <v>10486.95652173913</v>
      </c>
      <c r="Y247">
        <f ca="1"/>
        <v>69913.043478260865</v>
      </c>
      <c r="Z247" t="str">
        <f ca="1"/>
        <v>Cash</v>
      </c>
      <c r="AA247">
        <f ca="1"/>
        <v>635</v>
      </c>
      <c r="AB247" t="str">
        <f ca="1"/>
        <v>Flat Discount</v>
      </c>
      <c r="AC247">
        <f ca="1"/>
        <v>45704</v>
      </c>
      <c r="AD247" t="str">
        <f ca="1"/>
        <v/>
      </c>
      <c r="AE247" t="str">
        <f ca="1"/>
        <v>Captive Sales</v>
      </c>
      <c r="AF247" t="str">
        <f ca="1"/>
        <v>Mineral</v>
      </c>
      <c r="AG247" t="str">
        <f ca="1"/>
        <v>HDDO</v>
      </c>
      <c r="AH247" t="str">
        <f ca="1"/>
        <v>15W40</v>
      </c>
      <c r="AI247" t="str">
        <f ca="1"/>
        <v>Tekma</v>
      </c>
      <c r="AJ247">
        <f ca="1"/>
        <v>0</v>
      </c>
      <c r="AK247" t="str">
        <f ca="1"/>
        <v>20x1L</v>
      </c>
      <c r="AL247">
        <f ca="1"/>
        <v>83692.38</v>
      </c>
      <c r="AM247">
        <f ca="1"/>
        <v>-13779.33652173914</v>
      </c>
      <c r="AN247" t="str">
        <f ca="1"/>
        <v>O-45701-D-0026</v>
      </c>
      <c r="AO247" t="str">
        <f ca="1"/>
        <v>Delivered</v>
      </c>
    </row>
    <row r="248" spans="1:41" x14ac:dyDescent="0.5">
      <c r="A248" t="str">
        <f ca="1"/>
        <v>F-164</v>
      </c>
      <c r="B248" s="1">
        <f ca="1"/>
        <v>45694</v>
      </c>
      <c r="C248" t="str">
        <f ca="1"/>
        <v>D-0006</v>
      </c>
      <c r="D248" t="str">
        <f ca="1"/>
        <v>Maliha Enterprise</v>
      </c>
      <c r="E248" t="str">
        <f ca="1"/>
        <v/>
      </c>
      <c r="F248" t="str">
        <f ca="1"/>
        <v/>
      </c>
      <c r="G248" t="str">
        <f ca="1"/>
        <v>Sayed Al Amin Apu</v>
      </c>
      <c r="H248" t="str">
        <f ca="1"/>
        <v>Abdul Matin</v>
      </c>
      <c r="I248" t="str">
        <f ca="1"/>
        <v>Maliha Enterprise</v>
      </c>
      <c r="J248" t="str">
        <f ca="1"/>
        <v>Savar</v>
      </c>
      <c r="K248" t="str">
        <f ca="1"/>
        <v>LO00041</v>
      </c>
      <c r="L248" t="str">
        <f ca="1"/>
        <v>3000 4T PLUS 10W30</v>
      </c>
      <c r="M248">
        <f ca="1"/>
        <v>200</v>
      </c>
      <c r="N248">
        <f ca="1"/>
        <v>540</v>
      </c>
      <c r="O248">
        <f ca="1"/>
        <v>200</v>
      </c>
      <c r="P248">
        <f ca="1"/>
        <v>1.2962962962962954E-2</v>
      </c>
      <c r="Q248">
        <f ca="1"/>
        <v>0</v>
      </c>
      <c r="R248">
        <f ca="1"/>
        <v>533</v>
      </c>
      <c r="S248">
        <f ca="1"/>
        <v>200</v>
      </c>
      <c r="T248">
        <f ca="1"/>
        <v>200</v>
      </c>
      <c r="U248">
        <f ca="1"/>
        <v>108000</v>
      </c>
      <c r="V248">
        <f ca="1"/>
        <v>1400</v>
      </c>
      <c r="W248">
        <f ca="1"/>
        <v>106600</v>
      </c>
      <c r="X248">
        <f ca="1"/>
        <v>13904.347826086956</v>
      </c>
      <c r="Y248">
        <f ca="1"/>
        <v>92695.65217391304</v>
      </c>
      <c r="Z248" t="str">
        <f ca="1"/>
        <v>Cash</v>
      </c>
      <c r="AA248">
        <f ca="1"/>
        <v>632</v>
      </c>
      <c r="AB248" t="str">
        <f ca="1"/>
        <v>Regular</v>
      </c>
      <c r="AC248">
        <f ca="1"/>
        <v>45701</v>
      </c>
      <c r="AD248" t="str">
        <f ca="1"/>
        <v/>
      </c>
      <c r="AE248" t="str">
        <f ca="1"/>
        <v>Central</v>
      </c>
      <c r="AF248" t="str">
        <f ca="1"/>
        <v>Mineral</v>
      </c>
      <c r="AG248" t="str">
        <f ca="1"/>
        <v>MCO</v>
      </c>
      <c r="AH248" t="str">
        <f ca="1"/>
        <v>10W30</v>
      </c>
      <c r="AI248" t="str">
        <f ca="1"/>
        <v>3000</v>
      </c>
      <c r="AJ248">
        <f ca="1"/>
        <v>0</v>
      </c>
      <c r="AK248" t="str">
        <f ca="1"/>
        <v>20x1L</v>
      </c>
      <c r="AL248">
        <f ca="1"/>
        <v>75866</v>
      </c>
      <c r="AM248">
        <f ca="1"/>
        <v>16829.65217391304</v>
      </c>
      <c r="AN248" t="str">
        <f ca="1"/>
        <v>O-45694-D-0006</v>
      </c>
      <c r="AO248" t="str">
        <f ca="1"/>
        <v>Delivered</v>
      </c>
    </row>
    <row r="249" spans="1:41" x14ac:dyDescent="0.5">
      <c r="A249" t="str">
        <f ca="1"/>
        <v>F-164</v>
      </c>
      <c r="B249" s="1">
        <f ca="1"/>
        <v>45694</v>
      </c>
      <c r="C249" t="str">
        <f ca="1"/>
        <v>D-0006</v>
      </c>
      <c r="D249" t="str">
        <f ca="1"/>
        <v>Maliha Enterprise</v>
      </c>
      <c r="E249" t="str">
        <f ca="1"/>
        <v/>
      </c>
      <c r="F249" t="str">
        <f ca="1"/>
        <v/>
      </c>
      <c r="G249" t="str">
        <f ca="1"/>
        <v>Sayed Al Amin Apu</v>
      </c>
      <c r="H249" t="str">
        <f ca="1"/>
        <v>Abdul Matin</v>
      </c>
      <c r="I249" t="str">
        <f ca="1"/>
        <v>Maliha Enterprise</v>
      </c>
      <c r="J249" t="str">
        <f ca="1"/>
        <v>Savar</v>
      </c>
      <c r="K249" t="str">
        <f ca="1"/>
        <v>LO00073</v>
      </c>
      <c r="L249" t="str">
        <f ca="1"/>
        <v>3000 4T PLUS 10W30</v>
      </c>
      <c r="M249">
        <f ca="1"/>
        <v>300</v>
      </c>
      <c r="N249">
        <f ca="1"/>
        <v>650</v>
      </c>
      <c r="O249">
        <f ca="1"/>
        <v>360</v>
      </c>
      <c r="P249">
        <f ca="1"/>
        <v>1.2923076923076926E-2</v>
      </c>
      <c r="Q249">
        <f ca="1"/>
        <v>0</v>
      </c>
      <c r="R249">
        <f ca="1"/>
        <v>641.6</v>
      </c>
      <c r="S249">
        <f ca="1"/>
        <v>300</v>
      </c>
      <c r="T249">
        <f ca="1"/>
        <v>360</v>
      </c>
      <c r="U249">
        <f ca="1"/>
        <v>195000</v>
      </c>
      <c r="V249">
        <f ca="1"/>
        <v>2520</v>
      </c>
      <c r="W249">
        <f ca="1"/>
        <v>192480</v>
      </c>
      <c r="X249">
        <f ca="1"/>
        <v>25106.08695652174</v>
      </c>
      <c r="Y249">
        <f ca="1"/>
        <v>167373.91304347827</v>
      </c>
      <c r="Z249" t="str">
        <f ca="1"/>
        <v>Cash</v>
      </c>
      <c r="AA249">
        <f ca="1"/>
        <v>632</v>
      </c>
      <c r="AB249" t="str">
        <f ca="1"/>
        <v>Regular</v>
      </c>
      <c r="AC249">
        <f ca="1"/>
        <v>45701</v>
      </c>
      <c r="AD249" t="str">
        <f ca="1"/>
        <v/>
      </c>
      <c r="AE249" t="str">
        <f ca="1"/>
        <v>Central</v>
      </c>
      <c r="AF249" t="str">
        <f ca="1"/>
        <v>Mineral</v>
      </c>
      <c r="AG249" t="str">
        <f ca="1"/>
        <v>MCO</v>
      </c>
      <c r="AH249" t="str">
        <f ca="1"/>
        <v>10W30</v>
      </c>
      <c r="AI249" t="str">
        <f ca="1"/>
        <v>3000</v>
      </c>
      <c r="AJ249">
        <f ca="1"/>
        <v>0</v>
      </c>
      <c r="AK249" t="str">
        <f ca="1"/>
        <v>20x1.2L</v>
      </c>
      <c r="AL249">
        <f ca="1"/>
        <v>131670</v>
      </c>
      <c r="AM249">
        <f ca="1"/>
        <v>35703.913043478271</v>
      </c>
      <c r="AN249" t="str">
        <f ca="1"/>
        <v>O-45694-D-0006</v>
      </c>
      <c r="AO249" t="str">
        <f ca="1"/>
        <v>Delivered</v>
      </c>
    </row>
    <row r="250" spans="1:41" x14ac:dyDescent="0.5">
      <c r="A250" t="str">
        <f ca="1"/>
        <v>F-164</v>
      </c>
      <c r="B250" s="1">
        <f ca="1"/>
        <v>45694</v>
      </c>
      <c r="C250" t="str">
        <f ca="1"/>
        <v>D-0006</v>
      </c>
      <c r="D250" t="str">
        <f ca="1"/>
        <v>Maliha Enterprise</v>
      </c>
      <c r="E250" t="str">
        <f ca="1"/>
        <v/>
      </c>
      <c r="F250" t="str">
        <f ca="1"/>
        <v/>
      </c>
      <c r="G250" t="str">
        <f ca="1"/>
        <v>Sayed Al Amin Apu</v>
      </c>
      <c r="H250" t="str">
        <f ca="1"/>
        <v>Abdul Matin</v>
      </c>
      <c r="I250" t="str">
        <f ca="1"/>
        <v>Maliha Enterprise</v>
      </c>
      <c r="J250" t="str">
        <f ca="1"/>
        <v>Savar</v>
      </c>
      <c r="K250" t="str">
        <f ca="1"/>
        <v>LO00096</v>
      </c>
      <c r="L250" t="str">
        <f ca="1"/>
        <v>3000 4T PLUS 20W40</v>
      </c>
      <c r="M250">
        <f ca="1"/>
        <v>100</v>
      </c>
      <c r="N250">
        <f ca="1"/>
        <v>645</v>
      </c>
      <c r="O250">
        <f ca="1"/>
        <v>120</v>
      </c>
      <c r="P250">
        <f ca="1"/>
        <v>1.3023255813953472E-2</v>
      </c>
      <c r="Q250">
        <f ca="1"/>
        <v>0</v>
      </c>
      <c r="R250">
        <f ca="1"/>
        <v>636.6</v>
      </c>
      <c r="S250">
        <f ca="1"/>
        <v>100</v>
      </c>
      <c r="T250">
        <f ca="1"/>
        <v>120</v>
      </c>
      <c r="U250">
        <f ca="1"/>
        <v>64500</v>
      </c>
      <c r="V250">
        <f ca="1"/>
        <v>840</v>
      </c>
      <c r="W250">
        <f ca="1"/>
        <v>63660</v>
      </c>
      <c r="X250">
        <f ca="1"/>
        <v>8303.4782608695659</v>
      </c>
      <c r="Y250">
        <f ca="1"/>
        <v>55356.521739130432</v>
      </c>
      <c r="Z250" t="str">
        <f ca="1"/>
        <v>Cash</v>
      </c>
      <c r="AA250">
        <f ca="1"/>
        <v>632</v>
      </c>
      <c r="AB250" t="str">
        <f ca="1"/>
        <v>Regular</v>
      </c>
      <c r="AC250">
        <f ca="1"/>
        <v>45701</v>
      </c>
      <c r="AD250" t="str">
        <f ca="1"/>
        <v/>
      </c>
      <c r="AE250" t="str">
        <f ca="1"/>
        <v>Central</v>
      </c>
      <c r="AF250" t="str">
        <f ca="1"/>
        <v>Mineral</v>
      </c>
      <c r="AG250" t="str">
        <f ca="1"/>
        <v>MCO</v>
      </c>
      <c r="AH250" t="str">
        <f ca="1"/>
        <v>20W40</v>
      </c>
      <c r="AI250" t="str">
        <f ca="1"/>
        <v>3000</v>
      </c>
      <c r="AJ250">
        <f ca="1"/>
        <v>0</v>
      </c>
      <c r="AK250" t="str">
        <f ca="1"/>
        <v>20x1.2L</v>
      </c>
      <c r="AL250">
        <f ca="1"/>
        <v>46989.779535060974</v>
      </c>
      <c r="AM250">
        <f ca="1"/>
        <v>8366.7422040694582</v>
      </c>
      <c r="AN250" t="str">
        <f ca="1"/>
        <v>O-45694-D-0006</v>
      </c>
      <c r="AO250" t="str">
        <f ca="1"/>
        <v>Delivered</v>
      </c>
    </row>
    <row r="251" spans="1:41" x14ac:dyDescent="0.5">
      <c r="A251" t="str">
        <f ca="1"/>
        <v>F-165</v>
      </c>
      <c r="B251" s="1">
        <f ca="1"/>
        <v>45698</v>
      </c>
      <c r="C251" t="str">
        <f ca="1"/>
        <v>D-0014</v>
      </c>
      <c r="D251" t="str">
        <f ca="1"/>
        <v>Mohammad Lube House</v>
      </c>
      <c r="E251" t="str">
        <f ca="1"/>
        <v>Station Road, Cumilla</v>
      </c>
      <c r="F251" t="str">
        <f ca="1"/>
        <v>01728-083399</v>
      </c>
      <c r="G251" t="str">
        <f ca="1"/>
        <v>Md. Robin Sheikh</v>
      </c>
      <c r="H251" t="str">
        <f ca="1"/>
        <v>Razur Rahman (Bipul)</v>
      </c>
      <c r="I251" t="str">
        <f ca="1"/>
        <v>City Lubricants</v>
      </c>
      <c r="J251" t="str">
        <f ca="1"/>
        <v>Paduar Bazar Bisso Road</v>
      </c>
      <c r="K251" t="str">
        <f ca="1"/>
        <v>LO00043</v>
      </c>
      <c r="L251" t="str">
        <f ca="1"/>
        <v>3000 4T PLUS 10W40</v>
      </c>
      <c r="M251">
        <f ca="1"/>
        <v>40</v>
      </c>
      <c r="N251">
        <f ca="1"/>
        <v>550</v>
      </c>
      <c r="O251">
        <f ca="1"/>
        <v>40</v>
      </c>
      <c r="P251">
        <f ca="1"/>
        <v>9.0909090909090384E-3</v>
      </c>
      <c r="Q251">
        <f ca="1"/>
        <v>0</v>
      </c>
      <c r="R251">
        <f ca="1"/>
        <v>545</v>
      </c>
      <c r="S251">
        <f ca="1"/>
        <v>40</v>
      </c>
      <c r="T251">
        <f ca="1"/>
        <v>40</v>
      </c>
      <c r="U251">
        <f ca="1"/>
        <v>22000</v>
      </c>
      <c r="V251">
        <f ca="1"/>
        <v>0</v>
      </c>
      <c r="W251">
        <f ca="1"/>
        <v>21800</v>
      </c>
      <c r="X251">
        <f ca="1"/>
        <v>2843.478260869565</v>
      </c>
      <c r="Y251">
        <f ca="1"/>
        <v>18956.521739130436</v>
      </c>
      <c r="Z251" t="str">
        <f ca="1"/>
        <v>Cash</v>
      </c>
      <c r="AA251">
        <f ca="1"/>
        <v>633</v>
      </c>
      <c r="AB251" t="str">
        <f ca="1"/>
        <v>Regular</v>
      </c>
      <c r="AC251">
        <f ca="1"/>
        <v>45701</v>
      </c>
      <c r="AD251" t="str">
        <f ca="1"/>
        <v/>
      </c>
      <c r="AE251" t="str">
        <f ca="1"/>
        <v>Eastern</v>
      </c>
      <c r="AF251" t="str">
        <f ca="1"/>
        <v>Mineral</v>
      </c>
      <c r="AG251" t="str">
        <f ca="1"/>
        <v>MCO</v>
      </c>
      <c r="AH251" t="str">
        <f ca="1"/>
        <v>10W40</v>
      </c>
      <c r="AI251" t="str">
        <f ca="1"/>
        <v>3000</v>
      </c>
      <c r="AJ251">
        <f ca="1"/>
        <v>0</v>
      </c>
      <c r="AK251" t="str">
        <f ca="1"/>
        <v>20x1L</v>
      </c>
      <c r="AL251">
        <f ca="1"/>
        <v>15394</v>
      </c>
      <c r="AM251">
        <f ca="1"/>
        <v>3562.5217391304359</v>
      </c>
      <c r="AN251" t="str">
        <f ca="1"/>
        <v>O-45698-D-0014</v>
      </c>
      <c r="AO251" t="str">
        <f ca="1"/>
        <v>Delivered</v>
      </c>
    </row>
    <row r="252" spans="1:41" x14ac:dyDescent="0.5">
      <c r="A252" t="str">
        <f ca="1"/>
        <v>F-165</v>
      </c>
      <c r="B252" s="1">
        <f ca="1"/>
        <v>45698</v>
      </c>
      <c r="C252" t="str">
        <f ca="1"/>
        <v>D-0014</v>
      </c>
      <c r="D252" t="str">
        <f ca="1"/>
        <v>Mohammad Lube House</v>
      </c>
      <c r="E252" t="str">
        <f ca="1"/>
        <v>Station Road, Cumilla</v>
      </c>
      <c r="F252" t="str">
        <f ca="1"/>
        <v>01728-083399</v>
      </c>
      <c r="G252" t="str">
        <f ca="1"/>
        <v>Md. Robin Sheikh</v>
      </c>
      <c r="H252" t="str">
        <f ca="1"/>
        <v>Razur Rahman (Bipul)</v>
      </c>
      <c r="I252" t="str">
        <f ca="1"/>
        <v>City Lubricants</v>
      </c>
      <c r="J252" t="str">
        <f ca="1"/>
        <v>Paduar Bazar Bisso Road</v>
      </c>
      <c r="K252" t="str">
        <f ca="1"/>
        <v>LO00119</v>
      </c>
      <c r="L252" t="str">
        <f ca="1"/>
        <v>3000 4T 20W50</v>
      </c>
      <c r="M252">
        <f ca="1"/>
        <v>100</v>
      </c>
      <c r="N252">
        <f ca="1"/>
        <v>495</v>
      </c>
      <c r="O252">
        <f ca="1"/>
        <v>100</v>
      </c>
      <c r="P252">
        <f ca="1"/>
        <v>2.4242424242424288E-2</v>
      </c>
      <c r="Q252">
        <f ca="1"/>
        <v>0</v>
      </c>
      <c r="R252">
        <f ca="1"/>
        <v>483</v>
      </c>
      <c r="S252">
        <f ca="1"/>
        <v>100</v>
      </c>
      <c r="T252">
        <f ca="1"/>
        <v>100</v>
      </c>
      <c r="U252">
        <f ca="1"/>
        <v>49500</v>
      </c>
      <c r="V252">
        <f ca="1"/>
        <v>0</v>
      </c>
      <c r="W252">
        <f ca="1"/>
        <v>48300</v>
      </c>
      <c r="X252">
        <f ca="1"/>
        <v>6300</v>
      </c>
      <c r="Y252">
        <f ca="1"/>
        <v>42000</v>
      </c>
      <c r="Z252" t="str">
        <f ca="1"/>
        <v>Cash</v>
      </c>
      <c r="AA252">
        <f ca="1"/>
        <v>633</v>
      </c>
      <c r="AB252" t="str">
        <f ca="1"/>
        <v>Regular</v>
      </c>
      <c r="AC252">
        <f ca="1"/>
        <v>45701</v>
      </c>
      <c r="AD252" t="str">
        <f ca="1"/>
        <v/>
      </c>
      <c r="AE252" t="str">
        <f ca="1"/>
        <v>Eastern</v>
      </c>
      <c r="AF252" t="str">
        <f ca="1"/>
        <v>Mineral</v>
      </c>
      <c r="AG252" t="str">
        <f ca="1"/>
        <v>MCO</v>
      </c>
      <c r="AH252" t="str">
        <f ca="1"/>
        <v>20W50</v>
      </c>
      <c r="AI252" t="str">
        <f ca="1"/>
        <v>3000</v>
      </c>
      <c r="AJ252">
        <f ca="1"/>
        <v>0</v>
      </c>
      <c r="AK252" t="str">
        <f ca="1"/>
        <v>20x1L</v>
      </c>
      <c r="AL252">
        <f ca="1"/>
        <v>36492</v>
      </c>
      <c r="AM252">
        <f ca="1"/>
        <v>5508</v>
      </c>
      <c r="AN252" t="str">
        <f ca="1"/>
        <v>O-45698-D-0014</v>
      </c>
      <c r="AO252" t="str">
        <f ca="1"/>
        <v>Delivered</v>
      </c>
    </row>
    <row r="253" spans="1:41" x14ac:dyDescent="0.5">
      <c r="A253" t="str">
        <f ca="1"/>
        <v>F-165</v>
      </c>
      <c r="B253" s="1">
        <f ca="1"/>
        <v>45698</v>
      </c>
      <c r="C253" t="str">
        <f ca="1"/>
        <v>D-0014</v>
      </c>
      <c r="D253" t="str">
        <f ca="1"/>
        <v>Mohammad Lube House</v>
      </c>
      <c r="E253" t="str">
        <f ca="1"/>
        <v>Station Road, Cumilla</v>
      </c>
      <c r="F253" t="str">
        <f ca="1"/>
        <v>01728-083399</v>
      </c>
      <c r="G253" t="str">
        <f ca="1"/>
        <v>Md. Robin Sheikh</v>
      </c>
      <c r="H253" t="str">
        <f ca="1"/>
        <v>Razur Rahman (Bipul)</v>
      </c>
      <c r="I253" t="str">
        <f ca="1"/>
        <v>City Lubricants</v>
      </c>
      <c r="J253" t="str">
        <f ca="1"/>
        <v>Paduar Bazar Bisso Road</v>
      </c>
      <c r="K253" t="str">
        <f ca="1"/>
        <v>LO00120</v>
      </c>
      <c r="L253" t="str">
        <f ca="1"/>
        <v>3000 4T 20W50</v>
      </c>
      <c r="M253">
        <f ca="1"/>
        <v>40</v>
      </c>
      <c r="N253">
        <f ca="1"/>
        <v>595</v>
      </c>
      <c r="O253">
        <f ca="1"/>
        <v>48</v>
      </c>
      <c r="P253">
        <f ca="1"/>
        <v>2.2521008403361353E-2</v>
      </c>
      <c r="Q253">
        <f ca="1"/>
        <v>0</v>
      </c>
      <c r="R253">
        <f ca="1"/>
        <v>581.6</v>
      </c>
      <c r="S253">
        <f ca="1"/>
        <v>40</v>
      </c>
      <c r="T253">
        <f ca="1"/>
        <v>48</v>
      </c>
      <c r="U253">
        <f ca="1"/>
        <v>23800</v>
      </c>
      <c r="V253">
        <f ca="1"/>
        <v>0</v>
      </c>
      <c r="W253">
        <f ca="1"/>
        <v>23264</v>
      </c>
      <c r="X253">
        <f ca="1"/>
        <v>3034.4347826086955</v>
      </c>
      <c r="Y253">
        <f ca="1"/>
        <v>20229.565217391304</v>
      </c>
      <c r="Z253" t="str">
        <f ca="1"/>
        <v>Cash</v>
      </c>
      <c r="AA253">
        <f ca="1"/>
        <v>633</v>
      </c>
      <c r="AB253" t="str">
        <f ca="1"/>
        <v>Regular</v>
      </c>
      <c r="AC253">
        <f ca="1"/>
        <v>45701</v>
      </c>
      <c r="AD253" t="str">
        <f ca="1"/>
        <v/>
      </c>
      <c r="AE253" t="str">
        <f ca="1"/>
        <v>Eastern</v>
      </c>
      <c r="AF253" t="str">
        <f ca="1"/>
        <v>Mineral</v>
      </c>
      <c r="AG253" t="str">
        <f ca="1"/>
        <v>MCO</v>
      </c>
      <c r="AH253" t="str">
        <f ca="1"/>
        <v>20W50</v>
      </c>
      <c r="AI253" t="str">
        <f ca="1"/>
        <v>3000</v>
      </c>
      <c r="AJ253">
        <f ca="1"/>
        <v>0</v>
      </c>
      <c r="AK253" t="str">
        <f ca="1"/>
        <v>20x1.2L</v>
      </c>
      <c r="AL253">
        <f ca="1"/>
        <v>17384.400000000001</v>
      </c>
      <c r="AM253">
        <f ca="1"/>
        <v>2845.1652173913026</v>
      </c>
      <c r="AN253" t="str">
        <f ca="1"/>
        <v>O-45698-D-0014</v>
      </c>
      <c r="AO253" t="str">
        <f ca="1"/>
        <v>Delivered</v>
      </c>
    </row>
    <row r="254" spans="1:41" x14ac:dyDescent="0.5">
      <c r="A254" t="str">
        <f ca="1"/>
        <v>F-166</v>
      </c>
      <c r="B254" s="1">
        <f ca="1"/>
        <v>45702</v>
      </c>
      <c r="C254" t="str">
        <f ca="1"/>
        <v>D-0027</v>
      </c>
      <c r="D254" t="str">
        <f ca="1"/>
        <v>DHS motors</v>
      </c>
      <c r="E254" t="str">
        <f ca="1"/>
        <v>Tejgaon</v>
      </c>
      <c r="F254" t="str">
        <f ca="1"/>
        <v/>
      </c>
      <c r="G254" t="str">
        <f ca="1"/>
        <v>Captive Sales</v>
      </c>
      <c r="H254" t="str">
        <f ca="1"/>
        <v>Captive Sales</v>
      </c>
      <c r="I254" t="str">
        <f ca="1"/>
        <v xml:space="preserve">DHS Motors Limited </v>
      </c>
      <c r="J254" t="str">
        <f ca="1"/>
        <v>Dhaka</v>
      </c>
      <c r="K254" t="str">
        <f ca="1"/>
        <v>LO00062</v>
      </c>
      <c r="L254" t="str">
        <f ca="1"/>
        <v>8100 X.Max 0W40</v>
      </c>
      <c r="M254">
        <f ca="1"/>
        <v>52</v>
      </c>
      <c r="N254">
        <f ca="1"/>
        <v>3000</v>
      </c>
      <c r="O254">
        <f ca="1"/>
        <v>208</v>
      </c>
      <c r="P254">
        <f ca="1"/>
        <v>0</v>
      </c>
      <c r="Q254">
        <f ca="1"/>
        <v>0</v>
      </c>
      <c r="R254">
        <f ca="1"/>
        <v>3000</v>
      </c>
      <c r="S254">
        <f ca="1"/>
        <v>52</v>
      </c>
      <c r="T254">
        <f ca="1"/>
        <v>208</v>
      </c>
      <c r="U254">
        <f ca="1"/>
        <v>156000</v>
      </c>
      <c r="V254">
        <f ca="1"/>
        <v>0</v>
      </c>
      <c r="W254">
        <f ca="1"/>
        <v>156000</v>
      </c>
      <c r="X254">
        <f ca="1"/>
        <v>20347.82608695652</v>
      </c>
      <c r="Y254">
        <f ca="1"/>
        <v>135652.17391304349</v>
      </c>
      <c r="Z254" t="str">
        <f ca="1"/>
        <v>Cash</v>
      </c>
      <c r="AA254">
        <f ca="1"/>
        <v>634</v>
      </c>
      <c r="AB254" t="str">
        <f ca="1"/>
        <v>Custom</v>
      </c>
      <c r="AC254">
        <f ca="1"/>
        <v>45702</v>
      </c>
      <c r="AD254" t="str">
        <f ca="1"/>
        <v/>
      </c>
      <c r="AE254" t="str">
        <f ca="1"/>
        <v>Captive Sales</v>
      </c>
      <c r="AF254" t="str">
        <f ca="1"/>
        <v>Synthetic</v>
      </c>
      <c r="AG254" t="str">
        <f ca="1"/>
        <v>PCMO</v>
      </c>
      <c r="AH254" t="str">
        <f ca="1"/>
        <v>0W40</v>
      </c>
      <c r="AI254" t="str">
        <f ca="1"/>
        <v>8100</v>
      </c>
      <c r="AJ254">
        <f ca="1"/>
        <v>0</v>
      </c>
      <c r="AK254" t="str">
        <f ca="1"/>
        <v>4x4L</v>
      </c>
      <c r="AL254">
        <f ca="1"/>
        <v>152670.44</v>
      </c>
      <c r="AM254">
        <f ca="1"/>
        <v>-17018.266086956515</v>
      </c>
      <c r="AN254" t="str">
        <f ca="1"/>
        <v>O-45702-D-0027</v>
      </c>
      <c r="AO254" t="str">
        <f ca="1"/>
        <v>Delivered</v>
      </c>
    </row>
    <row r="255" spans="1:41" x14ac:dyDescent="0.5">
      <c r="A255" t="str">
        <f ca="1"/>
        <v>F-168</v>
      </c>
      <c r="B255" s="1">
        <f ca="1"/>
        <v>45701</v>
      </c>
      <c r="C255" t="str">
        <f ca="1"/>
        <v>D-0026</v>
      </c>
      <c r="D255" t="str">
        <f ca="1"/>
        <v>Rangs Motors Workshop limited</v>
      </c>
      <c r="E255" t="str">
        <f ca="1"/>
        <v>Tejgaon</v>
      </c>
      <c r="F255" t="str">
        <f ca="1"/>
        <v/>
      </c>
      <c r="G255" t="str">
        <f ca="1"/>
        <v>Captive Sales</v>
      </c>
      <c r="H255" t="str">
        <f ca="1"/>
        <v>Captive Sales</v>
      </c>
      <c r="I255" t="str">
        <f ca="1"/>
        <v>Ranks Motor Workshop limited</v>
      </c>
      <c r="J255" t="str">
        <f ca="1"/>
        <v>Dhaka</v>
      </c>
      <c r="K255" t="str">
        <f ca="1"/>
        <v>LO00111</v>
      </c>
      <c r="L255" t="str">
        <f ca="1"/>
        <v>Tekma Turbo 20W50</v>
      </c>
      <c r="M255">
        <f ca="1"/>
        <v>0</v>
      </c>
      <c r="N255">
        <f ca="1"/>
        <v>0</v>
      </c>
      <c r="O255">
        <f ca="1"/>
        <v>0</v>
      </c>
      <c r="P255" t="str">
        <f ca="1"/>
        <v/>
      </c>
      <c r="Q255">
        <f ca="1"/>
        <v>4</v>
      </c>
      <c r="R255">
        <f ca="1"/>
        <v>0</v>
      </c>
      <c r="S255">
        <f ca="1"/>
        <v>4</v>
      </c>
      <c r="T255">
        <f ca="1"/>
        <v>4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</v>
      </c>
      <c r="Z255" t="str">
        <f ca="1"/>
        <v>Free</v>
      </c>
      <c r="AA255" t="str">
        <f ca="1"/>
        <v/>
      </c>
      <c r="AB255" t="str">
        <f ca="1"/>
        <v>Custom</v>
      </c>
      <c r="AC255">
        <f ca="1"/>
        <v>45704</v>
      </c>
      <c r="AD255" t="str">
        <f ca="1"/>
        <v>Sample purpose to Rangs workshop</v>
      </c>
      <c r="AE255" t="str">
        <f ca="1"/>
        <v>Captive Sales</v>
      </c>
      <c r="AF255" t="str">
        <f ca="1"/>
        <v>Mineral</v>
      </c>
      <c r="AG255" t="str">
        <f ca="1"/>
        <v>HDDO</v>
      </c>
      <c r="AH255" t="str">
        <f ca="1"/>
        <v>20W50</v>
      </c>
      <c r="AI255" t="str">
        <f ca="1"/>
        <v>Tekma</v>
      </c>
      <c r="AJ255">
        <f ca="1"/>
        <v>4</v>
      </c>
      <c r="AK255" t="str">
        <f ca="1"/>
        <v>20x1L</v>
      </c>
      <c r="AL255">
        <f ca="1"/>
        <v>1478.44</v>
      </c>
      <c r="AM255">
        <f ca="1"/>
        <v>-1478.44</v>
      </c>
      <c r="AN255" t="str">
        <f ca="1"/>
        <v>O-45701-D-0026</v>
      </c>
      <c r="AO255" t="str">
        <f ca="1"/>
        <v>Delivered</v>
      </c>
    </row>
    <row r="256" spans="1:41" x14ac:dyDescent="0.5">
      <c r="A256" t="str">
        <f ca="1"/>
        <v>F-168</v>
      </c>
      <c r="B256" s="1">
        <f ca="1"/>
        <v>45701</v>
      </c>
      <c r="C256" t="str">
        <f ca="1"/>
        <v>D-0026</v>
      </c>
      <c r="D256" t="str">
        <f ca="1"/>
        <v>Rangs Motors Workshop limited</v>
      </c>
      <c r="E256" t="str">
        <f ca="1"/>
        <v>Tejgaon</v>
      </c>
      <c r="F256" t="str">
        <f ca="1"/>
        <v/>
      </c>
      <c r="G256" t="str">
        <f ca="1"/>
        <v>Captive Sales</v>
      </c>
      <c r="H256" t="str">
        <f ca="1"/>
        <v>Captive Sales</v>
      </c>
      <c r="I256" t="str">
        <f ca="1"/>
        <v>Ranks Motor Workshop limited</v>
      </c>
      <c r="J256" t="str">
        <f ca="1"/>
        <v>Dhaka</v>
      </c>
      <c r="K256" t="str">
        <f ca="1"/>
        <v>LO00112</v>
      </c>
      <c r="L256" t="str">
        <f ca="1"/>
        <v>Tekma Turbo 20W50</v>
      </c>
      <c r="M256">
        <f ca="1"/>
        <v>0</v>
      </c>
      <c r="N256">
        <f ca="1"/>
        <v>0</v>
      </c>
      <c r="O256">
        <f ca="1"/>
        <v>0</v>
      </c>
      <c r="P256" t="str">
        <f ca="1"/>
        <v/>
      </c>
      <c r="Q256">
        <f ca="1"/>
        <v>2</v>
      </c>
      <c r="R256">
        <f ca="1"/>
        <v>0</v>
      </c>
      <c r="S256">
        <f ca="1"/>
        <v>2</v>
      </c>
      <c r="T256">
        <f ca="1"/>
        <v>22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</v>
      </c>
      <c r="Z256" t="str">
        <f ca="1"/>
        <v>Free</v>
      </c>
      <c r="AA256" t="str">
        <f ca="1"/>
        <v/>
      </c>
      <c r="AB256" t="str">
        <f ca="1"/>
        <v>Custom</v>
      </c>
      <c r="AC256">
        <f ca="1"/>
        <v>45704</v>
      </c>
      <c r="AD256" t="str">
        <f ca="1"/>
        <v>Sample purpose to Rangs workshop</v>
      </c>
      <c r="AE256" t="str">
        <f ca="1"/>
        <v>Captive Sales</v>
      </c>
      <c r="AF256" t="str">
        <f ca="1"/>
        <v>Mineral</v>
      </c>
      <c r="AG256" t="str">
        <f ca="1"/>
        <v>HDDO</v>
      </c>
      <c r="AH256" t="str">
        <f ca="1"/>
        <v>20W50</v>
      </c>
      <c r="AI256" t="str">
        <f ca="1"/>
        <v>Tekma</v>
      </c>
      <c r="AJ256">
        <f ca="1"/>
        <v>22</v>
      </c>
      <c r="AK256" t="str">
        <f ca="1"/>
        <v>11L</v>
      </c>
      <c r="AL256">
        <f ca="1"/>
        <v>7787.14</v>
      </c>
      <c r="AM256">
        <f ca="1"/>
        <v>-7787.14</v>
      </c>
      <c r="AN256" t="str">
        <f ca="1"/>
        <v>O-45701-D-0026</v>
      </c>
      <c r="AO256" t="str">
        <f ca="1"/>
        <v>Delivered</v>
      </c>
    </row>
    <row r="257" spans="1:41" x14ac:dyDescent="0.5">
      <c r="A257" t="str">
        <f ca="1"/>
        <v>F-168</v>
      </c>
      <c r="B257" s="1">
        <f ca="1"/>
        <v>45701</v>
      </c>
      <c r="C257" t="str">
        <f ca="1"/>
        <v>D-0026</v>
      </c>
      <c r="D257" t="str">
        <f ca="1"/>
        <v>Rangs Motors Workshop limited</v>
      </c>
      <c r="E257" t="str">
        <f ca="1"/>
        <v>Tejgaon</v>
      </c>
      <c r="F257" t="str">
        <f ca="1"/>
        <v/>
      </c>
      <c r="G257" t="str">
        <f ca="1"/>
        <v>Captive Sales</v>
      </c>
      <c r="H257" t="str">
        <f ca="1"/>
        <v>Captive Sales</v>
      </c>
      <c r="I257" t="str">
        <f ca="1"/>
        <v>Ranks Motor Workshop limited</v>
      </c>
      <c r="J257" t="str">
        <f ca="1"/>
        <v>Dhaka</v>
      </c>
      <c r="K257" t="str">
        <f ca="1"/>
        <v>LO00113</v>
      </c>
      <c r="L257" t="str">
        <f ca="1"/>
        <v>Tekma Turbo 20W50</v>
      </c>
      <c r="M257">
        <f ca="1"/>
        <v>0</v>
      </c>
      <c r="N257">
        <f ca="1"/>
        <v>0</v>
      </c>
      <c r="O257">
        <f ca="1"/>
        <v>0</v>
      </c>
      <c r="P257" t="str">
        <f ca="1"/>
        <v/>
      </c>
      <c r="Q257">
        <f ca="1"/>
        <v>2</v>
      </c>
      <c r="R257">
        <f ca="1"/>
        <v>0</v>
      </c>
      <c r="S257">
        <f ca="1"/>
        <v>2</v>
      </c>
      <c r="T257">
        <f ca="1"/>
        <v>30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</v>
      </c>
      <c r="Z257" t="str">
        <f ca="1"/>
        <v>Free</v>
      </c>
      <c r="AA257" t="str">
        <f ca="1"/>
        <v/>
      </c>
      <c r="AB257" t="str">
        <f ca="1"/>
        <v>Custom</v>
      </c>
      <c r="AC257">
        <f ca="1"/>
        <v>45704</v>
      </c>
      <c r="AD257" t="str">
        <f ca="1"/>
        <v>Sample purpose to Rangs workshop</v>
      </c>
      <c r="AE257" t="str">
        <f ca="1"/>
        <v>Captive Sales</v>
      </c>
      <c r="AF257" t="str">
        <f ca="1"/>
        <v>Mineral</v>
      </c>
      <c r="AG257" t="str">
        <f ca="1"/>
        <v>HDDO</v>
      </c>
      <c r="AH257" t="str">
        <f ca="1"/>
        <v>20W50</v>
      </c>
      <c r="AI257" t="str">
        <f ca="1"/>
        <v>Tekma</v>
      </c>
      <c r="AJ257">
        <f ca="1"/>
        <v>30</v>
      </c>
      <c r="AK257" t="str">
        <f ca="1"/>
        <v>15L</v>
      </c>
      <c r="AL257">
        <f ca="1"/>
        <v>10110.08</v>
      </c>
      <c r="AM257">
        <f ca="1"/>
        <v>-10110.08</v>
      </c>
      <c r="AN257" t="str">
        <f ca="1"/>
        <v>O-45701-D-0026</v>
      </c>
      <c r="AO257" t="str">
        <f ca="1"/>
        <v>Delivered</v>
      </c>
    </row>
    <row r="258" spans="1:41" x14ac:dyDescent="0.5">
      <c r="A258" t="str">
        <f ca="1"/>
        <v>F-168</v>
      </c>
      <c r="B258" s="1">
        <f ca="1"/>
        <v>45701</v>
      </c>
      <c r="C258" t="str">
        <f ca="1"/>
        <v>D-0026</v>
      </c>
      <c r="D258" t="str">
        <f ca="1"/>
        <v>Rangs Motors Workshop limited</v>
      </c>
      <c r="E258" t="str">
        <f ca="1"/>
        <v>Tejgaon</v>
      </c>
      <c r="F258" t="str">
        <f ca="1"/>
        <v/>
      </c>
      <c r="G258" t="str">
        <f ca="1"/>
        <v>Captive Sales</v>
      </c>
      <c r="H258" t="str">
        <f ca="1"/>
        <v>Captive Sales</v>
      </c>
      <c r="I258" t="str">
        <f ca="1"/>
        <v>Ranks Motor Workshop limited</v>
      </c>
      <c r="J258" t="str">
        <f ca="1"/>
        <v>Dhaka</v>
      </c>
      <c r="K258" t="str">
        <f ca="1"/>
        <v>LO00114</v>
      </c>
      <c r="L258" t="str">
        <f ca="1"/>
        <v>Tekma Turbo 20W50</v>
      </c>
      <c r="M258">
        <f ca="1"/>
        <v>0</v>
      </c>
      <c r="N258">
        <f ca="1"/>
        <v>0</v>
      </c>
      <c r="O258">
        <f ca="1"/>
        <v>0</v>
      </c>
      <c r="P258" t="str">
        <f ca="1"/>
        <v/>
      </c>
      <c r="Q258">
        <f ca="1"/>
        <v>2</v>
      </c>
      <c r="R258">
        <f ca="1"/>
        <v>0</v>
      </c>
      <c r="S258">
        <f ca="1"/>
        <v>2</v>
      </c>
      <c r="T258">
        <f ca="1"/>
        <v>10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</v>
      </c>
      <c r="Z258" t="str">
        <f ca="1"/>
        <v>Free</v>
      </c>
      <c r="AA258" t="str">
        <f ca="1"/>
        <v/>
      </c>
      <c r="AB258" t="str">
        <f ca="1"/>
        <v>Custom</v>
      </c>
      <c r="AC258">
        <f ca="1"/>
        <v>45704</v>
      </c>
      <c r="AD258" t="str">
        <f ca="1"/>
        <v>Sample purpose to Rangs workshop</v>
      </c>
      <c r="AE258" t="str">
        <f ca="1"/>
        <v>Captive Sales</v>
      </c>
      <c r="AF258" t="str">
        <f ca="1"/>
        <v>Mineral</v>
      </c>
      <c r="AG258" t="str">
        <f ca="1"/>
        <v>HDDO</v>
      </c>
      <c r="AH258" t="str">
        <f ca="1"/>
        <v>20W50</v>
      </c>
      <c r="AI258" t="str">
        <f ca="1"/>
        <v>Tekma</v>
      </c>
      <c r="AJ258">
        <f ca="1"/>
        <v>10</v>
      </c>
      <c r="AK258" t="str">
        <f ca="1"/>
        <v>4x5L</v>
      </c>
      <c r="AL258">
        <f ca="1"/>
        <v>3660.3</v>
      </c>
      <c r="AM258">
        <f ca="1"/>
        <v>-3660.3</v>
      </c>
      <c r="AN258" t="str">
        <f ca="1"/>
        <v>O-45701-D-0026</v>
      </c>
      <c r="AO258" t="str">
        <f ca="1"/>
        <v>Delivered</v>
      </c>
    </row>
    <row r="259" spans="1:41" x14ac:dyDescent="0.5">
      <c r="A259" t="str">
        <f ca="1"/>
        <v>F-168</v>
      </c>
      <c r="B259" s="1">
        <f ca="1"/>
        <v>45701</v>
      </c>
      <c r="C259" t="str">
        <f ca="1"/>
        <v>D-0026</v>
      </c>
      <c r="D259" t="str">
        <f ca="1"/>
        <v>Rangs Motors Workshop limited</v>
      </c>
      <c r="E259" t="str">
        <f ca="1"/>
        <v>Tejgaon</v>
      </c>
      <c r="F259" t="str">
        <f ca="1"/>
        <v/>
      </c>
      <c r="G259" t="str">
        <f ca="1"/>
        <v>Captive Sales</v>
      </c>
      <c r="H259" t="str">
        <f ca="1"/>
        <v>Captive Sales</v>
      </c>
      <c r="I259" t="str">
        <f ca="1"/>
        <v>Ranks Motor Workshop limited</v>
      </c>
      <c r="J259" t="str">
        <f ca="1"/>
        <v>Dhaka</v>
      </c>
      <c r="K259" t="str">
        <f ca="1"/>
        <v>LO00115</v>
      </c>
      <c r="L259" t="str">
        <f ca="1"/>
        <v>Tekma Turbo 20W50</v>
      </c>
      <c r="M259">
        <f ca="1"/>
        <v>0</v>
      </c>
      <c r="N259">
        <f ca="1"/>
        <v>0</v>
      </c>
      <c r="O259">
        <f ca="1"/>
        <v>0</v>
      </c>
      <c r="P259" t="str">
        <f ca="1"/>
        <v/>
      </c>
      <c r="Q259">
        <f ca="1"/>
        <v>2</v>
      </c>
      <c r="R259">
        <f ca="1"/>
        <v>0</v>
      </c>
      <c r="S259">
        <f ca="1"/>
        <v>2</v>
      </c>
      <c r="T259">
        <f ca="1"/>
        <v>36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</v>
      </c>
      <c r="Z259" t="str">
        <f ca="1"/>
        <v>Free</v>
      </c>
      <c r="AA259" t="str">
        <f ca="1"/>
        <v/>
      </c>
      <c r="AB259" t="str">
        <f ca="1"/>
        <v>Custom</v>
      </c>
      <c r="AC259">
        <f ca="1"/>
        <v>45704</v>
      </c>
      <c r="AD259" t="str">
        <f ca="1"/>
        <v>Sample purpose to Rangs workshop</v>
      </c>
      <c r="AE259" t="str">
        <f ca="1"/>
        <v>Captive Sales</v>
      </c>
      <c r="AF259" t="str">
        <f ca="1"/>
        <v>Mineral</v>
      </c>
      <c r="AG259" t="str">
        <f ca="1"/>
        <v>HDDO</v>
      </c>
      <c r="AH259" t="str">
        <f ca="1"/>
        <v>20W50</v>
      </c>
      <c r="AI259" t="str">
        <f ca="1"/>
        <v>Tekma</v>
      </c>
      <c r="AJ259">
        <f ca="1"/>
        <v>36</v>
      </c>
      <c r="AK259" t="str">
        <f ca="1"/>
        <v>18L</v>
      </c>
      <c r="AL259">
        <f ca="1"/>
        <v>12059.48</v>
      </c>
      <c r="AM259">
        <f ca="1"/>
        <v>-12059.48</v>
      </c>
      <c r="AN259" t="str">
        <f ca="1"/>
        <v>O-45701-D-0026</v>
      </c>
      <c r="AO259" t="str">
        <f ca="1"/>
        <v>Delivered</v>
      </c>
    </row>
    <row r="260" spans="1:41" x14ac:dyDescent="0.5">
      <c r="A260" t="str">
        <f ca="1"/>
        <v>F-175</v>
      </c>
      <c r="B260" s="1">
        <f ca="1"/>
        <v>45707</v>
      </c>
      <c r="C260" t="str">
        <f ca="1"/>
        <v>D-0001</v>
      </c>
      <c r="D260" t="str">
        <f ca="1"/>
        <v xml:space="preserve">m/s star machineries </v>
      </c>
      <c r="E260" t="str">
        <f ca="1"/>
        <v>Jhenaidah sadar</v>
      </c>
      <c r="F260" t="str">
        <f ca="1"/>
        <v>01729-324717</v>
      </c>
      <c r="G260" t="str">
        <f ca="1"/>
        <v>Md.Mahfuzur Rahman</v>
      </c>
      <c r="H260" t="str">
        <f ca="1"/>
        <v>Abdul Matin</v>
      </c>
      <c r="I260" t="str">
        <f ca="1"/>
        <v>M/S Hasan Traders</v>
      </c>
      <c r="J260" t="str">
        <f ca="1"/>
        <v>Pangsha</v>
      </c>
      <c r="K260" t="str">
        <f ca="1"/>
        <v>LO00041</v>
      </c>
      <c r="L260" t="str">
        <f ca="1"/>
        <v>3000 4T PLUS 10W30</v>
      </c>
      <c r="M260">
        <f ca="1"/>
        <v>60</v>
      </c>
      <c r="N260">
        <f ca="1"/>
        <v>540</v>
      </c>
      <c r="O260">
        <f ca="1"/>
        <v>60</v>
      </c>
      <c r="P260">
        <f ca="1"/>
        <v>9.2592592592593004E-3</v>
      </c>
      <c r="Q260">
        <f ca="1"/>
        <v>0</v>
      </c>
      <c r="R260">
        <f ca="1"/>
        <v>535</v>
      </c>
      <c r="S260">
        <f ca="1"/>
        <v>60</v>
      </c>
      <c r="T260">
        <f ca="1"/>
        <v>60</v>
      </c>
      <c r="U260">
        <f ca="1"/>
        <v>32400</v>
      </c>
      <c r="V260">
        <f ca="1"/>
        <v>0</v>
      </c>
      <c r="W260">
        <f ca="1"/>
        <v>32100</v>
      </c>
      <c r="X260">
        <f ca="1"/>
        <v>4186.95652173913</v>
      </c>
      <c r="Y260">
        <f ca="1"/>
        <v>27913.043478260868</v>
      </c>
      <c r="Z260" t="str">
        <f ca="1"/>
        <v>Cash</v>
      </c>
      <c r="AA260">
        <f ca="1"/>
        <v>642</v>
      </c>
      <c r="AB260" t="str">
        <f ca="1"/>
        <v>Regular</v>
      </c>
      <c r="AC260">
        <f ca="1"/>
        <v>45707</v>
      </c>
      <c r="AD260" t="str">
        <f ca="1"/>
        <v xml:space="preserve">delivery system:sundarban courier </v>
      </c>
      <c r="AE260" t="str">
        <f ca="1"/>
        <v>Central</v>
      </c>
      <c r="AF260" t="str">
        <f ca="1"/>
        <v>Mineral</v>
      </c>
      <c r="AG260" t="str">
        <f ca="1"/>
        <v>MCO</v>
      </c>
      <c r="AH260" t="str">
        <f ca="1"/>
        <v>10W30</v>
      </c>
      <c r="AI260" t="str">
        <f ca="1"/>
        <v>3000</v>
      </c>
      <c r="AJ260">
        <f ca="1"/>
        <v>0</v>
      </c>
      <c r="AK260" t="str">
        <f ca="1"/>
        <v>20x1L</v>
      </c>
      <c r="AL260">
        <f ca="1"/>
        <v>22759.8</v>
      </c>
      <c r="AM260">
        <f ca="1"/>
        <v>5153.2434782608689</v>
      </c>
      <c r="AN260" t="str">
        <f ca="1"/>
        <v>O-45707-D-0001</v>
      </c>
      <c r="AO260" t="str">
        <f ca="1"/>
        <v>Delivered</v>
      </c>
    </row>
    <row r="261" spans="1:41" x14ac:dyDescent="0.5">
      <c r="A261" t="str">
        <f ca="1"/>
        <v>F-175</v>
      </c>
      <c r="B261" s="1">
        <f ca="1"/>
        <v>45707</v>
      </c>
      <c r="C261" t="str">
        <f ca="1"/>
        <v>D-0001</v>
      </c>
      <c r="D261" t="str">
        <f ca="1"/>
        <v xml:space="preserve">m/s star machineries </v>
      </c>
      <c r="E261" t="str">
        <f ca="1"/>
        <v>Jhenaidah sadar</v>
      </c>
      <c r="F261" t="str">
        <f ca="1"/>
        <v>01729-324717</v>
      </c>
      <c r="G261" t="str">
        <f ca="1"/>
        <v>Md.Mahfuzur Rahman</v>
      </c>
      <c r="H261" t="str">
        <f ca="1"/>
        <v>Abdul Matin</v>
      </c>
      <c r="I261" t="str">
        <f ca="1"/>
        <v>M/S Hasan Traders</v>
      </c>
      <c r="J261" t="str">
        <f ca="1"/>
        <v>Pangsha</v>
      </c>
      <c r="K261" t="str">
        <f ca="1"/>
        <v>LO00042</v>
      </c>
      <c r="L261" t="str">
        <f ca="1"/>
        <v>3000 4T PLUS 20W40</v>
      </c>
      <c r="M261">
        <f ca="1"/>
        <v>60</v>
      </c>
      <c r="N261">
        <f ca="1"/>
        <v>535</v>
      </c>
      <c r="O261">
        <f ca="1"/>
        <v>60</v>
      </c>
      <c r="P261">
        <f ca="1"/>
        <v>9.3457943925233655E-3</v>
      </c>
      <c r="Q261">
        <f ca="1"/>
        <v>0</v>
      </c>
      <c r="R261">
        <f ca="1"/>
        <v>530</v>
      </c>
      <c r="S261">
        <f ca="1"/>
        <v>60</v>
      </c>
      <c r="T261">
        <f ca="1"/>
        <v>60</v>
      </c>
      <c r="U261">
        <f ca="1"/>
        <v>32100</v>
      </c>
      <c r="V261">
        <f ca="1"/>
        <v>0</v>
      </c>
      <c r="W261">
        <f ca="1"/>
        <v>31800</v>
      </c>
      <c r="X261">
        <f ca="1"/>
        <v>4147.826086956522</v>
      </c>
      <c r="Y261">
        <f ca="1"/>
        <v>27652.17391304348</v>
      </c>
      <c r="Z261" t="str">
        <f ca="1"/>
        <v>Cash</v>
      </c>
      <c r="AA261">
        <f ca="1"/>
        <v>642</v>
      </c>
      <c r="AB261" t="str">
        <f ca="1"/>
        <v>Regular</v>
      </c>
      <c r="AC261">
        <f ca="1"/>
        <v>45707</v>
      </c>
      <c r="AD261" t="str">
        <f ca="1"/>
        <v xml:space="preserve">delivery system:sundarban courier </v>
      </c>
      <c r="AE261" t="str">
        <f ca="1"/>
        <v>Central</v>
      </c>
      <c r="AF261" t="str">
        <f ca="1"/>
        <v>Mineral</v>
      </c>
      <c r="AG261" t="str">
        <f ca="1"/>
        <v>MCO</v>
      </c>
      <c r="AH261" t="str">
        <f ca="1"/>
        <v>20W40</v>
      </c>
      <c r="AI261" t="str">
        <f ca="1"/>
        <v>3000</v>
      </c>
      <c r="AJ261">
        <f ca="1"/>
        <v>0</v>
      </c>
      <c r="AK261" t="str">
        <f ca="1"/>
        <v>20x1L</v>
      </c>
      <c r="AL261">
        <f ca="1"/>
        <v>24765.599999999999</v>
      </c>
      <c r="AM261">
        <f ca="1"/>
        <v>2886.5739130434813</v>
      </c>
      <c r="AN261" t="str">
        <f ca="1"/>
        <v>O-45707-D-0001</v>
      </c>
      <c r="AO261" t="str">
        <f ca="1"/>
        <v>Delivered</v>
      </c>
    </row>
    <row r="262" spans="1:41" x14ac:dyDescent="0.5">
      <c r="A262" t="str">
        <f ca="1"/>
        <v>F-175</v>
      </c>
      <c r="B262" s="1">
        <f ca="1"/>
        <v>45707</v>
      </c>
      <c r="C262" t="str">
        <f ca="1"/>
        <v>D-0001</v>
      </c>
      <c r="D262" t="str">
        <f ca="1"/>
        <v xml:space="preserve">m/s star machineries </v>
      </c>
      <c r="E262" t="str">
        <f ca="1"/>
        <v>Jhenaidah sadar</v>
      </c>
      <c r="F262" t="str">
        <f ca="1"/>
        <v>01729-324717</v>
      </c>
      <c r="G262" t="str">
        <f ca="1"/>
        <v>Md.Mahfuzur Rahman</v>
      </c>
      <c r="H262" t="str">
        <f ca="1"/>
        <v>Abdul Matin</v>
      </c>
      <c r="I262" t="str">
        <f ca="1"/>
        <v>M/S Hasan Traders</v>
      </c>
      <c r="J262" t="str">
        <f ca="1"/>
        <v>Pangsha</v>
      </c>
      <c r="K262" t="str">
        <f ca="1"/>
        <v>LO00119</v>
      </c>
      <c r="L262" t="str">
        <f ca="1"/>
        <v>3000 4T 20W50</v>
      </c>
      <c r="M262">
        <f ca="1"/>
        <v>40</v>
      </c>
      <c r="N262">
        <f ca="1"/>
        <v>495</v>
      </c>
      <c r="O262">
        <f ca="1"/>
        <v>40</v>
      </c>
      <c r="P262">
        <f ca="1"/>
        <v>1.0101010101010055E-2</v>
      </c>
      <c r="Q262">
        <f ca="1"/>
        <v>0</v>
      </c>
      <c r="R262">
        <f ca="1"/>
        <v>490</v>
      </c>
      <c r="S262">
        <f ca="1"/>
        <v>40</v>
      </c>
      <c r="T262">
        <f ca="1"/>
        <v>40</v>
      </c>
      <c r="U262">
        <f ca="1"/>
        <v>19800</v>
      </c>
      <c r="V262">
        <f ca="1"/>
        <v>0</v>
      </c>
      <c r="W262">
        <f ca="1"/>
        <v>19600</v>
      </c>
      <c r="X262">
        <f ca="1"/>
        <v>2556.521739130435</v>
      </c>
      <c r="Y262">
        <f ca="1"/>
        <v>17043.478260869564</v>
      </c>
      <c r="Z262" t="str">
        <f ca="1"/>
        <v>Cash</v>
      </c>
      <c r="AA262">
        <f ca="1"/>
        <v>642</v>
      </c>
      <c r="AB262" t="str">
        <f ca="1"/>
        <v>Regular</v>
      </c>
      <c r="AC262">
        <f ca="1"/>
        <v>45707</v>
      </c>
      <c r="AD262" t="str">
        <f ca="1"/>
        <v xml:space="preserve">delivery system:sundarban courier </v>
      </c>
      <c r="AE262" t="str">
        <f ca="1"/>
        <v>Central</v>
      </c>
      <c r="AF262" t="str">
        <f ca="1"/>
        <v>Mineral</v>
      </c>
      <c r="AG262" t="str">
        <f ca="1"/>
        <v>MCO</v>
      </c>
      <c r="AH262" t="str">
        <f ca="1"/>
        <v>20W50</v>
      </c>
      <c r="AI262" t="str">
        <f ca="1"/>
        <v>3000</v>
      </c>
      <c r="AJ262">
        <f ca="1"/>
        <v>0</v>
      </c>
      <c r="AK262" t="str">
        <f ca="1"/>
        <v>20x1L</v>
      </c>
      <c r="AL262">
        <f ca="1"/>
        <v>14596.800000000001</v>
      </c>
      <c r="AM262">
        <f ca="1"/>
        <v>2446.678260869563</v>
      </c>
      <c r="AN262" t="str">
        <f ca="1"/>
        <v>O-45707-D-0001</v>
      </c>
      <c r="AO262" t="str">
        <f ca="1"/>
        <v>Delivered</v>
      </c>
    </row>
    <row r="263" spans="1:41" x14ac:dyDescent="0.5">
      <c r="A263" t="str">
        <f ca="1"/>
        <v>F-176</v>
      </c>
      <c r="B263" s="1">
        <f ca="1"/>
        <v>45707</v>
      </c>
      <c r="C263" t="str">
        <f ca="1"/>
        <v>D-0023</v>
      </c>
      <c r="D263" t="str">
        <f ca="1"/>
        <v xml:space="preserve">Roni Enterprise </v>
      </c>
      <c r="E263" t="str">
        <f ca="1"/>
        <v>Munshipara, Dinajpur Sadar</v>
      </c>
      <c r="F263" t="str">
        <f ca="1"/>
        <v>01533-399630</v>
      </c>
      <c r="G263" t="str">
        <f ca="1"/>
        <v>Monirul Islam</v>
      </c>
      <c r="H263" t="str">
        <f ca="1"/>
        <v>Raihan Siddiqui</v>
      </c>
      <c r="I263" t="str">
        <f ca="1"/>
        <v>Bondhu Motors</v>
      </c>
      <c r="J263" t="str">
        <f ca="1"/>
        <v>Rangpur</v>
      </c>
      <c r="K263" t="str">
        <f ca="1"/>
        <v>LO00043</v>
      </c>
      <c r="L263" t="str">
        <f ca="1"/>
        <v>3000 4T PLUS 10W40</v>
      </c>
      <c r="M263">
        <f ca="1"/>
        <v>20</v>
      </c>
      <c r="N263">
        <f ca="1"/>
        <v>550</v>
      </c>
      <c r="O263">
        <f ca="1"/>
        <v>20</v>
      </c>
      <c r="P263">
        <f ca="1"/>
        <v>9.0909090909090384E-3</v>
      </c>
      <c r="Q263">
        <f ca="1"/>
        <v>0</v>
      </c>
      <c r="R263">
        <f ca="1"/>
        <v>545</v>
      </c>
      <c r="S263">
        <f ca="1"/>
        <v>20</v>
      </c>
      <c r="T263">
        <f ca="1"/>
        <v>20</v>
      </c>
      <c r="U263">
        <f ca="1"/>
        <v>11000</v>
      </c>
      <c r="V263">
        <f ca="1"/>
        <v>0</v>
      </c>
      <c r="W263">
        <f ca="1"/>
        <v>10900</v>
      </c>
      <c r="X263">
        <f ca="1"/>
        <v>1421.7391304347825</v>
      </c>
      <c r="Y263">
        <f ca="1"/>
        <v>9478.2608695652179</v>
      </c>
      <c r="Z263" t="str">
        <f ca="1"/>
        <v>Cash</v>
      </c>
      <c r="AA263">
        <f ca="1"/>
        <v>643</v>
      </c>
      <c r="AB263" t="str">
        <f ca="1"/>
        <v>Regular</v>
      </c>
      <c r="AC263">
        <f ca="1"/>
        <v>45707</v>
      </c>
      <c r="AD263" t="str">
        <f ca="1"/>
        <v/>
      </c>
      <c r="AE263" t="str">
        <f ca="1"/>
        <v>Northern</v>
      </c>
      <c r="AF263" t="str">
        <f ca="1"/>
        <v>Mineral</v>
      </c>
      <c r="AG263" t="str">
        <f ca="1"/>
        <v>MCO</v>
      </c>
      <c r="AH263" t="str">
        <f ca="1"/>
        <v>10W40</v>
      </c>
      <c r="AI263" t="str">
        <f ca="1"/>
        <v>3000</v>
      </c>
      <c r="AJ263">
        <f ca="1"/>
        <v>0</v>
      </c>
      <c r="AK263" t="str">
        <f ca="1"/>
        <v>20x1L</v>
      </c>
      <c r="AL263">
        <f ca="1"/>
        <v>7697</v>
      </c>
      <c r="AM263">
        <f ca="1"/>
        <v>1781.2608695652179</v>
      </c>
      <c r="AN263" t="str">
        <f ca="1"/>
        <v>O-45707-D-0023</v>
      </c>
      <c r="AO263" t="str">
        <f ca="1"/>
        <v>Delivered</v>
      </c>
    </row>
    <row r="264" spans="1:41" x14ac:dyDescent="0.5">
      <c r="A264" t="str">
        <f ca="1"/>
        <v>F-176</v>
      </c>
      <c r="B264" s="1">
        <f ca="1"/>
        <v>45707</v>
      </c>
      <c r="C264" t="str">
        <f ca="1"/>
        <v>D-0023</v>
      </c>
      <c r="D264" t="str">
        <f ca="1"/>
        <v xml:space="preserve">Roni Enterprise </v>
      </c>
      <c r="E264" t="str">
        <f ca="1"/>
        <v>Munshipara, Dinajpur Sadar</v>
      </c>
      <c r="F264" t="str">
        <f ca="1"/>
        <v>01533-399630</v>
      </c>
      <c r="G264" t="str">
        <f ca="1"/>
        <v>Monirul Islam</v>
      </c>
      <c r="H264" t="str">
        <f ca="1"/>
        <v>Raihan Siddiqui</v>
      </c>
      <c r="I264" t="str">
        <f ca="1"/>
        <v>Bondhu Motors</v>
      </c>
      <c r="J264" t="str">
        <f ca="1"/>
        <v>Rangpur</v>
      </c>
      <c r="K264" t="str">
        <f ca="1"/>
        <v>LO00119</v>
      </c>
      <c r="L264" t="str">
        <f ca="1"/>
        <v>3000 4T 20W50</v>
      </c>
      <c r="M264">
        <f ca="1"/>
        <v>100</v>
      </c>
      <c r="N264">
        <f ca="1"/>
        <v>495</v>
      </c>
      <c r="O264">
        <f ca="1"/>
        <v>100</v>
      </c>
      <c r="P264">
        <f ca="1"/>
        <v>2.4242424242424288E-2</v>
      </c>
      <c r="Q264">
        <f ca="1"/>
        <v>0</v>
      </c>
      <c r="R264">
        <f ca="1"/>
        <v>483</v>
      </c>
      <c r="S264">
        <f ca="1"/>
        <v>100</v>
      </c>
      <c r="T264">
        <f ca="1"/>
        <v>100</v>
      </c>
      <c r="U264">
        <f ca="1"/>
        <v>49500</v>
      </c>
      <c r="V264">
        <f ca="1"/>
        <v>0</v>
      </c>
      <c r="W264">
        <f ca="1"/>
        <v>48300</v>
      </c>
      <c r="X264">
        <f ca="1"/>
        <v>6300</v>
      </c>
      <c r="Y264">
        <f ca="1"/>
        <v>42000</v>
      </c>
      <c r="Z264" t="str">
        <f ca="1"/>
        <v>Cash</v>
      </c>
      <c r="AA264">
        <f ca="1"/>
        <v>643</v>
      </c>
      <c r="AB264" t="str">
        <f ca="1"/>
        <v>Regular</v>
      </c>
      <c r="AC264">
        <f ca="1"/>
        <v>45707</v>
      </c>
      <c r="AD264" t="str">
        <f ca="1"/>
        <v/>
      </c>
      <c r="AE264" t="str">
        <f ca="1"/>
        <v>Northern</v>
      </c>
      <c r="AF264" t="str">
        <f ca="1"/>
        <v>Mineral</v>
      </c>
      <c r="AG264" t="str">
        <f ca="1"/>
        <v>MCO</v>
      </c>
      <c r="AH264" t="str">
        <f ca="1"/>
        <v>20W50</v>
      </c>
      <c r="AI264" t="str">
        <f ca="1"/>
        <v>3000</v>
      </c>
      <c r="AJ264">
        <f ca="1"/>
        <v>0</v>
      </c>
      <c r="AK264" t="str">
        <f ca="1"/>
        <v>20x1L</v>
      </c>
      <c r="AL264">
        <f ca="1"/>
        <v>36492</v>
      </c>
      <c r="AM264">
        <f ca="1"/>
        <v>5508</v>
      </c>
      <c r="AN264" t="str">
        <f ca="1"/>
        <v>O-45707-D-0023</v>
      </c>
      <c r="AO264" t="str">
        <f ca="1"/>
        <v>Delivered</v>
      </c>
    </row>
    <row r="265" spans="1:41" x14ac:dyDescent="0.5">
      <c r="A265" t="str">
        <f ca="1"/>
        <v>F-170</v>
      </c>
      <c r="B265" s="1">
        <f ca="1"/>
        <v>45704</v>
      </c>
      <c r="C265" t="str">
        <f ca="1"/>
        <v>D-0023</v>
      </c>
      <c r="D265" t="str">
        <f ca="1"/>
        <v xml:space="preserve">Mayer Dowa Motors </v>
      </c>
      <c r="E265" t="str">
        <f ca="1"/>
        <v xml:space="preserve">Tarajong Bazar,Rangpur </v>
      </c>
      <c r="F265">
        <f ca="1"/>
        <v>1713709479</v>
      </c>
      <c r="G265" t="str">
        <f ca="1"/>
        <v>Monirul Islam</v>
      </c>
      <c r="H265" t="str">
        <f ca="1"/>
        <v>Raihan Siddiqui</v>
      </c>
      <c r="I265" t="str">
        <f ca="1"/>
        <v>Bondhu Motors</v>
      </c>
      <c r="J265" t="str">
        <f ca="1"/>
        <v>Rangpur</v>
      </c>
      <c r="K265" t="str">
        <f ca="1"/>
        <v>LO00043</v>
      </c>
      <c r="L265" t="str">
        <f ca="1"/>
        <v>3000 4T PLUS 10W40</v>
      </c>
      <c r="M265">
        <f ca="1"/>
        <v>60</v>
      </c>
      <c r="N265">
        <f ca="1"/>
        <v>550</v>
      </c>
      <c r="O265">
        <f ca="1"/>
        <v>60</v>
      </c>
      <c r="P265">
        <f ca="1"/>
        <v>0</v>
      </c>
      <c r="Q265">
        <f ca="1"/>
        <v>0</v>
      </c>
      <c r="R265">
        <f ca="1"/>
        <v>550</v>
      </c>
      <c r="S265">
        <f ca="1"/>
        <v>60</v>
      </c>
      <c r="T265">
        <f ca="1"/>
        <v>60</v>
      </c>
      <c r="U265">
        <f ca="1"/>
        <v>33000</v>
      </c>
      <c r="V265">
        <f ca="1"/>
        <v>0</v>
      </c>
      <c r="W265">
        <f ca="1"/>
        <v>33000</v>
      </c>
      <c r="X265">
        <f ca="1"/>
        <v>4304.347826086957</v>
      </c>
      <c r="Y265">
        <f ca="1"/>
        <v>28695.652173913044</v>
      </c>
      <c r="Z265" t="str">
        <f ca="1"/>
        <v>Cash</v>
      </c>
      <c r="AA265">
        <f ca="1"/>
        <v>637</v>
      </c>
      <c r="AB265" t="str">
        <f ca="1"/>
        <v>Regular</v>
      </c>
      <c r="AC265">
        <f ca="1"/>
        <v>45707</v>
      </c>
      <c r="AD265" t="str">
        <f ca="1"/>
        <v/>
      </c>
      <c r="AE265" t="str">
        <f ca="1"/>
        <v>Northern</v>
      </c>
      <c r="AF265" t="str">
        <f ca="1"/>
        <v>Mineral</v>
      </c>
      <c r="AG265" t="str">
        <f ca="1"/>
        <v>MCO</v>
      </c>
      <c r="AH265" t="str">
        <f ca="1"/>
        <v>10W40</v>
      </c>
      <c r="AI265" t="str">
        <f ca="1"/>
        <v>3000</v>
      </c>
      <c r="AJ265">
        <f ca="1"/>
        <v>0</v>
      </c>
      <c r="AK265" t="str">
        <f ca="1"/>
        <v>20x1L</v>
      </c>
      <c r="AL265">
        <f ca="1"/>
        <v>23091</v>
      </c>
      <c r="AM265">
        <f ca="1"/>
        <v>5604.652173913044</v>
      </c>
      <c r="AN265" t="str">
        <f ca="1"/>
        <v>O-45704-D-0023</v>
      </c>
      <c r="AO265" t="str">
        <f ca="1"/>
        <v>Delivered</v>
      </c>
    </row>
    <row r="266" spans="1:41" x14ac:dyDescent="0.5">
      <c r="A266" t="str">
        <f ca="1"/>
        <v>F-170</v>
      </c>
      <c r="B266" s="1">
        <f ca="1"/>
        <v>45704</v>
      </c>
      <c r="C266" t="str">
        <f ca="1"/>
        <v>D-0023</v>
      </c>
      <c r="D266" t="str">
        <f ca="1"/>
        <v xml:space="preserve">Mayer Dowa Motors </v>
      </c>
      <c r="E266" t="str">
        <f ca="1"/>
        <v xml:space="preserve">Tarajong Bazar,Rangpur </v>
      </c>
      <c r="F266">
        <f ca="1"/>
        <v>1713709479</v>
      </c>
      <c r="G266" t="str">
        <f ca="1"/>
        <v>Monirul Islam</v>
      </c>
      <c r="H266" t="str">
        <f ca="1"/>
        <v>Raihan Siddiqui</v>
      </c>
      <c r="I266" t="str">
        <f ca="1"/>
        <v>Bondhu Motors</v>
      </c>
      <c r="J266" t="str">
        <f ca="1"/>
        <v>Rangpur</v>
      </c>
      <c r="K266" t="str">
        <f ca="1"/>
        <v>LO00073</v>
      </c>
      <c r="L266" t="str">
        <f ca="1"/>
        <v>3000 4T PLUS 10W30</v>
      </c>
      <c r="M266">
        <f ca="1"/>
        <v>20</v>
      </c>
      <c r="N266">
        <f ca="1"/>
        <v>650</v>
      </c>
      <c r="O266">
        <f ca="1"/>
        <v>24</v>
      </c>
      <c r="P266">
        <f ca="1"/>
        <v>-2.2204460492503131E-16</v>
      </c>
      <c r="Q266">
        <f ca="1"/>
        <v>0</v>
      </c>
      <c r="R266">
        <f ca="1"/>
        <v>650.00000000000011</v>
      </c>
      <c r="S266">
        <f ca="1"/>
        <v>20</v>
      </c>
      <c r="T266">
        <f ca="1"/>
        <v>24</v>
      </c>
      <c r="U266">
        <f ca="1"/>
        <v>13000</v>
      </c>
      <c r="V266">
        <f ca="1"/>
        <v>0</v>
      </c>
      <c r="W266">
        <f ca="1"/>
        <v>13000.000000000002</v>
      </c>
      <c r="X266">
        <f ca="1"/>
        <v>1695.6521739130437</v>
      </c>
      <c r="Y266">
        <f ca="1"/>
        <v>11304.347826086958</v>
      </c>
      <c r="Z266" t="str">
        <f ca="1"/>
        <v>Cash</v>
      </c>
      <c r="AA266">
        <f ca="1"/>
        <v>637</v>
      </c>
      <c r="AB266" t="str">
        <f ca="1"/>
        <v>Regular</v>
      </c>
      <c r="AC266">
        <f ca="1"/>
        <v>45707</v>
      </c>
      <c r="AD266" t="str">
        <f ca="1"/>
        <v/>
      </c>
      <c r="AE266" t="str">
        <f ca="1"/>
        <v>Northern</v>
      </c>
      <c r="AF266" t="str">
        <f ca="1"/>
        <v>Mineral</v>
      </c>
      <c r="AG266" t="str">
        <f ca="1"/>
        <v>MCO</v>
      </c>
      <c r="AH266" t="str">
        <f ca="1"/>
        <v>10W30</v>
      </c>
      <c r="AI266" t="str">
        <f ca="1"/>
        <v>3000</v>
      </c>
      <c r="AJ266">
        <f ca="1"/>
        <v>0</v>
      </c>
      <c r="AK266" t="str">
        <f ca="1"/>
        <v>20x1.2L</v>
      </c>
      <c r="AL266">
        <f ca="1"/>
        <v>8778</v>
      </c>
      <c r="AM266">
        <f ca="1"/>
        <v>2526.3478260869579</v>
      </c>
      <c r="AN266" t="str">
        <f ca="1"/>
        <v>O-45704-D-0023</v>
      </c>
      <c r="AO266" t="str">
        <f ca="1"/>
        <v>Delivered</v>
      </c>
    </row>
    <row r="267" spans="1:41" x14ac:dyDescent="0.5">
      <c r="A267" t="str">
        <f ca="1"/>
        <v>F-170</v>
      </c>
      <c r="B267" s="1">
        <f ca="1"/>
        <v>45704</v>
      </c>
      <c r="C267" t="str">
        <f ca="1"/>
        <v>D-0023</v>
      </c>
      <c r="D267" t="str">
        <f ca="1"/>
        <v xml:space="preserve">Mayer Dowa Motors </v>
      </c>
      <c r="E267" t="str">
        <f ca="1"/>
        <v xml:space="preserve">Tarajong Bazar,Rangpur </v>
      </c>
      <c r="F267">
        <f ca="1"/>
        <v>1713709479</v>
      </c>
      <c r="G267" t="str">
        <f ca="1"/>
        <v>Monirul Islam</v>
      </c>
      <c r="H267" t="str">
        <f ca="1"/>
        <v>Raihan Siddiqui</v>
      </c>
      <c r="I267" t="str">
        <f ca="1"/>
        <v>Bondhu Motors</v>
      </c>
      <c r="J267" t="str">
        <f ca="1"/>
        <v>Rangpur</v>
      </c>
      <c r="K267" t="str">
        <f ca="1"/>
        <v>LO00119</v>
      </c>
      <c r="L267" t="str">
        <f ca="1"/>
        <v>3000 4T 20W50</v>
      </c>
      <c r="M267">
        <f ca="1"/>
        <v>20</v>
      </c>
      <c r="N267">
        <f ca="1"/>
        <v>495</v>
      </c>
      <c r="O267">
        <f ca="1"/>
        <v>20</v>
      </c>
      <c r="P267">
        <f ca="1"/>
        <v>0</v>
      </c>
      <c r="Q267">
        <f ca="1"/>
        <v>0</v>
      </c>
      <c r="R267">
        <f ca="1"/>
        <v>495</v>
      </c>
      <c r="S267">
        <f ca="1"/>
        <v>20</v>
      </c>
      <c r="T267">
        <f ca="1"/>
        <v>20</v>
      </c>
      <c r="U267">
        <f ca="1"/>
        <v>9900</v>
      </c>
      <c r="V267">
        <f ca="1"/>
        <v>0</v>
      </c>
      <c r="W267">
        <f ca="1"/>
        <v>9900</v>
      </c>
      <c r="X267">
        <f ca="1"/>
        <v>1291.304347826087</v>
      </c>
      <c r="Y267">
        <f ca="1"/>
        <v>8608.6956521739139</v>
      </c>
      <c r="Z267" t="str">
        <f ca="1"/>
        <v>Cash</v>
      </c>
      <c r="AA267">
        <f ca="1"/>
        <v>637</v>
      </c>
      <c r="AB267" t="str">
        <f ca="1"/>
        <v>Regular</v>
      </c>
      <c r="AC267">
        <f ca="1"/>
        <v>45707</v>
      </c>
      <c r="AD267" t="str">
        <f ca="1"/>
        <v/>
      </c>
      <c r="AE267" t="str">
        <f ca="1"/>
        <v>Northern</v>
      </c>
      <c r="AF267" t="str">
        <f ca="1"/>
        <v>Mineral</v>
      </c>
      <c r="AG267" t="str">
        <f ca="1"/>
        <v>MCO</v>
      </c>
      <c r="AH267" t="str">
        <f ca="1"/>
        <v>20W50</v>
      </c>
      <c r="AI267" t="str">
        <f ca="1"/>
        <v>3000</v>
      </c>
      <c r="AJ267">
        <f ca="1"/>
        <v>0</v>
      </c>
      <c r="AK267" t="str">
        <f ca="1"/>
        <v>20x1L</v>
      </c>
      <c r="AL267">
        <f ca="1"/>
        <v>7298.4000000000005</v>
      </c>
      <c r="AM267">
        <f ca="1"/>
        <v>1310.2956521739134</v>
      </c>
      <c r="AN267" t="str">
        <f ca="1"/>
        <v>O-45704-D-0023</v>
      </c>
      <c r="AO267" t="str">
        <f ca="1"/>
        <v>Delivered</v>
      </c>
    </row>
    <row r="268" spans="1:41" x14ac:dyDescent="0.5">
      <c r="A268" t="str">
        <f ca="1"/>
        <v>F-171</v>
      </c>
      <c r="B268" s="1">
        <f ca="1"/>
        <v>45704</v>
      </c>
      <c r="C268" t="str">
        <f ca="1"/>
        <v>D-0014</v>
      </c>
      <c r="D268" t="str">
        <f ca="1"/>
        <v>Star Bikers</v>
      </c>
      <c r="E268" t="str">
        <f ca="1"/>
        <v>Kaoutoli, Brahmanbaria</v>
      </c>
      <c r="F268" t="str">
        <f ca="1"/>
        <v>01734-078613</v>
      </c>
      <c r="G268" t="str">
        <f ca="1"/>
        <v>Md. Robin Sheikh</v>
      </c>
      <c r="H268" t="str">
        <f ca="1"/>
        <v>Razur Rahman (Bipul)</v>
      </c>
      <c r="I268" t="str">
        <f ca="1"/>
        <v>City Lubricants</v>
      </c>
      <c r="J268" t="str">
        <f ca="1"/>
        <v>Paduar Bazar Bisso Road</v>
      </c>
      <c r="K268" t="str">
        <f ca="1"/>
        <v>LO00041</v>
      </c>
      <c r="L268" t="str">
        <f ca="1"/>
        <v>3000 4T PLUS 10W30</v>
      </c>
      <c r="M268">
        <f ca="1"/>
        <v>20</v>
      </c>
      <c r="N268">
        <f ca="1"/>
        <v>540</v>
      </c>
      <c r="O268">
        <f ca="1"/>
        <v>20</v>
      </c>
      <c r="P268">
        <f ca="1"/>
        <v>9.2592592592593004E-3</v>
      </c>
      <c r="Q268">
        <f ca="1"/>
        <v>0</v>
      </c>
      <c r="R268">
        <f ca="1"/>
        <v>535</v>
      </c>
      <c r="S268">
        <f ca="1"/>
        <v>20</v>
      </c>
      <c r="T268">
        <f ca="1"/>
        <v>20</v>
      </c>
      <c r="U268">
        <f ca="1"/>
        <v>10800</v>
      </c>
      <c r="V268">
        <f ca="1"/>
        <v>0</v>
      </c>
      <c r="W268">
        <f ca="1"/>
        <v>10700</v>
      </c>
      <c r="X268">
        <f ca="1"/>
        <v>1395.6521739130435</v>
      </c>
      <c r="Y268">
        <f ca="1"/>
        <v>9304.347826086956</v>
      </c>
      <c r="Z268" t="str">
        <f ca="1"/>
        <v>Cash</v>
      </c>
      <c r="AA268">
        <f ca="1"/>
        <v>638</v>
      </c>
      <c r="AB268" t="str">
        <f ca="1"/>
        <v>Regular</v>
      </c>
      <c r="AC268">
        <f ca="1"/>
        <v>45707</v>
      </c>
      <c r="AD268" t="str">
        <f ca="1"/>
        <v/>
      </c>
      <c r="AE268" t="str">
        <f ca="1"/>
        <v>Eastern</v>
      </c>
      <c r="AF268" t="str">
        <f ca="1"/>
        <v>Mineral</v>
      </c>
      <c r="AG268" t="str">
        <f ca="1"/>
        <v>MCO</v>
      </c>
      <c r="AH268" t="str">
        <f ca="1"/>
        <v>10W30</v>
      </c>
      <c r="AI268" t="str">
        <f ca="1"/>
        <v>3000</v>
      </c>
      <c r="AJ268">
        <f ca="1"/>
        <v>0</v>
      </c>
      <c r="AK268" t="str">
        <f ca="1"/>
        <v>20x1L</v>
      </c>
      <c r="AL268">
        <f ca="1"/>
        <v>7586.5999999999995</v>
      </c>
      <c r="AM268">
        <f ca="1"/>
        <v>1717.7478260869566</v>
      </c>
      <c r="AN268" t="str">
        <f ca="1"/>
        <v>O-45704-D-0014</v>
      </c>
      <c r="AO268" t="str">
        <f ca="1"/>
        <v>Delivered</v>
      </c>
    </row>
    <row r="269" spans="1:41" x14ac:dyDescent="0.5">
      <c r="A269" t="str">
        <f ca="1"/>
        <v>F-171</v>
      </c>
      <c r="B269" s="1">
        <f ca="1"/>
        <v>45704</v>
      </c>
      <c r="C269" t="str">
        <f ca="1"/>
        <v>D-0014</v>
      </c>
      <c r="D269" t="str">
        <f ca="1"/>
        <v>Star Bikers</v>
      </c>
      <c r="E269" t="str">
        <f ca="1"/>
        <v>Kaoutoli, Brahmanbaria</v>
      </c>
      <c r="F269" t="str">
        <f ca="1"/>
        <v>01734-078613</v>
      </c>
      <c r="G269" t="str">
        <f ca="1"/>
        <v>Md. Robin Sheikh</v>
      </c>
      <c r="H269" t="str">
        <f ca="1"/>
        <v>Razur Rahman (Bipul)</v>
      </c>
      <c r="I269" t="str">
        <f ca="1"/>
        <v>City Lubricants</v>
      </c>
      <c r="J269" t="str">
        <f ca="1"/>
        <v>Paduar Bazar Bisso Road</v>
      </c>
      <c r="K269" t="str">
        <f ca="1"/>
        <v>LO00043</v>
      </c>
      <c r="L269" t="str">
        <f ca="1"/>
        <v>3000 4T PLUS 10W40</v>
      </c>
      <c r="M269">
        <f ca="1"/>
        <v>20</v>
      </c>
      <c r="N269">
        <f ca="1"/>
        <v>550</v>
      </c>
      <c r="O269">
        <f ca="1"/>
        <v>20</v>
      </c>
      <c r="P269">
        <f ca="1"/>
        <v>9.0909090909090384E-3</v>
      </c>
      <c r="Q269">
        <f ca="1"/>
        <v>0</v>
      </c>
      <c r="R269">
        <f ca="1"/>
        <v>545</v>
      </c>
      <c r="S269">
        <f ca="1"/>
        <v>20</v>
      </c>
      <c r="T269">
        <f ca="1"/>
        <v>20</v>
      </c>
      <c r="U269">
        <f ca="1"/>
        <v>11000</v>
      </c>
      <c r="V269">
        <f ca="1"/>
        <v>0</v>
      </c>
      <c r="W269">
        <f ca="1"/>
        <v>10900</v>
      </c>
      <c r="X269">
        <f ca="1"/>
        <v>1421.7391304347825</v>
      </c>
      <c r="Y269">
        <f ca="1"/>
        <v>9478.2608695652179</v>
      </c>
      <c r="Z269" t="str">
        <f ca="1"/>
        <v>Cash</v>
      </c>
      <c r="AA269">
        <f ca="1"/>
        <v>638</v>
      </c>
      <c r="AB269" t="str">
        <f ca="1"/>
        <v>Regular</v>
      </c>
      <c r="AC269">
        <f ca="1"/>
        <v>45707</v>
      </c>
      <c r="AD269" t="str">
        <f ca="1"/>
        <v/>
      </c>
      <c r="AE269" t="str">
        <f ca="1"/>
        <v>Eastern</v>
      </c>
      <c r="AF269" t="str">
        <f ca="1"/>
        <v>Mineral</v>
      </c>
      <c r="AG269" t="str">
        <f ca="1"/>
        <v>MCO</v>
      </c>
      <c r="AH269" t="str">
        <f ca="1"/>
        <v>10W40</v>
      </c>
      <c r="AI269" t="str">
        <f ca="1"/>
        <v>3000</v>
      </c>
      <c r="AJ269">
        <f ca="1"/>
        <v>0</v>
      </c>
      <c r="AK269" t="str">
        <f ca="1"/>
        <v>20x1L</v>
      </c>
      <c r="AL269">
        <f ca="1"/>
        <v>7697</v>
      </c>
      <c r="AM269">
        <f ca="1"/>
        <v>1781.2608695652179</v>
      </c>
      <c r="AN269" t="str">
        <f ca="1"/>
        <v>O-45704-D-0014</v>
      </c>
      <c r="AO269" t="str">
        <f ca="1"/>
        <v>Delivered</v>
      </c>
    </row>
    <row r="270" spans="1:41" x14ac:dyDescent="0.5">
      <c r="A270" t="str">
        <f ca="1"/>
        <v>F-171</v>
      </c>
      <c r="B270" s="1">
        <f ca="1"/>
        <v>45704</v>
      </c>
      <c r="C270" t="str">
        <f ca="1"/>
        <v>D-0014</v>
      </c>
      <c r="D270" t="str">
        <f ca="1"/>
        <v>Star Bikers</v>
      </c>
      <c r="E270" t="str">
        <f ca="1"/>
        <v>Kaoutoli, Brahmanbaria</v>
      </c>
      <c r="F270" t="str">
        <f ca="1"/>
        <v>01734-078613</v>
      </c>
      <c r="G270" t="str">
        <f ca="1"/>
        <v>Md. Robin Sheikh</v>
      </c>
      <c r="H270" t="str">
        <f ca="1"/>
        <v>Razur Rahman (Bipul)</v>
      </c>
      <c r="I270" t="str">
        <f ca="1"/>
        <v>City Lubricants</v>
      </c>
      <c r="J270" t="str">
        <f ca="1"/>
        <v>Paduar Bazar Bisso Road</v>
      </c>
      <c r="K270" t="str">
        <f ca="1"/>
        <v>LO00073</v>
      </c>
      <c r="L270" t="str">
        <f ca="1"/>
        <v>3000 4T PLUS 10W30</v>
      </c>
      <c r="M270">
        <f ca="1"/>
        <v>20</v>
      </c>
      <c r="N270">
        <f ca="1"/>
        <v>650</v>
      </c>
      <c r="O270">
        <f ca="1"/>
        <v>24</v>
      </c>
      <c r="P270">
        <f ca="1"/>
        <v>7.692307692307554E-3</v>
      </c>
      <c r="Q270">
        <f ca="1"/>
        <v>0</v>
      </c>
      <c r="R270">
        <f ca="1"/>
        <v>645.00000000000011</v>
      </c>
      <c r="S270">
        <f ca="1"/>
        <v>20</v>
      </c>
      <c r="T270">
        <f ca="1"/>
        <v>24</v>
      </c>
      <c r="U270">
        <f ca="1"/>
        <v>13000</v>
      </c>
      <c r="V270">
        <f ca="1"/>
        <v>0</v>
      </c>
      <c r="W270">
        <f ca="1"/>
        <v>12900.000000000002</v>
      </c>
      <c r="X270">
        <f ca="1"/>
        <v>1682.6086956521742</v>
      </c>
      <c r="Y270">
        <f ca="1"/>
        <v>11217.391304347828</v>
      </c>
      <c r="Z270" t="str">
        <f ca="1"/>
        <v>Cash</v>
      </c>
      <c r="AA270">
        <f ca="1"/>
        <v>638</v>
      </c>
      <c r="AB270" t="str">
        <f ca="1"/>
        <v>Regular</v>
      </c>
      <c r="AC270">
        <f ca="1"/>
        <v>45707</v>
      </c>
      <c r="AD270" t="str">
        <f ca="1"/>
        <v/>
      </c>
      <c r="AE270" t="str">
        <f ca="1"/>
        <v>Eastern</v>
      </c>
      <c r="AF270" t="str">
        <f ca="1"/>
        <v>Mineral</v>
      </c>
      <c r="AG270" t="str">
        <f ca="1"/>
        <v>MCO</v>
      </c>
      <c r="AH270" t="str">
        <f ca="1"/>
        <v>10W30</v>
      </c>
      <c r="AI270" t="str">
        <f ca="1"/>
        <v>3000</v>
      </c>
      <c r="AJ270">
        <f ca="1"/>
        <v>0</v>
      </c>
      <c r="AK270" t="str">
        <f ca="1"/>
        <v>20x1.2L</v>
      </c>
      <c r="AL270">
        <f ca="1"/>
        <v>8778</v>
      </c>
      <c r="AM270">
        <f ca="1"/>
        <v>2439.3913043478278</v>
      </c>
      <c r="AN270" t="str">
        <f ca="1"/>
        <v>O-45704-D-0014</v>
      </c>
      <c r="AO270" t="str">
        <f ca="1"/>
        <v>Delivered</v>
      </c>
    </row>
    <row r="271" spans="1:41" x14ac:dyDescent="0.5">
      <c r="A271" t="str">
        <f ca="1"/>
        <v>F-171</v>
      </c>
      <c r="B271" s="1">
        <f ca="1"/>
        <v>45704</v>
      </c>
      <c r="C271" t="str">
        <f ca="1"/>
        <v>D-0014</v>
      </c>
      <c r="D271" t="str">
        <f ca="1"/>
        <v>Star Bikers</v>
      </c>
      <c r="E271" t="str">
        <f ca="1"/>
        <v>Kaoutoli, Brahmanbaria</v>
      </c>
      <c r="F271" t="str">
        <f ca="1"/>
        <v>01734-078613</v>
      </c>
      <c r="G271" t="str">
        <f ca="1"/>
        <v>Md. Robin Sheikh</v>
      </c>
      <c r="H271" t="str">
        <f ca="1"/>
        <v>Razur Rahman (Bipul)</v>
      </c>
      <c r="I271" t="str">
        <f ca="1"/>
        <v>City Lubricants</v>
      </c>
      <c r="J271" t="str">
        <f ca="1"/>
        <v>Paduar Bazar Bisso Road</v>
      </c>
      <c r="K271" t="str">
        <f ca="1"/>
        <v>LO00119</v>
      </c>
      <c r="L271" t="str">
        <f ca="1"/>
        <v>3000 4T 20W50</v>
      </c>
      <c r="M271">
        <f ca="1"/>
        <v>20</v>
      </c>
      <c r="N271">
        <f ca="1"/>
        <v>495</v>
      </c>
      <c r="O271">
        <f ca="1"/>
        <v>20</v>
      </c>
      <c r="P271">
        <f ca="1"/>
        <v>1.0101010101010055E-2</v>
      </c>
      <c r="Q271">
        <f ca="1"/>
        <v>0</v>
      </c>
      <c r="R271">
        <f ca="1"/>
        <v>490</v>
      </c>
      <c r="S271">
        <f ca="1"/>
        <v>20</v>
      </c>
      <c r="T271">
        <f ca="1"/>
        <v>20</v>
      </c>
      <c r="U271">
        <f ca="1"/>
        <v>9900</v>
      </c>
      <c r="V271">
        <f ca="1"/>
        <v>0</v>
      </c>
      <c r="W271">
        <f ca="1"/>
        <v>9800</v>
      </c>
      <c r="X271">
        <f ca="1"/>
        <v>1278.2608695652175</v>
      </c>
      <c r="Y271">
        <f ca="1"/>
        <v>8521.7391304347821</v>
      </c>
      <c r="Z271" t="str">
        <f ca="1"/>
        <v>Cash</v>
      </c>
      <c r="AA271">
        <f ca="1"/>
        <v>638</v>
      </c>
      <c r="AB271" t="str">
        <f ca="1"/>
        <v>Regular</v>
      </c>
      <c r="AC271">
        <f ca="1"/>
        <v>45707</v>
      </c>
      <c r="AD271" t="str">
        <f ca="1"/>
        <v/>
      </c>
      <c r="AE271" t="str">
        <f ca="1"/>
        <v>Eastern</v>
      </c>
      <c r="AF271" t="str">
        <f ca="1"/>
        <v>Mineral</v>
      </c>
      <c r="AG271" t="str">
        <f ca="1"/>
        <v>MCO</v>
      </c>
      <c r="AH271" t="str">
        <f ca="1"/>
        <v>20W50</v>
      </c>
      <c r="AI271" t="str">
        <f ca="1"/>
        <v>3000</v>
      </c>
      <c r="AJ271">
        <f ca="1"/>
        <v>0</v>
      </c>
      <c r="AK271" t="str">
        <f ca="1"/>
        <v>20x1L</v>
      </c>
      <c r="AL271">
        <f ca="1"/>
        <v>7298.4000000000005</v>
      </c>
      <c r="AM271">
        <f ca="1"/>
        <v>1223.3391304347815</v>
      </c>
      <c r="AN271" t="str">
        <f ca="1"/>
        <v>O-45704-D-0014</v>
      </c>
      <c r="AO271" t="str">
        <f ca="1"/>
        <v>Delivered</v>
      </c>
    </row>
    <row r="272" spans="1:41" x14ac:dyDescent="0.5">
      <c r="A272" t="str">
        <f ca="1"/>
        <v>F-172</v>
      </c>
      <c r="B272" s="1">
        <f ca="1"/>
        <v>45698</v>
      </c>
      <c r="C272" t="str">
        <f ca="1"/>
        <v>D-0001</v>
      </c>
      <c r="D272" t="str">
        <f ca="1"/>
        <v>Robel motors</v>
      </c>
      <c r="E272" t="str">
        <f ca="1"/>
        <v xml:space="preserve">akhra bazar,Kishoreganj </v>
      </c>
      <c r="F272">
        <f ca="1"/>
        <v>1918732041</v>
      </c>
      <c r="G272" t="str">
        <f ca="1"/>
        <v>Md.Mahfuzur Rahman</v>
      </c>
      <c r="H272" t="str">
        <f ca="1"/>
        <v>Abdul Matin</v>
      </c>
      <c r="I272" t="str">
        <f ca="1"/>
        <v>M/S Hasan Traders</v>
      </c>
      <c r="J272" t="str">
        <f ca="1"/>
        <v>Pangsha</v>
      </c>
      <c r="K272" t="str">
        <f ca="1"/>
        <v>LO00041</v>
      </c>
      <c r="L272" t="str">
        <f ca="1"/>
        <v>3000 4T PLUS 10W30</v>
      </c>
      <c r="M272">
        <f ca="1"/>
        <v>40</v>
      </c>
      <c r="N272">
        <f ca="1"/>
        <v>540</v>
      </c>
      <c r="O272">
        <f ca="1"/>
        <v>40</v>
      </c>
      <c r="P272">
        <f ca="1"/>
        <v>9.2592592592593004E-3</v>
      </c>
      <c r="Q272">
        <f ca="1"/>
        <v>0</v>
      </c>
      <c r="R272">
        <f ca="1"/>
        <v>535</v>
      </c>
      <c r="S272">
        <f ca="1"/>
        <v>40</v>
      </c>
      <c r="T272">
        <f ca="1"/>
        <v>40</v>
      </c>
      <c r="U272">
        <f ca="1"/>
        <v>21600</v>
      </c>
      <c r="V272">
        <f ca="1"/>
        <v>0</v>
      </c>
      <c r="W272">
        <f ca="1"/>
        <v>21400</v>
      </c>
      <c r="X272">
        <f ca="1"/>
        <v>2791.304347826087</v>
      </c>
      <c r="Y272">
        <f ca="1"/>
        <v>18608.695652173912</v>
      </c>
      <c r="Z272" t="str">
        <f ca="1"/>
        <v>Cash</v>
      </c>
      <c r="AA272">
        <f ca="1"/>
        <v>639</v>
      </c>
      <c r="AB272" t="str">
        <f ca="1"/>
        <v>Regular</v>
      </c>
      <c r="AC272">
        <f ca="1"/>
        <v>45707</v>
      </c>
      <c r="AD272" t="str">
        <f ca="1"/>
        <v xml:space="preserve">delivery system :saudagar courier </v>
      </c>
      <c r="AE272" t="str">
        <f ca="1"/>
        <v>Central</v>
      </c>
      <c r="AF272" t="str">
        <f ca="1"/>
        <v>Mineral</v>
      </c>
      <c r="AG272" t="str">
        <f ca="1"/>
        <v>MCO</v>
      </c>
      <c r="AH272" t="str">
        <f ca="1"/>
        <v>10W30</v>
      </c>
      <c r="AI272" t="str">
        <f ca="1"/>
        <v>3000</v>
      </c>
      <c r="AJ272">
        <f ca="1"/>
        <v>0</v>
      </c>
      <c r="AK272" t="str">
        <f ca="1"/>
        <v>20x1L</v>
      </c>
      <c r="AL272">
        <f ca="1"/>
        <v>15173.199999999999</v>
      </c>
      <c r="AM272">
        <f ca="1"/>
        <v>3435.4956521739132</v>
      </c>
      <c r="AN272" t="str">
        <f ca="1"/>
        <v>O-45698-D-0001</v>
      </c>
      <c r="AO272" t="str">
        <f ca="1"/>
        <v>Delivered</v>
      </c>
    </row>
    <row r="273" spans="1:41" x14ac:dyDescent="0.5">
      <c r="A273" t="str">
        <f ca="1"/>
        <v>F-172</v>
      </c>
      <c r="B273" s="1">
        <f ca="1"/>
        <v>45698</v>
      </c>
      <c r="C273" t="str">
        <f ca="1"/>
        <v>D-0001</v>
      </c>
      <c r="D273" t="str">
        <f ca="1"/>
        <v>Robel motors</v>
      </c>
      <c r="E273" t="str">
        <f ca="1"/>
        <v xml:space="preserve">akhra bazar,Kishoreganj </v>
      </c>
      <c r="F273">
        <f ca="1"/>
        <v>1918732041</v>
      </c>
      <c r="G273" t="str">
        <f ca="1"/>
        <v>Md.Mahfuzur Rahman</v>
      </c>
      <c r="H273" t="str">
        <f ca="1"/>
        <v>Abdul Matin</v>
      </c>
      <c r="I273" t="str">
        <f ca="1"/>
        <v>M/S Hasan Traders</v>
      </c>
      <c r="J273" t="str">
        <f ca="1"/>
        <v>Pangsha</v>
      </c>
      <c r="K273" t="str">
        <f ca="1"/>
        <v>LO00073</v>
      </c>
      <c r="L273" t="str">
        <f ca="1"/>
        <v>3000 4T PLUS 10W30</v>
      </c>
      <c r="M273">
        <f ca="1"/>
        <v>40</v>
      </c>
      <c r="N273">
        <f ca="1"/>
        <v>650</v>
      </c>
      <c r="O273">
        <f ca="1"/>
        <v>48</v>
      </c>
      <c r="P273">
        <f ca="1"/>
        <v>7.692307692307554E-3</v>
      </c>
      <c r="Q273">
        <f ca="1"/>
        <v>0</v>
      </c>
      <c r="R273">
        <f ca="1"/>
        <v>645.00000000000011</v>
      </c>
      <c r="S273">
        <f ca="1"/>
        <v>40</v>
      </c>
      <c r="T273">
        <f ca="1"/>
        <v>48</v>
      </c>
      <c r="U273">
        <f ca="1"/>
        <v>26000</v>
      </c>
      <c r="V273">
        <f ca="1"/>
        <v>0</v>
      </c>
      <c r="W273">
        <f ca="1"/>
        <v>25800.000000000004</v>
      </c>
      <c r="X273">
        <f ca="1"/>
        <v>3365.2173913043484</v>
      </c>
      <c r="Y273">
        <f ca="1"/>
        <v>22434.782608695656</v>
      </c>
      <c r="Z273" t="str">
        <f ca="1"/>
        <v>Cash</v>
      </c>
      <c r="AA273">
        <f ca="1"/>
        <v>639</v>
      </c>
      <c r="AB273" t="str">
        <f ca="1"/>
        <v>Regular</v>
      </c>
      <c r="AC273">
        <f ca="1"/>
        <v>45707</v>
      </c>
      <c r="AD273" t="str">
        <f ca="1"/>
        <v xml:space="preserve">delivery system :saudagar courier </v>
      </c>
      <c r="AE273" t="str">
        <f ca="1"/>
        <v>Central</v>
      </c>
      <c r="AF273" t="str">
        <f ca="1"/>
        <v>Mineral</v>
      </c>
      <c r="AG273" t="str">
        <f ca="1"/>
        <v>MCO</v>
      </c>
      <c r="AH273" t="str">
        <f ca="1"/>
        <v>10W30</v>
      </c>
      <c r="AI273" t="str">
        <f ca="1"/>
        <v>3000</v>
      </c>
      <c r="AJ273">
        <f ca="1"/>
        <v>0</v>
      </c>
      <c r="AK273" t="str">
        <f ca="1"/>
        <v>20x1.2L</v>
      </c>
      <c r="AL273">
        <f ca="1"/>
        <v>17556</v>
      </c>
      <c r="AM273">
        <f ca="1"/>
        <v>4878.7826086956557</v>
      </c>
      <c r="AN273" t="str">
        <f ca="1"/>
        <v>O-45698-D-0001</v>
      </c>
      <c r="AO273" t="str">
        <f ca="1"/>
        <v>Delivered</v>
      </c>
    </row>
    <row r="274" spans="1:41" x14ac:dyDescent="0.5">
      <c r="A274" t="str">
        <f ca="1"/>
        <v>F-172</v>
      </c>
      <c r="B274" s="1">
        <f ca="1"/>
        <v>45698</v>
      </c>
      <c r="C274" t="str">
        <f ca="1"/>
        <v>D-0001</v>
      </c>
      <c r="D274" t="str">
        <f ca="1"/>
        <v>Robel motors</v>
      </c>
      <c r="E274" t="str">
        <f ca="1"/>
        <v xml:space="preserve">akhra bazar,Kishoreganj </v>
      </c>
      <c r="F274">
        <f ca="1"/>
        <v>1918732041</v>
      </c>
      <c r="G274" t="str">
        <f ca="1"/>
        <v>Md.Mahfuzur Rahman</v>
      </c>
      <c r="H274" t="str">
        <f ca="1"/>
        <v>Abdul Matin</v>
      </c>
      <c r="I274" t="str">
        <f ca="1"/>
        <v>M/S Hasan Traders</v>
      </c>
      <c r="J274" t="str">
        <f ca="1"/>
        <v>Pangsha</v>
      </c>
      <c r="K274" t="str">
        <f ca="1"/>
        <v>LO00096</v>
      </c>
      <c r="L274" t="str">
        <f ca="1"/>
        <v>3000 4T PLUS 20W40</v>
      </c>
      <c r="M274">
        <f ca="1"/>
        <v>20</v>
      </c>
      <c r="N274">
        <f ca="1"/>
        <v>645</v>
      </c>
      <c r="O274">
        <f ca="1"/>
        <v>24</v>
      </c>
      <c r="P274">
        <f ca="1"/>
        <v>7.7519379844961378E-3</v>
      </c>
      <c r="Q274">
        <f ca="1"/>
        <v>0</v>
      </c>
      <c r="R274">
        <f ca="1"/>
        <v>640</v>
      </c>
      <c r="S274">
        <f ca="1"/>
        <v>20</v>
      </c>
      <c r="T274">
        <f ca="1"/>
        <v>24</v>
      </c>
      <c r="U274">
        <f ca="1"/>
        <v>12900</v>
      </c>
      <c r="V274">
        <f ca="1"/>
        <v>0</v>
      </c>
      <c r="W274">
        <f ca="1"/>
        <v>12800</v>
      </c>
      <c r="X274">
        <f ca="1"/>
        <v>1669.5652173913043</v>
      </c>
      <c r="Y274">
        <f ca="1"/>
        <v>11130.434782608696</v>
      </c>
      <c r="Z274" t="str">
        <f ca="1"/>
        <v>Cash</v>
      </c>
      <c r="AA274">
        <f ca="1"/>
        <v>639</v>
      </c>
      <c r="AB274" t="str">
        <f ca="1"/>
        <v>Regular</v>
      </c>
      <c r="AC274">
        <f ca="1"/>
        <v>45707</v>
      </c>
      <c r="AD274" t="str">
        <f ca="1"/>
        <v xml:space="preserve">delivery system :saudagar courier </v>
      </c>
      <c r="AE274" t="str">
        <f ca="1"/>
        <v>Central</v>
      </c>
      <c r="AF274" t="str">
        <f ca="1"/>
        <v>Mineral</v>
      </c>
      <c r="AG274" t="str">
        <f ca="1"/>
        <v>MCO</v>
      </c>
      <c r="AH274" t="str">
        <f ca="1"/>
        <v>20W40</v>
      </c>
      <c r="AI274" t="str">
        <f ca="1"/>
        <v>3000</v>
      </c>
      <c r="AJ274">
        <f ca="1"/>
        <v>0</v>
      </c>
      <c r="AK274" t="str">
        <f ca="1"/>
        <v>20x1.2L</v>
      </c>
      <c r="AL274">
        <f ca="1"/>
        <v>9397.9559070121941</v>
      </c>
      <c r="AM274">
        <f ca="1"/>
        <v>1732.4788755965019</v>
      </c>
      <c r="AN274" t="str">
        <f ca="1"/>
        <v>O-45698-D-0001</v>
      </c>
      <c r="AO274" t="str">
        <f ca="1"/>
        <v>Delivered</v>
      </c>
    </row>
    <row r="275" spans="1:41" x14ac:dyDescent="0.5">
      <c r="A275" t="str">
        <f ca="1"/>
        <v>F-172</v>
      </c>
      <c r="B275" s="1">
        <f ca="1"/>
        <v>45698</v>
      </c>
      <c r="C275" t="str">
        <f ca="1"/>
        <v>D-0001</v>
      </c>
      <c r="D275" t="str">
        <f ca="1"/>
        <v>Robel motors</v>
      </c>
      <c r="E275" t="str">
        <f ca="1"/>
        <v xml:space="preserve">akhra bazar,Kishoreganj </v>
      </c>
      <c r="F275">
        <f ca="1"/>
        <v>1918732041</v>
      </c>
      <c r="G275" t="str">
        <f ca="1"/>
        <v>Md.Mahfuzur Rahman</v>
      </c>
      <c r="H275" t="str">
        <f ca="1"/>
        <v>Abdul Matin</v>
      </c>
      <c r="I275" t="str">
        <f ca="1"/>
        <v>M/S Hasan Traders</v>
      </c>
      <c r="J275" t="str">
        <f ca="1"/>
        <v>Pangsha</v>
      </c>
      <c r="K275" t="str">
        <f ca="1"/>
        <v>LO00074</v>
      </c>
      <c r="L275" t="str">
        <f ca="1"/>
        <v>7100 4T 10W30 ESTER CORE®</v>
      </c>
      <c r="M275">
        <f ca="1"/>
        <v>36</v>
      </c>
      <c r="N275">
        <f ca="1"/>
        <v>1080</v>
      </c>
      <c r="O275">
        <f ca="1"/>
        <v>36</v>
      </c>
      <c r="P275">
        <f ca="1"/>
        <v>4.6296296296296502E-3</v>
      </c>
      <c r="Q275">
        <f ca="1"/>
        <v>0</v>
      </c>
      <c r="R275">
        <f ca="1"/>
        <v>1075</v>
      </c>
      <c r="S275">
        <f ca="1"/>
        <v>36</v>
      </c>
      <c r="T275">
        <f ca="1"/>
        <v>36</v>
      </c>
      <c r="U275">
        <f ca="1"/>
        <v>38880</v>
      </c>
      <c r="V275">
        <f ca="1"/>
        <v>0</v>
      </c>
      <c r="W275">
        <f ca="1"/>
        <v>38700</v>
      </c>
      <c r="X275">
        <f ca="1"/>
        <v>5047.826086956522</v>
      </c>
      <c r="Y275">
        <f ca="1"/>
        <v>33652.17391304348</v>
      </c>
      <c r="Z275" t="str">
        <f ca="1"/>
        <v>Cash</v>
      </c>
      <c r="AA275">
        <f ca="1"/>
        <v>639</v>
      </c>
      <c r="AB275" t="str">
        <f ca="1"/>
        <v>Regular</v>
      </c>
      <c r="AC275">
        <f ca="1"/>
        <v>45707</v>
      </c>
      <c r="AD275" t="str">
        <f ca="1"/>
        <v xml:space="preserve">delivery system :saudagar courier </v>
      </c>
      <c r="AE275" t="str">
        <f ca="1"/>
        <v>Central</v>
      </c>
      <c r="AF275" t="str">
        <f ca="1"/>
        <v>Synthetic</v>
      </c>
      <c r="AG275" t="str">
        <f ca="1"/>
        <v>MCO</v>
      </c>
      <c r="AH275" t="str">
        <f ca="1"/>
        <v>10W30</v>
      </c>
      <c r="AI275" t="str">
        <f ca="1"/>
        <v>7100</v>
      </c>
      <c r="AJ275">
        <f ca="1"/>
        <v>0</v>
      </c>
      <c r="AK275" t="str">
        <f ca="1"/>
        <v>12x1L</v>
      </c>
      <c r="AL275">
        <f ca="1"/>
        <v>24834.959999999999</v>
      </c>
      <c r="AM275">
        <f ca="1"/>
        <v>8817.2139130434807</v>
      </c>
      <c r="AN275" t="str">
        <f ca="1"/>
        <v>O-45698-D-0001</v>
      </c>
      <c r="AO275" t="str">
        <f ca="1"/>
        <v>Delivered</v>
      </c>
    </row>
    <row r="276" spans="1:41" x14ac:dyDescent="0.5">
      <c r="A276" t="str">
        <f ca="1"/>
        <v>F-172</v>
      </c>
      <c r="B276" s="1">
        <f ca="1"/>
        <v>45698</v>
      </c>
      <c r="C276" t="str">
        <f ca="1"/>
        <v>D-0001</v>
      </c>
      <c r="D276" t="str">
        <f ca="1"/>
        <v>Robel motors</v>
      </c>
      <c r="E276" t="str">
        <f ca="1"/>
        <v xml:space="preserve">akhra bazar,Kishoreganj </v>
      </c>
      <c r="F276">
        <f ca="1"/>
        <v>1918732041</v>
      </c>
      <c r="G276" t="str">
        <f ca="1"/>
        <v>Md.Mahfuzur Rahman</v>
      </c>
      <c r="H276" t="str">
        <f ca="1"/>
        <v>Abdul Matin</v>
      </c>
      <c r="I276" t="str">
        <f ca="1"/>
        <v>M/S Hasan Traders</v>
      </c>
      <c r="J276" t="str">
        <f ca="1"/>
        <v>Pangsha</v>
      </c>
      <c r="K276" t="str">
        <f ca="1"/>
        <v>LO00119</v>
      </c>
      <c r="L276" t="str">
        <f ca="1"/>
        <v>3000 4T 20W50</v>
      </c>
      <c r="M276">
        <f ca="1"/>
        <v>40</v>
      </c>
      <c r="N276">
        <f ca="1"/>
        <v>495</v>
      </c>
      <c r="O276">
        <f ca="1"/>
        <v>40</v>
      </c>
      <c r="P276">
        <f ca="1"/>
        <v>1.0101010101010055E-2</v>
      </c>
      <c r="Q276">
        <f ca="1"/>
        <v>0</v>
      </c>
      <c r="R276">
        <f ca="1"/>
        <v>490</v>
      </c>
      <c r="S276">
        <f ca="1"/>
        <v>40</v>
      </c>
      <c r="T276">
        <f ca="1"/>
        <v>40</v>
      </c>
      <c r="U276">
        <f ca="1"/>
        <v>19800</v>
      </c>
      <c r="V276">
        <f ca="1"/>
        <v>0</v>
      </c>
      <c r="W276">
        <f ca="1"/>
        <v>19600</v>
      </c>
      <c r="X276">
        <f ca="1"/>
        <v>2556.521739130435</v>
      </c>
      <c r="Y276">
        <f ca="1"/>
        <v>17043.478260869564</v>
      </c>
      <c r="Z276" t="str">
        <f ca="1"/>
        <v>Cash</v>
      </c>
      <c r="AA276">
        <f ca="1"/>
        <v>639</v>
      </c>
      <c r="AB276" t="str">
        <f ca="1"/>
        <v>Regular</v>
      </c>
      <c r="AC276">
        <f ca="1"/>
        <v>45707</v>
      </c>
      <c r="AD276" t="str">
        <f ca="1"/>
        <v xml:space="preserve">delivery system :saudagar courier </v>
      </c>
      <c r="AE276" t="str">
        <f ca="1"/>
        <v>Central</v>
      </c>
      <c r="AF276" t="str">
        <f ca="1"/>
        <v>Mineral</v>
      </c>
      <c r="AG276" t="str">
        <f ca="1"/>
        <v>MCO</v>
      </c>
      <c r="AH276" t="str">
        <f ca="1"/>
        <v>20W50</v>
      </c>
      <c r="AI276" t="str">
        <f ca="1"/>
        <v>3000</v>
      </c>
      <c r="AJ276">
        <f ca="1"/>
        <v>0</v>
      </c>
      <c r="AK276" t="str">
        <f ca="1"/>
        <v>20x1L</v>
      </c>
      <c r="AL276">
        <f ca="1"/>
        <v>14596.800000000001</v>
      </c>
      <c r="AM276">
        <f ca="1"/>
        <v>2446.678260869563</v>
      </c>
      <c r="AN276" t="str">
        <f ca="1"/>
        <v>O-45698-D-0001</v>
      </c>
      <c r="AO276" t="str">
        <f ca="1"/>
        <v>Delivered</v>
      </c>
    </row>
    <row r="277" spans="1:41" x14ac:dyDescent="0.5">
      <c r="A277" t="str">
        <f ca="1"/>
        <v>F-173</v>
      </c>
      <c r="B277" s="1">
        <f ca="1"/>
        <v>45706</v>
      </c>
      <c r="C277" t="str">
        <f ca="1"/>
        <v>D-0023</v>
      </c>
      <c r="D277" t="str">
        <f ca="1"/>
        <v>Magha Auto</v>
      </c>
      <c r="E277" t="str">
        <f ca="1"/>
        <v xml:space="preserve">Joldhaka Bazar,Nilphamari </v>
      </c>
      <c r="F277">
        <f ca="1"/>
        <v>1722254955</v>
      </c>
      <c r="G277" t="str">
        <f ca="1"/>
        <v>Monirul Islam</v>
      </c>
      <c r="H277" t="str">
        <f ca="1"/>
        <v>Raihan Siddiqui</v>
      </c>
      <c r="I277" t="str">
        <f ca="1"/>
        <v>Bondhu Motors</v>
      </c>
      <c r="J277" t="str">
        <f ca="1"/>
        <v>Rangpur</v>
      </c>
      <c r="K277" t="str">
        <f ca="1"/>
        <v>LO00041</v>
      </c>
      <c r="L277" t="str">
        <f ca="1"/>
        <v>3000 4T PLUS 10W30</v>
      </c>
      <c r="M277">
        <f ca="1"/>
        <v>80</v>
      </c>
      <c r="N277">
        <f ca="1"/>
        <v>540</v>
      </c>
      <c r="O277">
        <f ca="1"/>
        <v>80</v>
      </c>
      <c r="P277">
        <f ca="1"/>
        <v>0</v>
      </c>
      <c r="Q277">
        <f ca="1"/>
        <v>0</v>
      </c>
      <c r="R277">
        <f ca="1"/>
        <v>540</v>
      </c>
      <c r="S277">
        <f ca="1"/>
        <v>80</v>
      </c>
      <c r="T277">
        <f ca="1"/>
        <v>80</v>
      </c>
      <c r="U277">
        <f ca="1"/>
        <v>43200</v>
      </c>
      <c r="V277">
        <f ca="1"/>
        <v>0</v>
      </c>
      <c r="W277">
        <f ca="1"/>
        <v>43200</v>
      </c>
      <c r="X277">
        <f ca="1"/>
        <v>5634.782608695652</v>
      </c>
      <c r="Y277">
        <f ca="1"/>
        <v>37565.217391304344</v>
      </c>
      <c r="Z277" t="str">
        <f ca="1"/>
        <v>Cash</v>
      </c>
      <c r="AA277">
        <f ca="1"/>
        <v>640</v>
      </c>
      <c r="AB277" t="str">
        <f ca="1"/>
        <v>Regular</v>
      </c>
      <c r="AC277">
        <f ca="1"/>
        <v>45707</v>
      </c>
      <c r="AD277" t="str">
        <f ca="1"/>
        <v/>
      </c>
      <c r="AE277" t="str">
        <f ca="1"/>
        <v>Northern</v>
      </c>
      <c r="AF277" t="str">
        <f ca="1"/>
        <v>Mineral</v>
      </c>
      <c r="AG277" t="str">
        <f ca="1"/>
        <v>MCO</v>
      </c>
      <c r="AH277" t="str">
        <f ca="1"/>
        <v>10W30</v>
      </c>
      <c r="AI277" t="str">
        <f ca="1"/>
        <v>3000</v>
      </c>
      <c r="AJ277">
        <f ca="1"/>
        <v>0</v>
      </c>
      <c r="AK277" t="str">
        <f ca="1"/>
        <v>20x1L</v>
      </c>
      <c r="AL277">
        <f ca="1"/>
        <v>30346.399999999998</v>
      </c>
      <c r="AM277">
        <f ca="1"/>
        <v>7218.8173913043465</v>
      </c>
      <c r="AN277" t="str">
        <f ca="1"/>
        <v>O-45706-D-0023</v>
      </c>
      <c r="AO277" t="str">
        <f ca="1"/>
        <v>Delivered</v>
      </c>
    </row>
    <row r="278" spans="1:41" x14ac:dyDescent="0.5">
      <c r="A278" t="str">
        <f ca="1"/>
        <v>F-173</v>
      </c>
      <c r="B278" s="1">
        <f ca="1"/>
        <v>45706</v>
      </c>
      <c r="C278" t="str">
        <f ca="1"/>
        <v>D-0023</v>
      </c>
      <c r="D278" t="str">
        <f ca="1"/>
        <v>Magha Auto</v>
      </c>
      <c r="E278" t="str">
        <f ca="1"/>
        <v xml:space="preserve">Joldhaka Bazar,Nilphamari </v>
      </c>
      <c r="F278">
        <f ca="1"/>
        <v>1722254955</v>
      </c>
      <c r="G278" t="str">
        <f ca="1"/>
        <v>Monirul Islam</v>
      </c>
      <c r="H278" t="str">
        <f ca="1"/>
        <v>Raihan Siddiqui</v>
      </c>
      <c r="I278" t="str">
        <f ca="1"/>
        <v>Bondhu Motors</v>
      </c>
      <c r="J278" t="str">
        <f ca="1"/>
        <v>Rangpur</v>
      </c>
      <c r="K278" t="str">
        <f ca="1"/>
        <v>LO00043</v>
      </c>
      <c r="L278" t="str">
        <f ca="1"/>
        <v>3000 4T PLUS 10W40</v>
      </c>
      <c r="M278">
        <f ca="1"/>
        <v>80</v>
      </c>
      <c r="N278">
        <f ca="1"/>
        <v>550</v>
      </c>
      <c r="O278">
        <f ca="1"/>
        <v>80</v>
      </c>
      <c r="P278">
        <f ca="1"/>
        <v>0</v>
      </c>
      <c r="Q278">
        <f ca="1"/>
        <v>0</v>
      </c>
      <c r="R278">
        <f ca="1"/>
        <v>550</v>
      </c>
      <c r="S278">
        <f ca="1"/>
        <v>80</v>
      </c>
      <c r="T278">
        <f ca="1"/>
        <v>80</v>
      </c>
      <c r="U278">
        <f ca="1"/>
        <v>44000</v>
      </c>
      <c r="V278">
        <f ca="1"/>
        <v>0</v>
      </c>
      <c r="W278">
        <f ca="1"/>
        <v>44000</v>
      </c>
      <c r="X278">
        <f ca="1"/>
        <v>5739.130434782609</v>
      </c>
      <c r="Y278">
        <f ca="1"/>
        <v>38260.869565217392</v>
      </c>
      <c r="Z278" t="str">
        <f ca="1"/>
        <v>Cash</v>
      </c>
      <c r="AA278">
        <f ca="1"/>
        <v>640</v>
      </c>
      <c r="AB278" t="str">
        <f ca="1"/>
        <v>Regular</v>
      </c>
      <c r="AC278">
        <f ca="1"/>
        <v>45707</v>
      </c>
      <c r="AD278" t="str">
        <f ca="1"/>
        <v/>
      </c>
      <c r="AE278" t="str">
        <f ca="1"/>
        <v>Northern</v>
      </c>
      <c r="AF278" t="str">
        <f ca="1"/>
        <v>Mineral</v>
      </c>
      <c r="AG278" t="str">
        <f ca="1"/>
        <v>MCO</v>
      </c>
      <c r="AH278" t="str">
        <f ca="1"/>
        <v>10W40</v>
      </c>
      <c r="AI278" t="str">
        <f ca="1"/>
        <v>3000</v>
      </c>
      <c r="AJ278">
        <f ca="1"/>
        <v>0</v>
      </c>
      <c r="AK278" t="str">
        <f ca="1"/>
        <v>20x1L</v>
      </c>
      <c r="AL278">
        <f ca="1"/>
        <v>30788</v>
      </c>
      <c r="AM278">
        <f ca="1"/>
        <v>7472.8695652173919</v>
      </c>
      <c r="AN278" t="str">
        <f ca="1"/>
        <v>O-45706-D-0023</v>
      </c>
      <c r="AO278" t="str">
        <f ca="1"/>
        <v>Delivered</v>
      </c>
    </row>
    <row r="279" spans="1:41" x14ac:dyDescent="0.5">
      <c r="A279" t="str">
        <f ca="1"/>
        <v>F-173</v>
      </c>
      <c r="B279" s="1">
        <f ca="1"/>
        <v>45706</v>
      </c>
      <c r="C279" t="str">
        <f ca="1"/>
        <v>D-0023</v>
      </c>
      <c r="D279" t="str">
        <f ca="1"/>
        <v>Magha Auto</v>
      </c>
      <c r="E279" t="str">
        <f ca="1"/>
        <v xml:space="preserve">Joldhaka Bazar,Nilphamari </v>
      </c>
      <c r="F279">
        <f ca="1"/>
        <v>1722254955</v>
      </c>
      <c r="G279" t="str">
        <f ca="1"/>
        <v>Monirul Islam</v>
      </c>
      <c r="H279" t="str">
        <f ca="1"/>
        <v>Raihan Siddiqui</v>
      </c>
      <c r="I279" t="str">
        <f ca="1"/>
        <v>Bondhu Motors</v>
      </c>
      <c r="J279" t="str">
        <f ca="1"/>
        <v>Rangpur</v>
      </c>
      <c r="K279" t="str">
        <f ca="1"/>
        <v>LO00074</v>
      </c>
      <c r="L279" t="str">
        <f ca="1"/>
        <v>7100 4T 10W30 ESTER CORE®</v>
      </c>
      <c r="M279">
        <f ca="1"/>
        <v>12</v>
      </c>
      <c r="N279">
        <f ca="1"/>
        <v>1080</v>
      </c>
      <c r="O279">
        <f ca="1"/>
        <v>12</v>
      </c>
      <c r="P279">
        <f ca="1"/>
        <v>0</v>
      </c>
      <c r="Q279">
        <f ca="1"/>
        <v>0</v>
      </c>
      <c r="R279">
        <f ca="1"/>
        <v>1080</v>
      </c>
      <c r="S279">
        <f ca="1"/>
        <v>12</v>
      </c>
      <c r="T279">
        <f ca="1"/>
        <v>12</v>
      </c>
      <c r="U279">
        <f ca="1"/>
        <v>12960</v>
      </c>
      <c r="V279">
        <f ca="1"/>
        <v>0</v>
      </c>
      <c r="W279">
        <f ca="1"/>
        <v>12960</v>
      </c>
      <c r="X279">
        <f ca="1"/>
        <v>1690.4347826086957</v>
      </c>
      <c r="Y279">
        <f ca="1"/>
        <v>11269.565217391304</v>
      </c>
      <c r="Z279" t="str">
        <f ca="1"/>
        <v>Cash</v>
      </c>
      <c r="AA279">
        <f ca="1"/>
        <v>640</v>
      </c>
      <c r="AB279" t="str">
        <f ca="1"/>
        <v>Regular</v>
      </c>
      <c r="AC279">
        <f ca="1"/>
        <v>45707</v>
      </c>
      <c r="AD279" t="str">
        <f ca="1"/>
        <v/>
      </c>
      <c r="AE279" t="str">
        <f ca="1"/>
        <v>Northern</v>
      </c>
      <c r="AF279" t="str">
        <f ca="1"/>
        <v>Synthetic</v>
      </c>
      <c r="AG279" t="str">
        <f ca="1"/>
        <v>MCO</v>
      </c>
      <c r="AH279" t="str">
        <f ca="1"/>
        <v>10W30</v>
      </c>
      <c r="AI279" t="str">
        <f ca="1"/>
        <v>7100</v>
      </c>
      <c r="AJ279">
        <f ca="1"/>
        <v>0</v>
      </c>
      <c r="AK279" t="str">
        <f ca="1"/>
        <v>12x1L</v>
      </c>
      <c r="AL279">
        <f ca="1"/>
        <v>8278.32</v>
      </c>
      <c r="AM279">
        <f ca="1"/>
        <v>2991.2452173913043</v>
      </c>
      <c r="AN279" t="str">
        <f ca="1"/>
        <v>O-45706-D-0023</v>
      </c>
      <c r="AO279" t="str">
        <f ca="1"/>
        <v>Delivered</v>
      </c>
    </row>
    <row r="280" spans="1:41" x14ac:dyDescent="0.5">
      <c r="A280" t="str">
        <f ca="1"/>
        <v>F-174</v>
      </c>
      <c r="B280" s="1">
        <f ca="1"/>
        <v>45706</v>
      </c>
      <c r="C280" t="str">
        <f ca="1"/>
        <v>D-0014</v>
      </c>
      <c r="D280" t="str">
        <f ca="1"/>
        <v>Mohammad Lube House</v>
      </c>
      <c r="E280" t="str">
        <f ca="1"/>
        <v>Dharmopur, Cumilla</v>
      </c>
      <c r="F280" t="str">
        <f ca="1"/>
        <v>01728-083399</v>
      </c>
      <c r="G280" t="str">
        <f ca="1"/>
        <v>Md. Robin Sheikh</v>
      </c>
      <c r="H280" t="str">
        <f ca="1"/>
        <v>Razur Rahman (Bipul)</v>
      </c>
      <c r="I280" t="str">
        <f ca="1"/>
        <v>City Lubricants</v>
      </c>
      <c r="J280" t="str">
        <f ca="1"/>
        <v>Paduar Bazar Bisso Road</v>
      </c>
      <c r="K280" t="str">
        <f ca="1"/>
        <v>LO00043</v>
      </c>
      <c r="L280" t="str">
        <f ca="1"/>
        <v>3000 4T PLUS 10W40</v>
      </c>
      <c r="M280">
        <f ca="1"/>
        <v>100</v>
      </c>
      <c r="N280">
        <f ca="1"/>
        <v>550</v>
      </c>
      <c r="O280">
        <f ca="1"/>
        <v>100</v>
      </c>
      <c r="P280">
        <f ca="1"/>
        <v>0</v>
      </c>
      <c r="Q280">
        <f ca="1"/>
        <v>0</v>
      </c>
      <c r="R280">
        <f ca="1"/>
        <v>550</v>
      </c>
      <c r="S280">
        <f ca="1"/>
        <v>100</v>
      </c>
      <c r="T280">
        <f ca="1"/>
        <v>100</v>
      </c>
      <c r="U280">
        <f ca="1"/>
        <v>55000</v>
      </c>
      <c r="V280">
        <f ca="1"/>
        <v>0</v>
      </c>
      <c r="W280">
        <f ca="1"/>
        <v>55000</v>
      </c>
      <c r="X280">
        <f ca="1"/>
        <v>7173.913043478261</v>
      </c>
      <c r="Y280">
        <f ca="1"/>
        <v>47826.086956521736</v>
      </c>
      <c r="Z280" t="str">
        <f ca="1"/>
        <v>Cash</v>
      </c>
      <c r="AA280">
        <f ca="1"/>
        <v>641</v>
      </c>
      <c r="AB280" t="str">
        <f ca="1"/>
        <v>Regular</v>
      </c>
      <c r="AC280">
        <f ca="1"/>
        <v>45707</v>
      </c>
      <c r="AD280" t="str">
        <f ca="1"/>
        <v/>
      </c>
      <c r="AE280" t="str">
        <f ca="1"/>
        <v>Eastern</v>
      </c>
      <c r="AF280" t="str">
        <f ca="1"/>
        <v>Mineral</v>
      </c>
      <c r="AG280" t="str">
        <f ca="1"/>
        <v>MCO</v>
      </c>
      <c r="AH280" t="str">
        <f ca="1"/>
        <v>10W40</v>
      </c>
      <c r="AI280" t="str">
        <f ca="1"/>
        <v>3000</v>
      </c>
      <c r="AJ280">
        <f ca="1"/>
        <v>0</v>
      </c>
      <c r="AK280" t="str">
        <f ca="1"/>
        <v>20x1L</v>
      </c>
      <c r="AL280">
        <f ca="1"/>
        <v>38485</v>
      </c>
      <c r="AM280">
        <f ca="1"/>
        <v>9341.0869565217363</v>
      </c>
      <c r="AN280" t="str">
        <f ca="1"/>
        <v>O-45706-D-0014</v>
      </c>
      <c r="AO280" t="str">
        <f ca="1"/>
        <v>Delivered</v>
      </c>
    </row>
    <row r="281" spans="1:41" x14ac:dyDescent="0.5">
      <c r="A281" t="str">
        <f ca="1"/>
        <v>F-169</v>
      </c>
      <c r="B281" s="1">
        <f ca="1"/>
        <v>45704</v>
      </c>
      <c r="C281" t="str">
        <f ca="1"/>
        <v>D-0023</v>
      </c>
      <c r="D281" t="str">
        <f ca="1"/>
        <v xml:space="preserve">Zam Zam Traders </v>
      </c>
      <c r="E281" t="str">
        <f ca="1"/>
        <v>Zam Zam tower,Housing Mor,Madical Road,Dinajpur</v>
      </c>
      <c r="F281">
        <f ca="1"/>
        <v>1682261616</v>
      </c>
      <c r="G281" t="str">
        <f ca="1"/>
        <v>Monirul Islam</v>
      </c>
      <c r="H281" t="str">
        <f ca="1"/>
        <v>Raihan Siddiqui</v>
      </c>
      <c r="I281" t="str">
        <f ca="1"/>
        <v>Bondhu Motors</v>
      </c>
      <c r="J281" t="str">
        <f ca="1"/>
        <v>Rangpur</v>
      </c>
      <c r="K281" t="str">
        <f ca="1"/>
        <v>LO00041</v>
      </c>
      <c r="L281" t="str">
        <f ca="1"/>
        <v>3000 4T PLUS 10W30</v>
      </c>
      <c r="M281">
        <f ca="1"/>
        <v>20</v>
      </c>
      <c r="N281">
        <f ca="1"/>
        <v>540</v>
      </c>
      <c r="O281">
        <f ca="1"/>
        <v>20</v>
      </c>
      <c r="P281">
        <f ca="1"/>
        <v>9.2592592592593004E-3</v>
      </c>
      <c r="Q281">
        <f ca="1"/>
        <v>0</v>
      </c>
      <c r="R281">
        <f ca="1"/>
        <v>535</v>
      </c>
      <c r="S281">
        <f ca="1"/>
        <v>20</v>
      </c>
      <c r="T281">
        <f ca="1"/>
        <v>20</v>
      </c>
      <c r="U281">
        <f ca="1"/>
        <v>10800</v>
      </c>
      <c r="V281">
        <f ca="1"/>
        <v>0</v>
      </c>
      <c r="W281">
        <f ca="1"/>
        <v>10700</v>
      </c>
      <c r="X281">
        <f ca="1"/>
        <v>1395.6521739130435</v>
      </c>
      <c r="Y281">
        <f ca="1"/>
        <v>9304.347826086956</v>
      </c>
      <c r="Z281" t="str">
        <f ca="1"/>
        <v>Cash</v>
      </c>
      <c r="AA281">
        <f ca="1"/>
        <v>636</v>
      </c>
      <c r="AB281" t="str">
        <f ca="1"/>
        <v>Regular</v>
      </c>
      <c r="AC281">
        <f ca="1"/>
        <v>45707</v>
      </c>
      <c r="AD281" t="str">
        <f ca="1"/>
        <v/>
      </c>
      <c r="AE281" t="str">
        <f ca="1"/>
        <v>Northern</v>
      </c>
      <c r="AF281" t="str">
        <f ca="1"/>
        <v>Mineral</v>
      </c>
      <c r="AG281" t="str">
        <f ca="1"/>
        <v>MCO</v>
      </c>
      <c r="AH281" t="str">
        <f ca="1"/>
        <v>10W30</v>
      </c>
      <c r="AI281" t="str">
        <f ca="1"/>
        <v>3000</v>
      </c>
      <c r="AJ281">
        <f ca="1"/>
        <v>0</v>
      </c>
      <c r="AK281" t="str">
        <f ca="1"/>
        <v>20x1L</v>
      </c>
      <c r="AL281">
        <f ca="1"/>
        <v>7586.5999999999995</v>
      </c>
      <c r="AM281">
        <f ca="1"/>
        <v>1717.7478260869566</v>
      </c>
      <c r="AN281" t="str">
        <f ca="1"/>
        <v>O-45704-D-0023</v>
      </c>
      <c r="AO281" t="str">
        <f ca="1"/>
        <v>Delivered</v>
      </c>
    </row>
    <row r="282" spans="1:41" x14ac:dyDescent="0.5">
      <c r="A282" t="str">
        <f ca="1"/>
        <v>F-169</v>
      </c>
      <c r="B282" s="1">
        <f ca="1"/>
        <v>45704</v>
      </c>
      <c r="C282" t="str">
        <f ca="1"/>
        <v>D-0023</v>
      </c>
      <c r="D282" t="str">
        <f ca="1"/>
        <v xml:space="preserve">Zam Zam Traders </v>
      </c>
      <c r="E282" t="str">
        <f ca="1"/>
        <v>Zam Zam tower,Housing Mor,Madical Road,Dinajpur</v>
      </c>
      <c r="F282">
        <f ca="1"/>
        <v>1682261616</v>
      </c>
      <c r="G282" t="str">
        <f ca="1"/>
        <v>Monirul Islam</v>
      </c>
      <c r="H282" t="str">
        <f ca="1"/>
        <v>Raihan Siddiqui</v>
      </c>
      <c r="I282" t="str">
        <f ca="1"/>
        <v>Bondhu Motors</v>
      </c>
      <c r="J282" t="str">
        <f ca="1"/>
        <v>Rangpur</v>
      </c>
      <c r="K282" t="str">
        <f ca="1"/>
        <v>LO00042</v>
      </c>
      <c r="L282" t="str">
        <f ca="1"/>
        <v>3000 4T PLUS 20W40</v>
      </c>
      <c r="M282">
        <f ca="1"/>
        <v>20</v>
      </c>
      <c r="N282">
        <f ca="1"/>
        <v>535</v>
      </c>
      <c r="O282">
        <f ca="1"/>
        <v>20</v>
      </c>
      <c r="P282">
        <f ca="1"/>
        <v>9.3457943925233655E-3</v>
      </c>
      <c r="Q282">
        <f ca="1"/>
        <v>0</v>
      </c>
      <c r="R282">
        <f ca="1"/>
        <v>530</v>
      </c>
      <c r="S282">
        <f ca="1"/>
        <v>20</v>
      </c>
      <c r="T282">
        <f ca="1"/>
        <v>20</v>
      </c>
      <c r="U282">
        <f ca="1"/>
        <v>10700</v>
      </c>
      <c r="V282">
        <f ca="1"/>
        <v>0</v>
      </c>
      <c r="W282">
        <f ca="1"/>
        <v>10600</v>
      </c>
      <c r="X282">
        <f ca="1"/>
        <v>1382.608695652174</v>
      </c>
      <c r="Y282">
        <f ca="1"/>
        <v>9217.391304347826</v>
      </c>
      <c r="Z282" t="str">
        <f ca="1"/>
        <v>Cash</v>
      </c>
      <c r="AA282">
        <f ca="1"/>
        <v>636</v>
      </c>
      <c r="AB282" t="str">
        <f ca="1"/>
        <v>Regular</v>
      </c>
      <c r="AC282">
        <f ca="1"/>
        <v>45707</v>
      </c>
      <c r="AD282" t="str">
        <f ca="1"/>
        <v/>
      </c>
      <c r="AE282" t="str">
        <f ca="1"/>
        <v>Northern</v>
      </c>
      <c r="AF282" t="str">
        <f ca="1"/>
        <v>Mineral</v>
      </c>
      <c r="AG282" t="str">
        <f ca="1"/>
        <v>MCO</v>
      </c>
      <c r="AH282" t="str">
        <f ca="1"/>
        <v>20W40</v>
      </c>
      <c r="AI282" t="str">
        <f ca="1"/>
        <v>3000</v>
      </c>
      <c r="AJ282">
        <f ca="1"/>
        <v>0</v>
      </c>
      <c r="AK282" t="str">
        <f ca="1"/>
        <v>20x1L</v>
      </c>
      <c r="AL282">
        <f ca="1"/>
        <v>8255.2000000000007</v>
      </c>
      <c r="AM282">
        <f ca="1"/>
        <v>962.19130434782528</v>
      </c>
      <c r="AN282" t="str">
        <f ca="1"/>
        <v>O-45704-D-0023</v>
      </c>
      <c r="AO282" t="str">
        <f ca="1"/>
        <v>Delivered</v>
      </c>
    </row>
    <row r="283" spans="1:41" x14ac:dyDescent="0.5">
      <c r="A283" t="str">
        <f ca="1"/>
        <v>F-169</v>
      </c>
      <c r="B283" s="1">
        <f ca="1"/>
        <v>45704</v>
      </c>
      <c r="C283" t="str">
        <f ca="1"/>
        <v>D-0023</v>
      </c>
      <c r="D283" t="str">
        <f ca="1"/>
        <v xml:space="preserve">Zam Zam Traders </v>
      </c>
      <c r="E283" t="str">
        <f ca="1"/>
        <v>Zam Zam tower,Housing Mor,Madical Road,Dinajpur</v>
      </c>
      <c r="F283">
        <f ca="1"/>
        <v>1682261616</v>
      </c>
      <c r="G283" t="str">
        <f ca="1"/>
        <v>Monirul Islam</v>
      </c>
      <c r="H283" t="str">
        <f ca="1"/>
        <v>Raihan Siddiqui</v>
      </c>
      <c r="I283" t="str">
        <f ca="1"/>
        <v>Bondhu Motors</v>
      </c>
      <c r="J283" t="str">
        <f ca="1"/>
        <v>Rangpur</v>
      </c>
      <c r="K283" t="str">
        <f ca="1"/>
        <v>LO00043</v>
      </c>
      <c r="L283" t="str">
        <f ca="1"/>
        <v>3000 4T PLUS 10W40</v>
      </c>
      <c r="M283">
        <f ca="1"/>
        <v>20</v>
      </c>
      <c r="N283">
        <f ca="1"/>
        <v>550</v>
      </c>
      <c r="O283">
        <f ca="1"/>
        <v>20</v>
      </c>
      <c r="P283">
        <f ca="1"/>
        <v>9.0909090909090384E-3</v>
      </c>
      <c r="Q283">
        <f ca="1"/>
        <v>0</v>
      </c>
      <c r="R283">
        <f ca="1"/>
        <v>545</v>
      </c>
      <c r="S283">
        <f ca="1"/>
        <v>20</v>
      </c>
      <c r="T283">
        <f ca="1"/>
        <v>20</v>
      </c>
      <c r="U283">
        <f ca="1"/>
        <v>11000</v>
      </c>
      <c r="V283">
        <f ca="1"/>
        <v>0</v>
      </c>
      <c r="W283">
        <f ca="1"/>
        <v>10900</v>
      </c>
      <c r="X283">
        <f ca="1"/>
        <v>1421.7391304347825</v>
      </c>
      <c r="Y283">
        <f ca="1"/>
        <v>9478.2608695652179</v>
      </c>
      <c r="Z283" t="str">
        <f ca="1"/>
        <v>Cash</v>
      </c>
      <c r="AA283">
        <f ca="1"/>
        <v>636</v>
      </c>
      <c r="AB283" t="str">
        <f ca="1"/>
        <v>Regular</v>
      </c>
      <c r="AC283">
        <f ca="1"/>
        <v>45707</v>
      </c>
      <c r="AD283" t="str">
        <f ca="1"/>
        <v/>
      </c>
      <c r="AE283" t="str">
        <f ca="1"/>
        <v>Northern</v>
      </c>
      <c r="AF283" t="str">
        <f ca="1"/>
        <v>Mineral</v>
      </c>
      <c r="AG283" t="str">
        <f ca="1"/>
        <v>MCO</v>
      </c>
      <c r="AH283" t="str">
        <f ca="1"/>
        <v>10W40</v>
      </c>
      <c r="AI283" t="str">
        <f ca="1"/>
        <v>3000</v>
      </c>
      <c r="AJ283">
        <f ca="1"/>
        <v>0</v>
      </c>
      <c r="AK283" t="str">
        <f ca="1"/>
        <v>20x1L</v>
      </c>
      <c r="AL283">
        <f ca="1"/>
        <v>7697</v>
      </c>
      <c r="AM283">
        <f ca="1"/>
        <v>1781.2608695652179</v>
      </c>
      <c r="AN283" t="str">
        <f ca="1"/>
        <v>O-45704-D-0023</v>
      </c>
      <c r="AO283" t="str">
        <f ca="1"/>
        <v>Delivered</v>
      </c>
    </row>
    <row r="284" spans="1:41" x14ac:dyDescent="0.5">
      <c r="A284" t="str">
        <f ca="1"/>
        <v>F-169</v>
      </c>
      <c r="B284" s="1">
        <f ca="1"/>
        <v>45704</v>
      </c>
      <c r="C284" t="str">
        <f ca="1"/>
        <v>D-0023</v>
      </c>
      <c r="D284" t="str">
        <f ca="1"/>
        <v xml:space="preserve">Zam Zam Traders </v>
      </c>
      <c r="E284" t="str">
        <f ca="1"/>
        <v>Zam Zam tower,Housing Mor,Madical Road,Dinajpur</v>
      </c>
      <c r="F284">
        <f ca="1"/>
        <v>1682261616</v>
      </c>
      <c r="G284" t="str">
        <f ca="1"/>
        <v>Monirul Islam</v>
      </c>
      <c r="H284" t="str">
        <f ca="1"/>
        <v>Raihan Siddiqui</v>
      </c>
      <c r="I284" t="str">
        <f ca="1"/>
        <v>Bondhu Motors</v>
      </c>
      <c r="J284" t="str">
        <f ca="1"/>
        <v>Rangpur</v>
      </c>
      <c r="K284" t="str">
        <f ca="1"/>
        <v>LO00044</v>
      </c>
      <c r="L284" t="str">
        <f ca="1"/>
        <v>31004T GOLD 20W50</v>
      </c>
      <c r="M284">
        <f ca="1"/>
        <v>40</v>
      </c>
      <c r="N284">
        <f ca="1"/>
        <v>600</v>
      </c>
      <c r="O284">
        <f ca="1"/>
        <v>40</v>
      </c>
      <c r="P284">
        <f ca="1"/>
        <v>8.3333333333333037E-3</v>
      </c>
      <c r="Q284">
        <f ca="1"/>
        <v>0</v>
      </c>
      <c r="R284">
        <f ca="1"/>
        <v>595</v>
      </c>
      <c r="S284">
        <f ca="1"/>
        <v>40</v>
      </c>
      <c r="T284">
        <f ca="1"/>
        <v>40</v>
      </c>
      <c r="U284">
        <f ca="1"/>
        <v>24000</v>
      </c>
      <c r="V284">
        <f ca="1"/>
        <v>0</v>
      </c>
      <c r="W284">
        <f ca="1"/>
        <v>23800</v>
      </c>
      <c r="X284">
        <f ca="1"/>
        <v>3104.3478260869565</v>
      </c>
      <c r="Y284">
        <f ca="1"/>
        <v>20695.652173913044</v>
      </c>
      <c r="Z284" t="str">
        <f ca="1"/>
        <v>Cash</v>
      </c>
      <c r="AA284">
        <f ca="1"/>
        <v>636</v>
      </c>
      <c r="AB284" t="str">
        <f ca="1"/>
        <v>Regular</v>
      </c>
      <c r="AC284">
        <f ca="1"/>
        <v>45707</v>
      </c>
      <c r="AD284" t="str">
        <f ca="1"/>
        <v/>
      </c>
      <c r="AE284" t="str">
        <f ca="1"/>
        <v>Northern</v>
      </c>
      <c r="AF284" t="str">
        <f ca="1"/>
        <v>Technosynthese</v>
      </c>
      <c r="AG284" t="str">
        <f ca="1"/>
        <v>MCO</v>
      </c>
      <c r="AH284" t="str">
        <f ca="1"/>
        <v>20W50</v>
      </c>
      <c r="AI284" t="str">
        <f ca="1"/>
        <v>3100</v>
      </c>
      <c r="AJ284">
        <f ca="1"/>
        <v>0</v>
      </c>
      <c r="AK284" t="str">
        <f ca="1"/>
        <v>20x1L</v>
      </c>
      <c r="AL284">
        <f ca="1"/>
        <v>18775.599999999999</v>
      </c>
      <c r="AM284">
        <f ca="1"/>
        <v>1920.0521739130454</v>
      </c>
      <c r="AN284" t="str">
        <f ca="1"/>
        <v>O-45704-D-0023</v>
      </c>
      <c r="AO284" t="str">
        <f ca="1"/>
        <v>Delivered</v>
      </c>
    </row>
    <row r="285" spans="1:41" x14ac:dyDescent="0.5">
      <c r="A285" t="str">
        <f ca="1"/>
        <v>F-169</v>
      </c>
      <c r="B285" s="1">
        <f ca="1"/>
        <v>45704</v>
      </c>
      <c r="C285" t="str">
        <f ca="1"/>
        <v>D-0023</v>
      </c>
      <c r="D285" t="str">
        <f ca="1"/>
        <v xml:space="preserve">Zam Zam Traders </v>
      </c>
      <c r="E285" t="str">
        <f ca="1"/>
        <v>Zam Zam tower,Housing Mor,Madical Road,Dinajpur</v>
      </c>
      <c r="F285">
        <f ca="1"/>
        <v>1682261616</v>
      </c>
      <c r="G285" t="str">
        <f ca="1"/>
        <v>Monirul Islam</v>
      </c>
      <c r="H285" t="str">
        <f ca="1"/>
        <v>Raihan Siddiqui</v>
      </c>
      <c r="I285" t="str">
        <f ca="1"/>
        <v>Bondhu Motors</v>
      </c>
      <c r="J285" t="str">
        <f ca="1"/>
        <v>Rangpur</v>
      </c>
      <c r="K285" t="str">
        <f ca="1"/>
        <v>LO00071</v>
      </c>
      <c r="L285" t="str">
        <f ca="1"/>
        <v>31004T GOLD 10W30</v>
      </c>
      <c r="M285">
        <f ca="1"/>
        <v>20</v>
      </c>
      <c r="N285">
        <f ca="1"/>
        <v>600</v>
      </c>
      <c r="O285">
        <f ca="1"/>
        <v>20</v>
      </c>
      <c r="P285">
        <f ca="1"/>
        <v>8.3333333333333037E-3</v>
      </c>
      <c r="Q285">
        <f ca="1"/>
        <v>0</v>
      </c>
      <c r="R285">
        <f ca="1"/>
        <v>595</v>
      </c>
      <c r="S285">
        <f ca="1"/>
        <v>20</v>
      </c>
      <c r="T285">
        <f ca="1"/>
        <v>20</v>
      </c>
      <c r="U285">
        <f ca="1"/>
        <v>12000</v>
      </c>
      <c r="V285">
        <f ca="1"/>
        <v>0</v>
      </c>
      <c r="W285">
        <f ca="1"/>
        <v>11900</v>
      </c>
      <c r="X285">
        <f ca="1"/>
        <v>1552.1739130434783</v>
      </c>
      <c r="Y285">
        <f ca="1"/>
        <v>10347.826086956522</v>
      </c>
      <c r="Z285" t="str">
        <f ca="1"/>
        <v>Cash</v>
      </c>
      <c r="AA285">
        <f ca="1"/>
        <v>636</v>
      </c>
      <c r="AB285" t="str">
        <f ca="1"/>
        <v>Regular</v>
      </c>
      <c r="AC285">
        <f ca="1"/>
        <v>45707</v>
      </c>
      <c r="AD285" t="str">
        <f ca="1"/>
        <v/>
      </c>
      <c r="AE285" t="str">
        <f ca="1"/>
        <v>Northern</v>
      </c>
      <c r="AF285" t="str">
        <f ca="1"/>
        <v>Technosynthese</v>
      </c>
      <c r="AG285" t="str">
        <f ca="1"/>
        <v>MCO</v>
      </c>
      <c r="AH285" t="str">
        <f ca="1"/>
        <v>10W30</v>
      </c>
      <c r="AI285" t="str">
        <f ca="1"/>
        <v>3100</v>
      </c>
      <c r="AJ285">
        <f ca="1"/>
        <v>0</v>
      </c>
      <c r="AK285" t="str">
        <f ca="1"/>
        <v>20x1L</v>
      </c>
      <c r="AL285">
        <f ca="1"/>
        <v>8502</v>
      </c>
      <c r="AM285">
        <f ca="1"/>
        <v>1845.826086956522</v>
      </c>
      <c r="AN285" t="str">
        <f ca="1"/>
        <v>O-45704-D-0023</v>
      </c>
      <c r="AO285" t="str">
        <f ca="1"/>
        <v>Delivered</v>
      </c>
    </row>
    <row r="286" spans="1:41" x14ac:dyDescent="0.5">
      <c r="A286" t="str">
        <f ca="1"/>
        <v>F-169</v>
      </c>
      <c r="B286" s="1">
        <f ca="1"/>
        <v>45704</v>
      </c>
      <c r="C286" t="str">
        <f ca="1"/>
        <v>D-0023</v>
      </c>
      <c r="D286" t="str">
        <f ca="1"/>
        <v xml:space="preserve">Zam Zam Traders </v>
      </c>
      <c r="E286" t="str">
        <f ca="1"/>
        <v>Zam Zam tower,Housing Mor,Madical Road,Dinajpur</v>
      </c>
      <c r="F286">
        <f ca="1"/>
        <v>1682261616</v>
      </c>
      <c r="G286" t="str">
        <f ca="1"/>
        <v>Monirul Islam</v>
      </c>
      <c r="H286" t="str">
        <f ca="1"/>
        <v>Raihan Siddiqui</v>
      </c>
      <c r="I286" t="str">
        <f ca="1"/>
        <v>Bondhu Motors</v>
      </c>
      <c r="J286" t="str">
        <f ca="1"/>
        <v>Rangpur</v>
      </c>
      <c r="K286" t="str">
        <f ca="1"/>
        <v>LO00045</v>
      </c>
      <c r="L286" t="str">
        <f ca="1"/>
        <v>51004T 10W30 ESTER</v>
      </c>
      <c r="M286">
        <f ca="1"/>
        <v>12</v>
      </c>
      <c r="N286">
        <f ca="1"/>
        <v>860</v>
      </c>
      <c r="O286">
        <f ca="1"/>
        <v>12</v>
      </c>
      <c r="P286">
        <f ca="1"/>
        <v>5.8139534883721034E-3</v>
      </c>
      <c r="Q286">
        <f ca="1"/>
        <v>0</v>
      </c>
      <c r="R286">
        <f ca="1"/>
        <v>855</v>
      </c>
      <c r="S286">
        <f ca="1"/>
        <v>12</v>
      </c>
      <c r="T286">
        <f ca="1"/>
        <v>12</v>
      </c>
      <c r="U286">
        <f ca="1"/>
        <v>10320</v>
      </c>
      <c r="V286">
        <f ca="1"/>
        <v>0</v>
      </c>
      <c r="W286">
        <f ca="1"/>
        <v>10260</v>
      </c>
      <c r="X286">
        <f ca="1"/>
        <v>1338.2608695652175</v>
      </c>
      <c r="Y286">
        <f ca="1"/>
        <v>8921.7391304347821</v>
      </c>
      <c r="Z286" t="str">
        <f ca="1"/>
        <v>Cash</v>
      </c>
      <c r="AA286">
        <f ca="1"/>
        <v>636</v>
      </c>
      <c r="AB286" t="str">
        <f ca="1"/>
        <v>Regular</v>
      </c>
      <c r="AC286">
        <f ca="1"/>
        <v>45707</v>
      </c>
      <c r="AD286" t="str">
        <f ca="1"/>
        <v/>
      </c>
      <c r="AE286" t="str">
        <f ca="1"/>
        <v>Northern</v>
      </c>
      <c r="AF286" t="str">
        <f ca="1"/>
        <v>Technosynthese</v>
      </c>
      <c r="AG286" t="str">
        <f ca="1"/>
        <v>MCO</v>
      </c>
      <c r="AH286" t="str">
        <f ca="1"/>
        <v>10W30</v>
      </c>
      <c r="AI286" t="str">
        <f ca="1"/>
        <v>5100</v>
      </c>
      <c r="AJ286">
        <f ca="1"/>
        <v>0</v>
      </c>
      <c r="AK286" t="str">
        <f ca="1"/>
        <v>12x1L</v>
      </c>
      <c r="AL286">
        <f ca="1"/>
        <v>7231.68</v>
      </c>
      <c r="AM286">
        <f ca="1"/>
        <v>1690.0591304347818</v>
      </c>
      <c r="AN286" t="str">
        <f ca="1"/>
        <v>O-45704-D-0023</v>
      </c>
      <c r="AO286" t="str">
        <f ca="1"/>
        <v>Delivered</v>
      </c>
    </row>
    <row r="287" spans="1:41" x14ac:dyDescent="0.5">
      <c r="A287" t="str">
        <f ca="1"/>
        <v>F-169</v>
      </c>
      <c r="B287" s="1">
        <f ca="1"/>
        <v>45704</v>
      </c>
      <c r="C287" t="str">
        <f ca="1"/>
        <v>D-0023</v>
      </c>
      <c r="D287" t="str">
        <f ca="1"/>
        <v xml:space="preserve">Zam Zam Traders </v>
      </c>
      <c r="E287" t="str">
        <f ca="1"/>
        <v>Zam Zam tower,Housing Mor,Madical Road,Dinajpur</v>
      </c>
      <c r="F287">
        <f ca="1"/>
        <v>1682261616</v>
      </c>
      <c r="G287" t="str">
        <f ca="1"/>
        <v>Monirul Islam</v>
      </c>
      <c r="H287" t="str">
        <f ca="1"/>
        <v>Raihan Siddiqui</v>
      </c>
      <c r="I287" t="str">
        <f ca="1"/>
        <v>Bondhu Motors</v>
      </c>
      <c r="J287" t="str">
        <f ca="1"/>
        <v>Rangpur</v>
      </c>
      <c r="K287" t="str">
        <f ca="1"/>
        <v>LO00046</v>
      </c>
      <c r="L287" t="str">
        <f ca="1"/>
        <v>51004T 10W40 ESTER</v>
      </c>
      <c r="M287">
        <f ca="1"/>
        <v>24</v>
      </c>
      <c r="N287">
        <f ca="1"/>
        <v>860</v>
      </c>
      <c r="O287">
        <f ca="1"/>
        <v>24</v>
      </c>
      <c r="P287">
        <f ca="1"/>
        <v>5.8139534883721034E-3</v>
      </c>
      <c r="Q287">
        <f ca="1"/>
        <v>0</v>
      </c>
      <c r="R287">
        <f ca="1"/>
        <v>855</v>
      </c>
      <c r="S287">
        <f ca="1"/>
        <v>24</v>
      </c>
      <c r="T287">
        <f ca="1"/>
        <v>24</v>
      </c>
      <c r="U287">
        <f ca="1"/>
        <v>20640</v>
      </c>
      <c r="V287">
        <f ca="1"/>
        <v>0</v>
      </c>
      <c r="W287">
        <f ca="1"/>
        <v>20520</v>
      </c>
      <c r="X287">
        <f ca="1"/>
        <v>2676.521739130435</v>
      </c>
      <c r="Y287">
        <f ca="1"/>
        <v>17843.478260869564</v>
      </c>
      <c r="Z287" t="str">
        <f ca="1"/>
        <v>Cash</v>
      </c>
      <c r="AA287">
        <f ca="1"/>
        <v>636</v>
      </c>
      <c r="AB287" t="str">
        <f ca="1"/>
        <v>Regular</v>
      </c>
      <c r="AC287">
        <f ca="1"/>
        <v>45707</v>
      </c>
      <c r="AD287" t="str">
        <f ca="1"/>
        <v/>
      </c>
      <c r="AE287" t="str">
        <f ca="1"/>
        <v>Northern</v>
      </c>
      <c r="AF287" t="str">
        <f ca="1"/>
        <v>Technosynthese</v>
      </c>
      <c r="AG287" t="str">
        <f ca="1"/>
        <v>MCO</v>
      </c>
      <c r="AH287" t="str">
        <f ca="1"/>
        <v>10W40</v>
      </c>
      <c r="AI287" t="str">
        <f ca="1"/>
        <v>5100</v>
      </c>
      <c r="AJ287">
        <f ca="1"/>
        <v>0</v>
      </c>
      <c r="AK287" t="str">
        <f ca="1"/>
        <v>12x1L</v>
      </c>
      <c r="AL287">
        <f ca="1"/>
        <v>14599.920000000002</v>
      </c>
      <c r="AM287">
        <f ca="1"/>
        <v>3243.5582608695622</v>
      </c>
      <c r="AN287" t="str">
        <f ca="1"/>
        <v>O-45704-D-0023</v>
      </c>
      <c r="AO287" t="str">
        <f ca="1"/>
        <v>Delivered</v>
      </c>
    </row>
    <row r="288" spans="1:41" x14ac:dyDescent="0.5">
      <c r="A288" t="str">
        <f ca="1"/>
        <v>F-169</v>
      </c>
      <c r="B288" s="1">
        <f ca="1"/>
        <v>45704</v>
      </c>
      <c r="C288" t="str">
        <f ca="1"/>
        <v>D-0023</v>
      </c>
      <c r="D288" t="str">
        <f ca="1"/>
        <v xml:space="preserve">Zam Zam Traders </v>
      </c>
      <c r="E288" t="str">
        <f ca="1"/>
        <v>Zam Zam tower,Housing Mor,Madical Road,Dinajpur</v>
      </c>
      <c r="F288">
        <f ca="1"/>
        <v>1682261616</v>
      </c>
      <c r="G288" t="str">
        <f ca="1"/>
        <v>Monirul Islam</v>
      </c>
      <c r="H288" t="str">
        <f ca="1"/>
        <v>Raihan Siddiqui</v>
      </c>
      <c r="I288" t="str">
        <f ca="1"/>
        <v>Bondhu Motors</v>
      </c>
      <c r="J288" t="str">
        <f ca="1"/>
        <v>Rangpur</v>
      </c>
      <c r="K288" t="str">
        <f ca="1"/>
        <v>LO00119</v>
      </c>
      <c r="L288" t="str">
        <f ca="1"/>
        <v>3000 4T 20W50</v>
      </c>
      <c r="M288">
        <f ca="1"/>
        <v>80</v>
      </c>
      <c r="N288">
        <f ca="1"/>
        <v>495</v>
      </c>
      <c r="O288">
        <f ca="1"/>
        <v>80</v>
      </c>
      <c r="P288">
        <f ca="1"/>
        <v>2.4242424242424288E-2</v>
      </c>
      <c r="Q288">
        <f ca="1"/>
        <v>0</v>
      </c>
      <c r="R288">
        <f ca="1"/>
        <v>483</v>
      </c>
      <c r="S288">
        <f ca="1"/>
        <v>80</v>
      </c>
      <c r="T288">
        <f ca="1"/>
        <v>80</v>
      </c>
      <c r="U288">
        <f ca="1"/>
        <v>39600</v>
      </c>
      <c r="V288">
        <f ca="1"/>
        <v>0</v>
      </c>
      <c r="W288">
        <f ca="1"/>
        <v>38640</v>
      </c>
      <c r="X288">
        <f ca="1"/>
        <v>5040</v>
      </c>
      <c r="Y288">
        <f ca="1"/>
        <v>33600</v>
      </c>
      <c r="Z288" t="str">
        <f ca="1"/>
        <v>Cash</v>
      </c>
      <c r="AA288">
        <f ca="1"/>
        <v>636</v>
      </c>
      <c r="AB288" t="str">
        <f ca="1"/>
        <v>Regular</v>
      </c>
      <c r="AC288">
        <f ca="1"/>
        <v>45707</v>
      </c>
      <c r="AD288" t="str">
        <f ca="1"/>
        <v/>
      </c>
      <c r="AE288" t="str">
        <f ca="1"/>
        <v>Northern</v>
      </c>
      <c r="AF288" t="str">
        <f ca="1"/>
        <v>Mineral</v>
      </c>
      <c r="AG288" t="str">
        <f ca="1"/>
        <v>MCO</v>
      </c>
      <c r="AH288" t="str">
        <f ca="1"/>
        <v>20W50</v>
      </c>
      <c r="AI288" t="str">
        <f ca="1"/>
        <v>3000</v>
      </c>
      <c r="AJ288">
        <f ca="1"/>
        <v>0</v>
      </c>
      <c r="AK288" t="str">
        <f ca="1"/>
        <v>20x1L</v>
      </c>
      <c r="AL288">
        <f ca="1"/>
        <v>29193.600000000002</v>
      </c>
      <c r="AM288">
        <f ca="1"/>
        <v>4406.3999999999978</v>
      </c>
      <c r="AN288" t="str">
        <f ca="1"/>
        <v>O-45704-D-0023</v>
      </c>
      <c r="AO288" t="str">
        <f ca="1"/>
        <v>Delivered</v>
      </c>
    </row>
    <row r="289" spans="1:41" x14ac:dyDescent="0.5">
      <c r="A289" t="str">
        <f ca="1"/>
        <v>F-169</v>
      </c>
      <c r="B289" s="1">
        <f ca="1"/>
        <v>45704</v>
      </c>
      <c r="C289" t="str">
        <f ca="1"/>
        <v>D-0023</v>
      </c>
      <c r="D289" t="str">
        <f ca="1"/>
        <v xml:space="preserve">Zam Zam Traders </v>
      </c>
      <c r="E289" t="str">
        <f ca="1"/>
        <v>Zam Zam tower,Housing Mor,Madical Road,Dinajpur</v>
      </c>
      <c r="F289">
        <f ca="1"/>
        <v>1682261616</v>
      </c>
      <c r="G289" t="str">
        <f ca="1"/>
        <v>Monirul Islam</v>
      </c>
      <c r="H289" t="str">
        <f ca="1"/>
        <v>Raihan Siddiqui</v>
      </c>
      <c r="I289" t="str">
        <f ca="1"/>
        <v>Bondhu Motors</v>
      </c>
      <c r="J289" t="str">
        <f ca="1"/>
        <v>Rangpur</v>
      </c>
      <c r="K289" t="str">
        <f ca="1"/>
        <v>LO00120</v>
      </c>
      <c r="L289" t="str">
        <f ca="1"/>
        <v>3000 4T 20W50</v>
      </c>
      <c r="M289">
        <f ca="1"/>
        <v>20</v>
      </c>
      <c r="N289">
        <f ca="1"/>
        <v>595</v>
      </c>
      <c r="O289">
        <f ca="1"/>
        <v>24</v>
      </c>
      <c r="P289">
        <f ca="1"/>
        <v>2.2521008403361353E-2</v>
      </c>
      <c r="Q289">
        <f ca="1"/>
        <v>0</v>
      </c>
      <c r="R289">
        <f ca="1"/>
        <v>581.6</v>
      </c>
      <c r="S289">
        <f ca="1"/>
        <v>20</v>
      </c>
      <c r="T289">
        <f ca="1"/>
        <v>24</v>
      </c>
      <c r="U289">
        <f ca="1"/>
        <v>11900</v>
      </c>
      <c r="V289">
        <f ca="1"/>
        <v>0</v>
      </c>
      <c r="W289">
        <f ca="1"/>
        <v>11632</v>
      </c>
      <c r="X289">
        <f ca="1"/>
        <v>1517.2173913043478</v>
      </c>
      <c r="Y289">
        <f ca="1"/>
        <v>10114.782608695652</v>
      </c>
      <c r="Z289" t="str">
        <f ca="1"/>
        <v>Cash</v>
      </c>
      <c r="AA289">
        <f ca="1"/>
        <v>636</v>
      </c>
      <c r="AB289" t="str">
        <f ca="1"/>
        <v>Regular</v>
      </c>
      <c r="AC289">
        <f ca="1"/>
        <v>45707</v>
      </c>
      <c r="AD289" t="str">
        <f ca="1"/>
        <v/>
      </c>
      <c r="AE289" t="str">
        <f ca="1"/>
        <v>Northern</v>
      </c>
      <c r="AF289" t="str">
        <f ca="1"/>
        <v>Mineral</v>
      </c>
      <c r="AG289" t="str">
        <f ca="1"/>
        <v>MCO</v>
      </c>
      <c r="AH289" t="str">
        <f ca="1"/>
        <v>20W50</v>
      </c>
      <c r="AI289" t="str">
        <f ca="1"/>
        <v>3000</v>
      </c>
      <c r="AJ289">
        <f ca="1"/>
        <v>0</v>
      </c>
      <c r="AK289" t="str">
        <f ca="1"/>
        <v>20x1.2L</v>
      </c>
      <c r="AL289">
        <f ca="1"/>
        <v>8692.2000000000007</v>
      </c>
      <c r="AM289">
        <f ca="1"/>
        <v>1422.5826086956513</v>
      </c>
      <c r="AN289" t="str">
        <f ca="1"/>
        <v>O-45704-D-0023</v>
      </c>
      <c r="AO289" t="str">
        <f ca="1"/>
        <v>Delivered</v>
      </c>
    </row>
    <row r="290" spans="1:41" x14ac:dyDescent="0.5">
      <c r="A290" t="str">
        <f ca="1"/>
        <v>F-177</v>
      </c>
      <c r="B290" s="1">
        <f ca="1"/>
        <v>45706</v>
      </c>
      <c r="C290" t="str">
        <f ca="1"/>
        <v>D-0006</v>
      </c>
      <c r="D290" t="str">
        <f ca="1"/>
        <v>Maliha Enterprise</v>
      </c>
      <c r="E290" t="str">
        <f ca="1"/>
        <v/>
      </c>
      <c r="F290" t="str">
        <f ca="1"/>
        <v/>
      </c>
      <c r="G290" t="str">
        <f ca="1"/>
        <v>Sayed Al Amin Apu</v>
      </c>
      <c r="H290" t="str">
        <f ca="1"/>
        <v>Abdul Matin</v>
      </c>
      <c r="I290" t="str">
        <f ca="1"/>
        <v>Maliha Enterprise</v>
      </c>
      <c r="J290" t="str">
        <f ca="1"/>
        <v>Savar</v>
      </c>
      <c r="K290" t="str">
        <f ca="1"/>
        <v>LO00041</v>
      </c>
      <c r="L290" t="str">
        <f ca="1"/>
        <v>3000 4T PLUS 10W30</v>
      </c>
      <c r="M290">
        <f ca="1"/>
        <v>400</v>
      </c>
      <c r="N290">
        <f ca="1"/>
        <v>540</v>
      </c>
      <c r="O290">
        <f ca="1"/>
        <v>400</v>
      </c>
      <c r="P290">
        <f ca="1"/>
        <v>1.2962962962962954E-2</v>
      </c>
      <c r="Q290">
        <f ca="1"/>
        <v>0</v>
      </c>
      <c r="R290">
        <f ca="1"/>
        <v>533</v>
      </c>
      <c r="S290">
        <f ca="1"/>
        <v>400</v>
      </c>
      <c r="T290">
        <f ca="1"/>
        <v>400</v>
      </c>
      <c r="U290">
        <f ca="1"/>
        <v>216000</v>
      </c>
      <c r="V290">
        <f ca="1"/>
        <v>2800</v>
      </c>
      <c r="W290">
        <f ca="1"/>
        <v>213200</v>
      </c>
      <c r="X290">
        <f ca="1"/>
        <v>27808.695652173912</v>
      </c>
      <c r="Y290">
        <f ca="1"/>
        <v>185391.30434782608</v>
      </c>
      <c r="Z290" t="str">
        <f ca="1"/>
        <v>Cash</v>
      </c>
      <c r="AA290">
        <f ca="1"/>
        <v>644</v>
      </c>
      <c r="AB290" t="str">
        <f ca="1"/>
        <v>Regular</v>
      </c>
      <c r="AC290">
        <f ca="1"/>
        <v>45711</v>
      </c>
      <c r="AD290" t="str">
        <f ca="1"/>
        <v/>
      </c>
      <c r="AE290" t="str">
        <f ca="1"/>
        <v>Central</v>
      </c>
      <c r="AF290" t="str">
        <f ca="1"/>
        <v>Mineral</v>
      </c>
      <c r="AG290" t="str">
        <f ca="1"/>
        <v>MCO</v>
      </c>
      <c r="AH290" t="str">
        <f ca="1"/>
        <v>10W30</v>
      </c>
      <c r="AI290" t="str">
        <f ca="1"/>
        <v>3000</v>
      </c>
      <c r="AJ290">
        <f ca="1"/>
        <v>0</v>
      </c>
      <c r="AK290" t="str">
        <f ca="1"/>
        <v>20x1L</v>
      </c>
      <c r="AL290">
        <f ca="1"/>
        <v>151732</v>
      </c>
      <c r="AM290">
        <f ca="1"/>
        <v>33659.304347826081</v>
      </c>
      <c r="AN290" t="str">
        <f ca="1"/>
        <v>O-45706-D-0006</v>
      </c>
      <c r="AO290" t="str">
        <f ca="1"/>
        <v>Delivered</v>
      </c>
    </row>
    <row r="291" spans="1:41" x14ac:dyDescent="0.5">
      <c r="A291" t="str">
        <f ca="1"/>
        <v>F-177</v>
      </c>
      <c r="B291" s="1">
        <f ca="1"/>
        <v>45706</v>
      </c>
      <c r="C291" t="str">
        <f ca="1"/>
        <v>D-0006</v>
      </c>
      <c r="D291" t="str">
        <f ca="1"/>
        <v>Maliha Enterprise</v>
      </c>
      <c r="E291" t="str">
        <f ca="1"/>
        <v/>
      </c>
      <c r="F291" t="str">
        <f ca="1"/>
        <v/>
      </c>
      <c r="G291" t="str">
        <f ca="1"/>
        <v>Sayed Al Amin Apu</v>
      </c>
      <c r="H291" t="str">
        <f ca="1"/>
        <v>Abdul Matin</v>
      </c>
      <c r="I291" t="str">
        <f ca="1"/>
        <v>Maliha Enterprise</v>
      </c>
      <c r="J291" t="str">
        <f ca="1"/>
        <v>Savar</v>
      </c>
      <c r="K291" t="str">
        <f ca="1"/>
        <v>LO00073</v>
      </c>
      <c r="L291" t="str">
        <f ca="1"/>
        <v>3000 4T PLUS 10W30</v>
      </c>
      <c r="M291">
        <f ca="1"/>
        <v>400</v>
      </c>
      <c r="N291">
        <f ca="1"/>
        <v>650</v>
      </c>
      <c r="O291">
        <f ca="1"/>
        <v>480</v>
      </c>
      <c r="P291">
        <f ca="1"/>
        <v>1.2923076923076926E-2</v>
      </c>
      <c r="Q291">
        <f ca="1"/>
        <v>0</v>
      </c>
      <c r="R291">
        <f ca="1"/>
        <v>641.6</v>
      </c>
      <c r="S291">
        <f ca="1"/>
        <v>400</v>
      </c>
      <c r="T291">
        <f ca="1"/>
        <v>480</v>
      </c>
      <c r="U291">
        <f ca="1"/>
        <v>260000</v>
      </c>
      <c r="V291">
        <f ca="1"/>
        <v>3360</v>
      </c>
      <c r="W291">
        <f ca="1"/>
        <v>256640</v>
      </c>
      <c r="X291">
        <f ca="1"/>
        <v>33474.782608695656</v>
      </c>
      <c r="Y291">
        <f ca="1"/>
        <v>223165.21739130435</v>
      </c>
      <c r="Z291" t="str">
        <f ca="1"/>
        <v>Cash</v>
      </c>
      <c r="AA291">
        <f ca="1"/>
        <v>644</v>
      </c>
      <c r="AB291" t="str">
        <f ca="1"/>
        <v>Regular</v>
      </c>
      <c r="AC291">
        <f ca="1"/>
        <v>45711</v>
      </c>
      <c r="AD291" t="str">
        <f ca="1"/>
        <v/>
      </c>
      <c r="AE291" t="str">
        <f ca="1"/>
        <v>Central</v>
      </c>
      <c r="AF291" t="str">
        <f ca="1"/>
        <v>Mineral</v>
      </c>
      <c r="AG291" t="str">
        <f ca="1"/>
        <v>MCO</v>
      </c>
      <c r="AH291" t="str">
        <f ca="1"/>
        <v>10W30</v>
      </c>
      <c r="AI291" t="str">
        <f ca="1"/>
        <v>3000</v>
      </c>
      <c r="AJ291">
        <f ca="1"/>
        <v>0</v>
      </c>
      <c r="AK291" t="str">
        <f ca="1"/>
        <v>20x1.2L</v>
      </c>
      <c r="AL291">
        <f ca="1"/>
        <v>175560</v>
      </c>
      <c r="AM291">
        <f ca="1"/>
        <v>47605.217391304352</v>
      </c>
      <c r="AN291" t="str">
        <f ca="1"/>
        <v>O-45706-D-0006</v>
      </c>
      <c r="AO291" t="str">
        <f ca="1"/>
        <v>Delivered</v>
      </c>
    </row>
    <row r="292" spans="1:41" x14ac:dyDescent="0.5">
      <c r="A292" t="str">
        <f ca="1"/>
        <v>F-177</v>
      </c>
      <c r="B292" s="1">
        <f ca="1"/>
        <v>45706</v>
      </c>
      <c r="C292" t="str">
        <f ca="1"/>
        <v>D-0006</v>
      </c>
      <c r="D292" t="str">
        <f ca="1"/>
        <v>Maliha Enterprise</v>
      </c>
      <c r="E292" t="str">
        <f ca="1"/>
        <v/>
      </c>
      <c r="F292" t="str">
        <f ca="1"/>
        <v/>
      </c>
      <c r="G292" t="str">
        <f ca="1"/>
        <v>Sayed Al Amin Apu</v>
      </c>
      <c r="H292" t="str">
        <f ca="1"/>
        <v>Abdul Matin</v>
      </c>
      <c r="I292" t="str">
        <f ca="1"/>
        <v>Maliha Enterprise</v>
      </c>
      <c r="J292" t="str">
        <f ca="1"/>
        <v>Savar</v>
      </c>
      <c r="K292" t="str">
        <f ca="1"/>
        <v>LO00096</v>
      </c>
      <c r="L292" t="str">
        <f ca="1"/>
        <v>3000 4T PLUS 20W40</v>
      </c>
      <c r="M292">
        <f ca="1"/>
        <v>600</v>
      </c>
      <c r="N292">
        <f ca="1"/>
        <v>645</v>
      </c>
      <c r="O292">
        <f ca="1"/>
        <v>720</v>
      </c>
      <c r="P292">
        <f ca="1"/>
        <v>1.3023255813953472E-2</v>
      </c>
      <c r="Q292">
        <f ca="1"/>
        <v>0</v>
      </c>
      <c r="R292">
        <f ca="1"/>
        <v>636.6</v>
      </c>
      <c r="S292">
        <f ca="1"/>
        <v>600</v>
      </c>
      <c r="T292">
        <f ca="1"/>
        <v>720</v>
      </c>
      <c r="U292">
        <f ca="1"/>
        <v>387000</v>
      </c>
      <c r="V292">
        <f ca="1"/>
        <v>5040</v>
      </c>
      <c r="W292">
        <f ca="1"/>
        <v>381960</v>
      </c>
      <c r="X292">
        <f ca="1"/>
        <v>49820.869565217392</v>
      </c>
      <c r="Y292">
        <f ca="1"/>
        <v>332139.13043478259</v>
      </c>
      <c r="Z292" t="str">
        <f ca="1"/>
        <v>Cash</v>
      </c>
      <c r="AA292">
        <f ca="1"/>
        <v>644</v>
      </c>
      <c r="AB292" t="str">
        <f ca="1"/>
        <v>Regular</v>
      </c>
      <c r="AC292">
        <f ca="1"/>
        <v>45711</v>
      </c>
      <c r="AD292" t="str">
        <f ca="1"/>
        <v/>
      </c>
      <c r="AE292" t="str">
        <f ca="1"/>
        <v>Central</v>
      </c>
      <c r="AF292" t="str">
        <f ca="1"/>
        <v>Mineral</v>
      </c>
      <c r="AG292" t="str">
        <f ca="1"/>
        <v>MCO</v>
      </c>
      <c r="AH292" t="str">
        <f ca="1"/>
        <v>20W40</v>
      </c>
      <c r="AI292" t="str">
        <f ca="1"/>
        <v>3000</v>
      </c>
      <c r="AJ292">
        <f ca="1"/>
        <v>0</v>
      </c>
      <c r="AK292" t="str">
        <f ca="1"/>
        <v>20x1.2L</v>
      </c>
      <c r="AL292">
        <f ca="1"/>
        <v>281938.67721036583</v>
      </c>
      <c r="AM292">
        <f ca="1"/>
        <v>50200.453224416764</v>
      </c>
      <c r="AN292" t="str">
        <f ca="1"/>
        <v>O-45706-D-0006</v>
      </c>
      <c r="AO292" t="str">
        <f ca="1"/>
        <v>Delivered</v>
      </c>
    </row>
    <row r="293" spans="1:41" x14ac:dyDescent="0.5">
      <c r="A293" t="str">
        <f ca="1"/>
        <v>F-178</v>
      </c>
      <c r="B293" s="1">
        <f ca="1"/>
        <v>45706</v>
      </c>
      <c r="C293" t="str">
        <f ca="1"/>
        <v>D-0023</v>
      </c>
      <c r="D293" t="str">
        <f ca="1"/>
        <v>R.Hossain Motors</v>
      </c>
      <c r="E293" t="str">
        <f ca="1"/>
        <v>Registriri para, Tangail Sadar</v>
      </c>
      <c r="F293">
        <f ca="1"/>
        <v>1521308494</v>
      </c>
      <c r="G293" t="str">
        <f ca="1"/>
        <v>Monirul Islam</v>
      </c>
      <c r="H293" t="str">
        <f ca="1"/>
        <v>Raihan Siddiqui</v>
      </c>
      <c r="I293" t="str">
        <f ca="1"/>
        <v>Bondhu Motors</v>
      </c>
      <c r="J293" t="str">
        <f ca="1"/>
        <v>Rangpur</v>
      </c>
      <c r="K293" t="str">
        <f ca="1"/>
        <v>LO00041</v>
      </c>
      <c r="L293" t="str">
        <f ca="1"/>
        <v>3000 4T PLUS 10W30</v>
      </c>
      <c r="M293">
        <f ca="1"/>
        <v>20</v>
      </c>
      <c r="N293">
        <f ca="1"/>
        <v>540</v>
      </c>
      <c r="O293">
        <f ca="1"/>
        <v>20</v>
      </c>
      <c r="P293">
        <f ca="1"/>
        <v>9.2592592592593004E-3</v>
      </c>
      <c r="Q293">
        <f ca="1"/>
        <v>0</v>
      </c>
      <c r="R293">
        <f ca="1"/>
        <v>535</v>
      </c>
      <c r="S293">
        <f ca="1"/>
        <v>20</v>
      </c>
      <c r="T293">
        <f ca="1"/>
        <v>20</v>
      </c>
      <c r="U293">
        <f ca="1"/>
        <v>10800</v>
      </c>
      <c r="V293">
        <f ca="1"/>
        <v>0</v>
      </c>
      <c r="W293">
        <f ca="1"/>
        <v>10700</v>
      </c>
      <c r="X293">
        <f ca="1"/>
        <v>1395.6521739130435</v>
      </c>
      <c r="Y293">
        <f ca="1"/>
        <v>9304.347826086956</v>
      </c>
      <c r="Z293" t="str">
        <f ca="1"/>
        <v>Cash</v>
      </c>
      <c r="AA293">
        <f ca="1"/>
        <v>645</v>
      </c>
      <c r="AB293" t="str">
        <f ca="1"/>
        <v>Regular</v>
      </c>
      <c r="AC293">
        <f ca="1"/>
        <v>45711</v>
      </c>
      <c r="AD293" t="str">
        <f ca="1"/>
        <v/>
      </c>
      <c r="AE293" t="str">
        <f ca="1"/>
        <v>Northern</v>
      </c>
      <c r="AF293" t="str">
        <f ca="1"/>
        <v>Mineral</v>
      </c>
      <c r="AG293" t="str">
        <f ca="1"/>
        <v>MCO</v>
      </c>
      <c r="AH293" t="str">
        <f ca="1"/>
        <v>10W30</v>
      </c>
      <c r="AI293" t="str">
        <f ca="1"/>
        <v>3000</v>
      </c>
      <c r="AJ293">
        <f ca="1"/>
        <v>0</v>
      </c>
      <c r="AK293" t="str">
        <f ca="1"/>
        <v>20x1L</v>
      </c>
      <c r="AL293">
        <f ca="1"/>
        <v>7586.5999999999995</v>
      </c>
      <c r="AM293">
        <f ca="1"/>
        <v>1717.7478260869566</v>
      </c>
      <c r="AN293" t="str">
        <f ca="1"/>
        <v>O-45706-D-0023</v>
      </c>
      <c r="AO293" t="str">
        <f ca="1"/>
        <v>Delivered</v>
      </c>
    </row>
    <row r="294" spans="1:41" x14ac:dyDescent="0.5">
      <c r="A294" t="str">
        <f ca="1"/>
        <v>F-178</v>
      </c>
      <c r="B294" s="1">
        <f ca="1"/>
        <v>45706</v>
      </c>
      <c r="C294" t="str">
        <f ca="1"/>
        <v>D-0023</v>
      </c>
      <c r="D294" t="str">
        <f ca="1"/>
        <v>R.Hossain Motors</v>
      </c>
      <c r="E294" t="str">
        <f ca="1"/>
        <v>Registriri para, Tangail Sadar</v>
      </c>
      <c r="F294">
        <f ca="1"/>
        <v>1521308494</v>
      </c>
      <c r="G294" t="str">
        <f ca="1"/>
        <v>Monirul Islam</v>
      </c>
      <c r="H294" t="str">
        <f ca="1"/>
        <v>Raihan Siddiqui</v>
      </c>
      <c r="I294" t="str">
        <f ca="1"/>
        <v>Bondhu Motors</v>
      </c>
      <c r="J294" t="str">
        <f ca="1"/>
        <v>Rangpur</v>
      </c>
      <c r="K294" t="str">
        <f ca="1"/>
        <v>LO00044</v>
      </c>
      <c r="L294" t="str">
        <f ca="1"/>
        <v>31004T GOLD 20W50</v>
      </c>
      <c r="M294">
        <f ca="1"/>
        <v>20</v>
      </c>
      <c r="N294">
        <f ca="1"/>
        <v>600</v>
      </c>
      <c r="O294">
        <f ca="1"/>
        <v>20</v>
      </c>
      <c r="P294">
        <f ca="1"/>
        <v>8.3333333333333037E-3</v>
      </c>
      <c r="Q294">
        <f ca="1"/>
        <v>0</v>
      </c>
      <c r="R294">
        <f ca="1"/>
        <v>595</v>
      </c>
      <c r="S294">
        <f ca="1"/>
        <v>20</v>
      </c>
      <c r="T294">
        <f ca="1"/>
        <v>20</v>
      </c>
      <c r="U294">
        <f ca="1"/>
        <v>12000</v>
      </c>
      <c r="V294">
        <f ca="1"/>
        <v>0</v>
      </c>
      <c r="W294">
        <f ca="1"/>
        <v>11900</v>
      </c>
      <c r="X294">
        <f ca="1"/>
        <v>1552.1739130434783</v>
      </c>
      <c r="Y294">
        <f ca="1"/>
        <v>10347.826086956522</v>
      </c>
      <c r="Z294" t="str">
        <f ca="1"/>
        <v>Cash</v>
      </c>
      <c r="AA294">
        <f ca="1"/>
        <v>645</v>
      </c>
      <c r="AB294" t="str">
        <f ca="1"/>
        <v>Regular</v>
      </c>
      <c r="AC294">
        <f ca="1"/>
        <v>45711</v>
      </c>
      <c r="AD294" t="str">
        <f ca="1"/>
        <v/>
      </c>
      <c r="AE294" t="str">
        <f ca="1"/>
        <v>Northern</v>
      </c>
      <c r="AF294" t="str">
        <f ca="1"/>
        <v>Technosynthese</v>
      </c>
      <c r="AG294" t="str">
        <f ca="1"/>
        <v>MCO</v>
      </c>
      <c r="AH294" t="str">
        <f ca="1"/>
        <v>20W50</v>
      </c>
      <c r="AI294" t="str">
        <f ca="1"/>
        <v>3100</v>
      </c>
      <c r="AJ294">
        <f ca="1"/>
        <v>0</v>
      </c>
      <c r="AK294" t="str">
        <f ca="1"/>
        <v>20x1L</v>
      </c>
      <c r="AL294">
        <f ca="1"/>
        <v>9387.7999999999993</v>
      </c>
      <c r="AM294">
        <f ca="1"/>
        <v>960.0260869565227</v>
      </c>
      <c r="AN294" t="str">
        <f ca="1"/>
        <v>O-45706-D-0023</v>
      </c>
      <c r="AO294" t="str">
        <f ca="1"/>
        <v>Delivered</v>
      </c>
    </row>
    <row r="295" spans="1:41" x14ac:dyDescent="0.5">
      <c r="A295" t="str">
        <f ca="1"/>
        <v>F-178</v>
      </c>
      <c r="B295" s="1">
        <f ca="1"/>
        <v>45706</v>
      </c>
      <c r="C295" t="str">
        <f ca="1"/>
        <v>D-0023</v>
      </c>
      <c r="D295" t="str">
        <f ca="1"/>
        <v>R.Hossain Motors</v>
      </c>
      <c r="E295" t="str">
        <f ca="1"/>
        <v>Registriri para, Tangail Sadar</v>
      </c>
      <c r="F295">
        <f ca="1"/>
        <v>1521308494</v>
      </c>
      <c r="G295" t="str">
        <f ca="1"/>
        <v>Monirul Islam</v>
      </c>
      <c r="H295" t="str">
        <f ca="1"/>
        <v>Raihan Siddiqui</v>
      </c>
      <c r="I295" t="str">
        <f ca="1"/>
        <v>Bondhu Motors</v>
      </c>
      <c r="J295" t="str">
        <f ca="1"/>
        <v>Rangpur</v>
      </c>
      <c r="K295" t="str">
        <f ca="1"/>
        <v>LO00071</v>
      </c>
      <c r="L295" t="str">
        <f ca="1"/>
        <v>31004T GOLD 10W30</v>
      </c>
      <c r="M295">
        <f ca="1"/>
        <v>20</v>
      </c>
      <c r="N295">
        <f ca="1"/>
        <v>600</v>
      </c>
      <c r="O295">
        <f ca="1"/>
        <v>20</v>
      </c>
      <c r="P295">
        <f ca="1"/>
        <v>8.3333333333333037E-3</v>
      </c>
      <c r="Q295">
        <f ca="1"/>
        <v>0</v>
      </c>
      <c r="R295">
        <f ca="1"/>
        <v>595</v>
      </c>
      <c r="S295">
        <f ca="1"/>
        <v>20</v>
      </c>
      <c r="T295">
        <f ca="1"/>
        <v>20</v>
      </c>
      <c r="U295">
        <f ca="1"/>
        <v>12000</v>
      </c>
      <c r="V295">
        <f ca="1"/>
        <v>0</v>
      </c>
      <c r="W295">
        <f ca="1"/>
        <v>11900</v>
      </c>
      <c r="X295">
        <f ca="1"/>
        <v>1552.1739130434783</v>
      </c>
      <c r="Y295">
        <f ca="1"/>
        <v>10347.826086956522</v>
      </c>
      <c r="Z295" t="str">
        <f ca="1"/>
        <v>Cash</v>
      </c>
      <c r="AA295">
        <f ca="1"/>
        <v>645</v>
      </c>
      <c r="AB295" t="str">
        <f ca="1"/>
        <v>Regular</v>
      </c>
      <c r="AC295">
        <f ca="1"/>
        <v>45711</v>
      </c>
      <c r="AD295" t="str">
        <f ca="1"/>
        <v/>
      </c>
      <c r="AE295" t="str">
        <f ca="1"/>
        <v>Northern</v>
      </c>
      <c r="AF295" t="str">
        <f ca="1"/>
        <v>Technosynthese</v>
      </c>
      <c r="AG295" t="str">
        <f ca="1"/>
        <v>MCO</v>
      </c>
      <c r="AH295" t="str">
        <f ca="1"/>
        <v>10W30</v>
      </c>
      <c r="AI295" t="str">
        <f ca="1"/>
        <v>3100</v>
      </c>
      <c r="AJ295">
        <f ca="1"/>
        <v>0</v>
      </c>
      <c r="AK295" t="str">
        <f ca="1"/>
        <v>20x1L</v>
      </c>
      <c r="AL295">
        <f ca="1"/>
        <v>8502</v>
      </c>
      <c r="AM295">
        <f ca="1"/>
        <v>1845.826086956522</v>
      </c>
      <c r="AN295" t="str">
        <f ca="1"/>
        <v>O-45706-D-0023</v>
      </c>
      <c r="AO295" t="str">
        <f ca="1"/>
        <v>Delivered</v>
      </c>
    </row>
    <row r="296" spans="1:41" x14ac:dyDescent="0.5">
      <c r="A296" t="str">
        <f ca="1"/>
        <v>F-178</v>
      </c>
      <c r="B296" s="1">
        <f ca="1"/>
        <v>45706</v>
      </c>
      <c r="C296" t="str">
        <f ca="1"/>
        <v>D-0023</v>
      </c>
      <c r="D296" t="str">
        <f ca="1"/>
        <v>R.Hossain Motors</v>
      </c>
      <c r="E296" t="str">
        <f ca="1"/>
        <v>Registriri para, Tangail Sadar</v>
      </c>
      <c r="F296">
        <f ca="1"/>
        <v>1521308494</v>
      </c>
      <c r="G296" t="str">
        <f ca="1"/>
        <v>Monirul Islam</v>
      </c>
      <c r="H296" t="str">
        <f ca="1"/>
        <v>Raihan Siddiqui</v>
      </c>
      <c r="I296" t="str">
        <f ca="1"/>
        <v>Bondhu Motors</v>
      </c>
      <c r="J296" t="str">
        <f ca="1"/>
        <v>Rangpur</v>
      </c>
      <c r="K296" t="str">
        <f ca="1"/>
        <v>LO00046</v>
      </c>
      <c r="L296" t="str">
        <f ca="1"/>
        <v>51004T 10W40 ESTER</v>
      </c>
      <c r="M296">
        <f ca="1"/>
        <v>12</v>
      </c>
      <c r="N296">
        <f ca="1"/>
        <v>860</v>
      </c>
      <c r="O296">
        <f ca="1"/>
        <v>12</v>
      </c>
      <c r="P296">
        <f ca="1"/>
        <v>5.8139534883721034E-3</v>
      </c>
      <c r="Q296">
        <f ca="1"/>
        <v>0</v>
      </c>
      <c r="R296">
        <f ca="1"/>
        <v>855</v>
      </c>
      <c r="S296">
        <f ca="1"/>
        <v>12</v>
      </c>
      <c r="T296">
        <f ca="1"/>
        <v>12</v>
      </c>
      <c r="U296">
        <f ca="1"/>
        <v>10320</v>
      </c>
      <c r="V296">
        <f ca="1"/>
        <v>0</v>
      </c>
      <c r="W296">
        <f ca="1"/>
        <v>10260</v>
      </c>
      <c r="X296">
        <f ca="1"/>
        <v>1338.2608695652175</v>
      </c>
      <c r="Y296">
        <f ca="1"/>
        <v>8921.7391304347821</v>
      </c>
      <c r="Z296" t="str">
        <f ca="1"/>
        <v>Cash</v>
      </c>
      <c r="AA296">
        <f ca="1"/>
        <v>645</v>
      </c>
      <c r="AB296" t="str">
        <f ca="1"/>
        <v>Regular</v>
      </c>
      <c r="AC296">
        <f ca="1"/>
        <v>45711</v>
      </c>
      <c r="AD296" t="str">
        <f ca="1"/>
        <v/>
      </c>
      <c r="AE296" t="str">
        <f ca="1"/>
        <v>Northern</v>
      </c>
      <c r="AF296" t="str">
        <f ca="1"/>
        <v>Technosynthese</v>
      </c>
      <c r="AG296" t="str">
        <f ca="1"/>
        <v>MCO</v>
      </c>
      <c r="AH296" t="str">
        <f ca="1"/>
        <v>10W40</v>
      </c>
      <c r="AI296" t="str">
        <f ca="1"/>
        <v>5100</v>
      </c>
      <c r="AJ296">
        <f ca="1"/>
        <v>0</v>
      </c>
      <c r="AK296" t="str">
        <f ca="1"/>
        <v>12x1L</v>
      </c>
      <c r="AL296">
        <f ca="1"/>
        <v>7299.9600000000009</v>
      </c>
      <c r="AM296">
        <f ca="1"/>
        <v>1621.7791304347811</v>
      </c>
      <c r="AN296" t="str">
        <f ca="1"/>
        <v>O-45706-D-0023</v>
      </c>
      <c r="AO296" t="str">
        <f ca="1"/>
        <v>Delivered</v>
      </c>
    </row>
    <row r="297" spans="1:41" x14ac:dyDescent="0.5">
      <c r="A297" t="str">
        <f ca="1"/>
        <v>F-178</v>
      </c>
      <c r="B297" s="1">
        <f ca="1"/>
        <v>45706</v>
      </c>
      <c r="C297" t="str">
        <f ca="1"/>
        <v>D-0023</v>
      </c>
      <c r="D297" t="str">
        <f ca="1"/>
        <v>R.Hossain Motors</v>
      </c>
      <c r="E297" t="str">
        <f ca="1"/>
        <v>Registriri para, Tangail Sadar</v>
      </c>
      <c r="F297">
        <f ca="1"/>
        <v>1521308494</v>
      </c>
      <c r="G297" t="str">
        <f ca="1"/>
        <v>Monirul Islam</v>
      </c>
      <c r="H297" t="str">
        <f ca="1"/>
        <v>Raihan Siddiqui</v>
      </c>
      <c r="I297" t="str">
        <f ca="1"/>
        <v>Bondhu Motors</v>
      </c>
      <c r="J297" t="str">
        <f ca="1"/>
        <v>Rangpur</v>
      </c>
      <c r="K297" t="str">
        <f ca="1"/>
        <v>LO00074</v>
      </c>
      <c r="L297" t="str">
        <f ca="1"/>
        <v>7100 4T 10W30 ESTER CORE®</v>
      </c>
      <c r="M297">
        <f ca="1"/>
        <v>12</v>
      </c>
      <c r="N297">
        <f ca="1"/>
        <v>1080</v>
      </c>
      <c r="O297">
        <f ca="1"/>
        <v>12</v>
      </c>
      <c r="P297">
        <f ca="1"/>
        <v>4.6296296296296502E-3</v>
      </c>
      <c r="Q297">
        <f ca="1"/>
        <v>0</v>
      </c>
      <c r="R297">
        <f ca="1"/>
        <v>1075</v>
      </c>
      <c r="S297">
        <f ca="1"/>
        <v>12</v>
      </c>
      <c r="T297">
        <f ca="1"/>
        <v>12</v>
      </c>
      <c r="U297">
        <f ca="1"/>
        <v>12960</v>
      </c>
      <c r="V297">
        <f ca="1"/>
        <v>0</v>
      </c>
      <c r="W297">
        <f ca="1"/>
        <v>12900</v>
      </c>
      <c r="X297">
        <f ca="1"/>
        <v>1682.608695652174</v>
      </c>
      <c r="Y297">
        <f ca="1"/>
        <v>11217.391304347826</v>
      </c>
      <c r="Z297" t="str">
        <f ca="1"/>
        <v>Cash</v>
      </c>
      <c r="AA297">
        <f ca="1"/>
        <v>645</v>
      </c>
      <c r="AB297" t="str">
        <f ca="1"/>
        <v>Regular</v>
      </c>
      <c r="AC297">
        <f ca="1"/>
        <v>45711</v>
      </c>
      <c r="AD297" t="str">
        <f ca="1"/>
        <v/>
      </c>
      <c r="AE297" t="str">
        <f ca="1"/>
        <v>Northern</v>
      </c>
      <c r="AF297" t="str">
        <f ca="1"/>
        <v>Synthetic</v>
      </c>
      <c r="AG297" t="str">
        <f ca="1"/>
        <v>MCO</v>
      </c>
      <c r="AH297" t="str">
        <f ca="1"/>
        <v>10W30</v>
      </c>
      <c r="AI297" t="str">
        <f ca="1"/>
        <v>7100</v>
      </c>
      <c r="AJ297">
        <f ca="1"/>
        <v>0</v>
      </c>
      <c r="AK297" t="str">
        <f ca="1"/>
        <v>12x1L</v>
      </c>
      <c r="AL297">
        <f ca="1"/>
        <v>8278.32</v>
      </c>
      <c r="AM297">
        <f ca="1"/>
        <v>2939.0713043478263</v>
      </c>
      <c r="AN297" t="str">
        <f ca="1"/>
        <v>O-45706-D-0023</v>
      </c>
      <c r="AO297" t="str">
        <f ca="1"/>
        <v>Delivered</v>
      </c>
    </row>
    <row r="298" spans="1:41" x14ac:dyDescent="0.5">
      <c r="A298" t="str">
        <f ca="1"/>
        <v>F-178</v>
      </c>
      <c r="B298" s="1">
        <f ca="1"/>
        <v>45706</v>
      </c>
      <c r="C298" t="str">
        <f ca="1"/>
        <v>D-0023</v>
      </c>
      <c r="D298" t="str">
        <f ca="1"/>
        <v>R.Hossain Motors</v>
      </c>
      <c r="E298" t="str">
        <f ca="1"/>
        <v>Registriri para, Tangail Sadar</v>
      </c>
      <c r="F298">
        <f ca="1"/>
        <v>1521308494</v>
      </c>
      <c r="G298" t="str">
        <f ca="1"/>
        <v>Monirul Islam</v>
      </c>
      <c r="H298" t="str">
        <f ca="1"/>
        <v>Raihan Siddiqui</v>
      </c>
      <c r="I298" t="str">
        <f ca="1"/>
        <v>Bondhu Motors</v>
      </c>
      <c r="J298" t="str">
        <f ca="1"/>
        <v>Rangpur</v>
      </c>
      <c r="K298" t="str">
        <f ca="1"/>
        <v>LO00048</v>
      </c>
      <c r="L298" t="str">
        <f ca="1"/>
        <v>7100 4T 20W50 ESTER CORE®</v>
      </c>
      <c r="M298">
        <f ca="1"/>
        <v>12</v>
      </c>
      <c r="N298">
        <f ca="1"/>
        <v>1080</v>
      </c>
      <c r="O298">
        <f ca="1"/>
        <v>12</v>
      </c>
      <c r="P298">
        <f ca="1"/>
        <v>4.6296296296296502E-3</v>
      </c>
      <c r="Q298">
        <f ca="1"/>
        <v>0</v>
      </c>
      <c r="R298">
        <f ca="1"/>
        <v>1075</v>
      </c>
      <c r="S298">
        <f ca="1"/>
        <v>12</v>
      </c>
      <c r="T298">
        <f ca="1"/>
        <v>12</v>
      </c>
      <c r="U298">
        <f ca="1"/>
        <v>12960</v>
      </c>
      <c r="V298">
        <f ca="1"/>
        <v>0</v>
      </c>
      <c r="W298">
        <f ca="1"/>
        <v>12900</v>
      </c>
      <c r="X298">
        <f ca="1"/>
        <v>1682.608695652174</v>
      </c>
      <c r="Y298">
        <f ca="1"/>
        <v>11217.391304347826</v>
      </c>
      <c r="Z298" t="str">
        <f ca="1"/>
        <v>Cash</v>
      </c>
      <c r="AA298">
        <f ca="1"/>
        <v>645</v>
      </c>
      <c r="AB298" t="str">
        <f ca="1"/>
        <v>Regular</v>
      </c>
      <c r="AC298">
        <f ca="1"/>
        <v>45711</v>
      </c>
      <c r="AD298" t="str">
        <f ca="1"/>
        <v/>
      </c>
      <c r="AE298" t="str">
        <f ca="1"/>
        <v>Northern</v>
      </c>
      <c r="AF298" t="str">
        <f ca="1"/>
        <v>Synthetic</v>
      </c>
      <c r="AG298" t="str">
        <f ca="1"/>
        <v>MCO</v>
      </c>
      <c r="AH298" t="str">
        <f ca="1"/>
        <v>20W50</v>
      </c>
      <c r="AI298" t="str">
        <f ca="1"/>
        <v>7100</v>
      </c>
      <c r="AJ298">
        <f ca="1"/>
        <v>0</v>
      </c>
      <c r="AK298" t="str">
        <f ca="1"/>
        <v>12x1L</v>
      </c>
      <c r="AL298">
        <f ca="1"/>
        <v>9164.380799999999</v>
      </c>
      <c r="AM298">
        <f ca="1"/>
        <v>2053.010504347827</v>
      </c>
      <c r="AN298" t="str">
        <f ca="1"/>
        <v>O-45706-D-0023</v>
      </c>
      <c r="AO298" t="str">
        <f ca="1"/>
        <v>Delivered</v>
      </c>
    </row>
    <row r="299" spans="1:41" x14ac:dyDescent="0.5">
      <c r="A299" t="str">
        <f ca="1"/>
        <v>F-178</v>
      </c>
      <c r="B299" s="1">
        <f ca="1"/>
        <v>45706</v>
      </c>
      <c r="C299" t="str">
        <f ca="1"/>
        <v>D-0023</v>
      </c>
      <c r="D299" t="str">
        <f ca="1"/>
        <v>R.Hossain Motors</v>
      </c>
      <c r="E299" t="str">
        <f ca="1"/>
        <v>Registriri para, Tangail Sadar</v>
      </c>
      <c r="F299">
        <f ca="1"/>
        <v>1521308494</v>
      </c>
      <c r="G299" t="str">
        <f ca="1"/>
        <v>Monirul Islam</v>
      </c>
      <c r="H299" t="str">
        <f ca="1"/>
        <v>Raihan Siddiqui</v>
      </c>
      <c r="I299" t="str">
        <f ca="1"/>
        <v>Bondhu Motors</v>
      </c>
      <c r="J299" t="str">
        <f ca="1"/>
        <v>Rangpur</v>
      </c>
      <c r="K299" t="str">
        <f ca="1"/>
        <v>LO00119</v>
      </c>
      <c r="L299" t="str">
        <f ca="1"/>
        <v>3000 4T 20W50</v>
      </c>
      <c r="M299">
        <f ca="1"/>
        <v>100</v>
      </c>
      <c r="N299">
        <f ca="1"/>
        <v>495</v>
      </c>
      <c r="O299">
        <f ca="1"/>
        <v>100</v>
      </c>
      <c r="P299">
        <f ca="1"/>
        <v>2.4242424242424288E-2</v>
      </c>
      <c r="Q299">
        <f ca="1"/>
        <v>0</v>
      </c>
      <c r="R299">
        <f ca="1"/>
        <v>483</v>
      </c>
      <c r="S299">
        <f ca="1"/>
        <v>100</v>
      </c>
      <c r="T299">
        <f ca="1"/>
        <v>100</v>
      </c>
      <c r="U299">
        <f ca="1"/>
        <v>49500</v>
      </c>
      <c r="V299">
        <f ca="1"/>
        <v>0</v>
      </c>
      <c r="W299">
        <f ca="1"/>
        <v>48300</v>
      </c>
      <c r="X299">
        <f ca="1"/>
        <v>6300</v>
      </c>
      <c r="Y299">
        <f ca="1"/>
        <v>42000</v>
      </c>
      <c r="Z299" t="str">
        <f ca="1"/>
        <v>Cash</v>
      </c>
      <c r="AA299">
        <f ca="1"/>
        <v>645</v>
      </c>
      <c r="AB299" t="str">
        <f ca="1"/>
        <v>Regular</v>
      </c>
      <c r="AC299">
        <f ca="1"/>
        <v>45711</v>
      </c>
      <c r="AD299" t="str">
        <f ca="1"/>
        <v/>
      </c>
      <c r="AE299" t="str">
        <f ca="1"/>
        <v>Northern</v>
      </c>
      <c r="AF299" t="str">
        <f ca="1"/>
        <v>Mineral</v>
      </c>
      <c r="AG299" t="str">
        <f ca="1"/>
        <v>MCO</v>
      </c>
      <c r="AH299" t="str">
        <f ca="1"/>
        <v>20W50</v>
      </c>
      <c r="AI299" t="str">
        <f ca="1"/>
        <v>3000</v>
      </c>
      <c r="AJ299">
        <f ca="1"/>
        <v>0</v>
      </c>
      <c r="AK299" t="str">
        <f ca="1"/>
        <v>20x1L</v>
      </c>
      <c r="AL299">
        <f ca="1"/>
        <v>36492</v>
      </c>
      <c r="AM299">
        <f ca="1"/>
        <v>5508</v>
      </c>
      <c r="AN299" t="str">
        <f ca="1"/>
        <v>O-45706-D-0023</v>
      </c>
      <c r="AO299" t="str">
        <f ca="1"/>
        <v>Delivered</v>
      </c>
    </row>
    <row r="300" spans="1:41" x14ac:dyDescent="0.5">
      <c r="A300" t="str">
        <f ca="1"/>
        <v>F-179</v>
      </c>
      <c r="B300" s="1">
        <f ca="1"/>
        <v>45708</v>
      </c>
      <c r="C300" t="str">
        <f ca="1"/>
        <v>D-0023</v>
      </c>
      <c r="D300" t="str">
        <f ca="1"/>
        <v xml:space="preserve">Bike Bits </v>
      </c>
      <c r="E300" t="str">
        <f ca="1"/>
        <v>Banglipur, Saidpur</v>
      </c>
      <c r="F300" t="str">
        <f ca="1"/>
        <v>01998-480255</v>
      </c>
      <c r="G300" t="str">
        <f ca="1"/>
        <v>Monirul Islam</v>
      </c>
      <c r="H300" t="str">
        <f ca="1"/>
        <v>Raihan Siddiqui</v>
      </c>
      <c r="I300" t="str">
        <f ca="1"/>
        <v>Bondhu Motors</v>
      </c>
      <c r="J300" t="str">
        <f ca="1"/>
        <v>Rangpur</v>
      </c>
      <c r="K300" t="str">
        <f ca="1"/>
        <v>LO00043</v>
      </c>
      <c r="L300" t="str">
        <f ca="1"/>
        <v>3000 4T PLUS 10W40</v>
      </c>
      <c r="M300">
        <f ca="1"/>
        <v>80</v>
      </c>
      <c r="N300">
        <f ca="1"/>
        <v>550</v>
      </c>
      <c r="O300">
        <f ca="1"/>
        <v>80</v>
      </c>
      <c r="P300">
        <f ca="1"/>
        <v>0</v>
      </c>
      <c r="Q300">
        <f ca="1"/>
        <v>0</v>
      </c>
      <c r="R300">
        <f ca="1"/>
        <v>550</v>
      </c>
      <c r="S300">
        <f ca="1"/>
        <v>80</v>
      </c>
      <c r="T300">
        <f ca="1"/>
        <v>80</v>
      </c>
      <c r="U300">
        <f ca="1"/>
        <v>44000</v>
      </c>
      <c r="V300">
        <f ca="1"/>
        <v>0</v>
      </c>
      <c r="W300">
        <f ca="1"/>
        <v>44000</v>
      </c>
      <c r="X300">
        <f ca="1"/>
        <v>5739.130434782609</v>
      </c>
      <c r="Y300">
        <f ca="1"/>
        <v>38260.869565217392</v>
      </c>
      <c r="Z300" t="str">
        <f ca="1"/>
        <v>Cash</v>
      </c>
      <c r="AA300">
        <f ca="1"/>
        <v>646</v>
      </c>
      <c r="AB300" t="str">
        <f ca="1"/>
        <v>Regular</v>
      </c>
      <c r="AC300">
        <f ca="1"/>
        <v>45711</v>
      </c>
      <c r="AD300" t="str">
        <f ca="1"/>
        <v/>
      </c>
      <c r="AE300" t="str">
        <f ca="1"/>
        <v>Northern</v>
      </c>
      <c r="AF300" t="str">
        <f ca="1"/>
        <v>Mineral</v>
      </c>
      <c r="AG300" t="str">
        <f ca="1"/>
        <v>MCO</v>
      </c>
      <c r="AH300" t="str">
        <f ca="1"/>
        <v>10W40</v>
      </c>
      <c r="AI300" t="str">
        <f ca="1"/>
        <v>3000</v>
      </c>
      <c r="AJ300">
        <f ca="1"/>
        <v>0</v>
      </c>
      <c r="AK300" t="str">
        <f ca="1"/>
        <v>20x1L</v>
      </c>
      <c r="AL300">
        <f ca="1"/>
        <v>30788</v>
      </c>
      <c r="AM300">
        <f ca="1"/>
        <v>7472.8695652173919</v>
      </c>
      <c r="AN300" t="str">
        <f ca="1"/>
        <v>O-45708-D-0023</v>
      </c>
      <c r="AO300" t="str">
        <f ca="1"/>
        <v>Delivered</v>
      </c>
    </row>
    <row r="301" spans="1:41" x14ac:dyDescent="0.5">
      <c r="A301" t="str">
        <f ca="1"/>
        <v>F-179</v>
      </c>
      <c r="B301" s="1">
        <f ca="1"/>
        <v>45708</v>
      </c>
      <c r="C301" t="str">
        <f ca="1"/>
        <v>D-0023</v>
      </c>
      <c r="D301" t="str">
        <f ca="1"/>
        <v xml:space="preserve">Bike Bits </v>
      </c>
      <c r="E301" t="str">
        <f ca="1"/>
        <v>Banglipur, Saidpur</v>
      </c>
      <c r="F301" t="str">
        <f ca="1"/>
        <v>01998-480255</v>
      </c>
      <c r="G301" t="str">
        <f ca="1"/>
        <v>Monirul Islam</v>
      </c>
      <c r="H301" t="str">
        <f ca="1"/>
        <v>Raihan Siddiqui</v>
      </c>
      <c r="I301" t="str">
        <f ca="1"/>
        <v>Bondhu Motors</v>
      </c>
      <c r="J301" t="str">
        <f ca="1"/>
        <v>Rangpur</v>
      </c>
      <c r="K301" t="str">
        <f ca="1"/>
        <v>LO00073</v>
      </c>
      <c r="L301" t="str">
        <f ca="1"/>
        <v>3000 4T PLUS 10W30</v>
      </c>
      <c r="M301">
        <f ca="1"/>
        <v>20</v>
      </c>
      <c r="N301">
        <f ca="1"/>
        <v>650</v>
      </c>
      <c r="O301">
        <f ca="1"/>
        <v>24</v>
      </c>
      <c r="P301">
        <f ca="1"/>
        <v>-2.2204460492503131E-16</v>
      </c>
      <c r="Q301">
        <f ca="1"/>
        <v>0</v>
      </c>
      <c r="R301">
        <f ca="1"/>
        <v>650.00000000000011</v>
      </c>
      <c r="S301">
        <f ca="1"/>
        <v>20</v>
      </c>
      <c r="T301">
        <f ca="1"/>
        <v>24</v>
      </c>
      <c r="U301">
        <f ca="1"/>
        <v>13000</v>
      </c>
      <c r="V301">
        <f ca="1"/>
        <v>0</v>
      </c>
      <c r="W301">
        <f ca="1"/>
        <v>13000.000000000002</v>
      </c>
      <c r="X301">
        <f ca="1"/>
        <v>1695.6521739130437</v>
      </c>
      <c r="Y301">
        <f ca="1"/>
        <v>11304.347826086958</v>
      </c>
      <c r="Z301" t="str">
        <f ca="1"/>
        <v>Cash</v>
      </c>
      <c r="AA301">
        <f ca="1"/>
        <v>646</v>
      </c>
      <c r="AB301" t="str">
        <f ca="1"/>
        <v>Regular</v>
      </c>
      <c r="AC301">
        <f ca="1"/>
        <v>45711</v>
      </c>
      <c r="AD301" t="str">
        <f ca="1"/>
        <v/>
      </c>
      <c r="AE301" t="str">
        <f ca="1"/>
        <v>Northern</v>
      </c>
      <c r="AF301" t="str">
        <f ca="1"/>
        <v>Mineral</v>
      </c>
      <c r="AG301" t="str">
        <f ca="1"/>
        <v>MCO</v>
      </c>
      <c r="AH301" t="str">
        <f ca="1"/>
        <v>10W30</v>
      </c>
      <c r="AI301" t="str">
        <f ca="1"/>
        <v>3000</v>
      </c>
      <c r="AJ301">
        <f ca="1"/>
        <v>0</v>
      </c>
      <c r="AK301" t="str">
        <f ca="1"/>
        <v>20x1.2L</v>
      </c>
      <c r="AL301">
        <f ca="1"/>
        <v>8778</v>
      </c>
      <c r="AM301">
        <f ca="1"/>
        <v>2526.3478260869579</v>
      </c>
      <c r="AN301" t="str">
        <f ca="1"/>
        <v>O-45708-D-0023</v>
      </c>
      <c r="AO301" t="str">
        <f ca="1"/>
        <v>Delivered</v>
      </c>
    </row>
    <row r="302" spans="1:41" x14ac:dyDescent="0.5">
      <c r="A302" t="str">
        <f ca="1"/>
        <v>F-179</v>
      </c>
      <c r="B302" s="1">
        <f ca="1"/>
        <v>45708</v>
      </c>
      <c r="C302" t="str">
        <f ca="1"/>
        <v>D-0023</v>
      </c>
      <c r="D302" t="str">
        <f ca="1"/>
        <v xml:space="preserve">Bike Bits </v>
      </c>
      <c r="E302" t="str">
        <f ca="1"/>
        <v>Banglipur, Saidpur</v>
      </c>
      <c r="F302" t="str">
        <f ca="1"/>
        <v>01998-480255</v>
      </c>
      <c r="G302" t="str">
        <f ca="1"/>
        <v>Monirul Islam</v>
      </c>
      <c r="H302" t="str">
        <f ca="1"/>
        <v>Raihan Siddiqui</v>
      </c>
      <c r="I302" t="str">
        <f ca="1"/>
        <v>Bondhu Motors</v>
      </c>
      <c r="J302" t="str">
        <f ca="1"/>
        <v>Rangpur</v>
      </c>
      <c r="K302" t="str">
        <f ca="1"/>
        <v>LO00076</v>
      </c>
      <c r="L302" t="str">
        <f ca="1"/>
        <v>Inugel Expert Coolant</v>
      </c>
      <c r="M302">
        <f ca="1"/>
        <v>20</v>
      </c>
      <c r="N302">
        <f ca="1"/>
        <v>425</v>
      </c>
      <c r="O302">
        <f ca="1"/>
        <v>20</v>
      </c>
      <c r="P302">
        <f ca="1"/>
        <v>0</v>
      </c>
      <c r="Q302">
        <f ca="1"/>
        <v>0</v>
      </c>
      <c r="R302">
        <f ca="1"/>
        <v>425</v>
      </c>
      <c r="S302">
        <f ca="1"/>
        <v>20</v>
      </c>
      <c r="T302">
        <f ca="1"/>
        <v>20</v>
      </c>
      <c r="U302">
        <f ca="1"/>
        <v>8500</v>
      </c>
      <c r="V302">
        <f ca="1"/>
        <v>0</v>
      </c>
      <c r="W302">
        <f ca="1"/>
        <v>8500</v>
      </c>
      <c r="X302">
        <f ca="1"/>
        <v>1108.695652173913</v>
      </c>
      <c r="Y302">
        <f ca="1"/>
        <v>7391.304347826087</v>
      </c>
      <c r="Z302" t="str">
        <f ca="1"/>
        <v>Cash</v>
      </c>
      <c r="AA302">
        <f ca="1"/>
        <v>646</v>
      </c>
      <c r="AB302" t="str">
        <f ca="1"/>
        <v>Regular</v>
      </c>
      <c r="AC302">
        <f ca="1"/>
        <v>45711</v>
      </c>
      <c r="AD302" t="str">
        <f ca="1"/>
        <v/>
      </c>
      <c r="AE302" t="str">
        <f ca="1"/>
        <v>Northern</v>
      </c>
      <c r="AF302" t="str">
        <f ca="1"/>
        <v>Care Products</v>
      </c>
      <c r="AG302" t="str">
        <f ca="1"/>
        <v>Care Products</v>
      </c>
      <c r="AH302" t="str">
        <f ca="1"/>
        <v>Care Products</v>
      </c>
      <c r="AI302" t="str">
        <f ca="1"/>
        <v>Coolant</v>
      </c>
      <c r="AJ302">
        <f ca="1"/>
        <v>0</v>
      </c>
      <c r="AK302" t="str">
        <f ca="1"/>
        <v>20x1L</v>
      </c>
      <c r="AL302">
        <f ca="1"/>
        <v>4612.7999999999993</v>
      </c>
      <c r="AM302">
        <f ca="1"/>
        <v>2778.5043478260877</v>
      </c>
      <c r="AN302" t="str">
        <f ca="1"/>
        <v>O-45708-D-0023</v>
      </c>
      <c r="AO302" t="str">
        <f ca="1"/>
        <v>Delivered</v>
      </c>
    </row>
    <row r="303" spans="1:41" x14ac:dyDescent="0.5">
      <c r="A303" t="str">
        <f ca="1"/>
        <v>F-179</v>
      </c>
      <c r="B303" s="1">
        <f ca="1"/>
        <v>45708</v>
      </c>
      <c r="C303" t="str">
        <f ca="1"/>
        <v>D-0023</v>
      </c>
      <c r="D303" t="str">
        <f ca="1"/>
        <v xml:space="preserve">Bike Bits </v>
      </c>
      <c r="E303" t="str">
        <f ca="1"/>
        <v>Banglipur, Saidpur</v>
      </c>
      <c r="F303" t="str">
        <f ca="1"/>
        <v>01998-480255</v>
      </c>
      <c r="G303" t="str">
        <f ca="1"/>
        <v>Monirul Islam</v>
      </c>
      <c r="H303" t="str">
        <f ca="1"/>
        <v>Raihan Siddiqui</v>
      </c>
      <c r="I303" t="str">
        <f ca="1"/>
        <v>Bondhu Motors</v>
      </c>
      <c r="J303" t="str">
        <f ca="1"/>
        <v>Rangpur</v>
      </c>
      <c r="K303" t="str">
        <f ca="1"/>
        <v>LO00120</v>
      </c>
      <c r="L303" t="str">
        <f ca="1"/>
        <v>3000 4T 20W50</v>
      </c>
      <c r="M303">
        <f ca="1"/>
        <v>20</v>
      </c>
      <c r="N303">
        <f ca="1"/>
        <v>595</v>
      </c>
      <c r="O303">
        <f ca="1"/>
        <v>24</v>
      </c>
      <c r="P303">
        <f ca="1"/>
        <v>0</v>
      </c>
      <c r="Q303">
        <f ca="1"/>
        <v>0</v>
      </c>
      <c r="R303">
        <f ca="1"/>
        <v>595</v>
      </c>
      <c r="S303">
        <f ca="1"/>
        <v>20</v>
      </c>
      <c r="T303">
        <f ca="1"/>
        <v>24</v>
      </c>
      <c r="U303">
        <f ca="1"/>
        <v>11900</v>
      </c>
      <c r="V303">
        <f ca="1"/>
        <v>0</v>
      </c>
      <c r="W303">
        <f ca="1"/>
        <v>11900</v>
      </c>
      <c r="X303">
        <f ca="1"/>
        <v>1552.1739130434783</v>
      </c>
      <c r="Y303">
        <f ca="1"/>
        <v>10347.826086956522</v>
      </c>
      <c r="Z303" t="str">
        <f ca="1"/>
        <v>Cash</v>
      </c>
      <c r="AA303">
        <f ca="1"/>
        <v>646</v>
      </c>
      <c r="AB303" t="str">
        <f ca="1"/>
        <v>Regular</v>
      </c>
      <c r="AC303">
        <f ca="1"/>
        <v>45711</v>
      </c>
      <c r="AD303" t="str">
        <f ca="1"/>
        <v/>
      </c>
      <c r="AE303" t="str">
        <f ca="1"/>
        <v>Northern</v>
      </c>
      <c r="AF303" t="str">
        <f ca="1"/>
        <v>Mineral</v>
      </c>
      <c r="AG303" t="str">
        <f ca="1"/>
        <v>MCO</v>
      </c>
      <c r="AH303" t="str">
        <f ca="1"/>
        <v>20W50</v>
      </c>
      <c r="AI303" t="str">
        <f ca="1"/>
        <v>3000</v>
      </c>
      <c r="AJ303">
        <f ca="1"/>
        <v>0</v>
      </c>
      <c r="AK303" t="str">
        <f ca="1"/>
        <v>20x1.2L</v>
      </c>
      <c r="AL303">
        <f ca="1"/>
        <v>8692.2000000000007</v>
      </c>
      <c r="AM303">
        <f ca="1"/>
        <v>1655.6260869565212</v>
      </c>
      <c r="AN303" t="str">
        <f ca="1"/>
        <v>O-45708-D-0023</v>
      </c>
      <c r="AO303" t="str">
        <f ca="1"/>
        <v>Delivered</v>
      </c>
    </row>
    <row r="304" spans="1:41" x14ac:dyDescent="0.5">
      <c r="A304" t="str">
        <f ca="1"/>
        <v>F-180</v>
      </c>
      <c r="B304" s="1">
        <f ca="1"/>
        <v>45708</v>
      </c>
      <c r="C304" t="str">
        <f ca="1"/>
        <v>D-0023</v>
      </c>
      <c r="D304" t="str">
        <f ca="1"/>
        <v>Boundhu Motors &amp; Mobil Ghor</v>
      </c>
      <c r="E304" t="str">
        <f ca="1"/>
        <v>Salo Market, Shapla, Rangpur Sadar</v>
      </c>
      <c r="F304">
        <f ca="1"/>
        <v>1737144950</v>
      </c>
      <c r="G304" t="str">
        <f ca="1"/>
        <v>Monirul Islam</v>
      </c>
      <c r="H304" t="str">
        <f ca="1"/>
        <v>Raihan Siddiqui</v>
      </c>
      <c r="I304" t="str">
        <f ca="1"/>
        <v>Bondhu Motors</v>
      </c>
      <c r="J304" t="str">
        <f ca="1"/>
        <v>Rangpur</v>
      </c>
      <c r="K304" t="str">
        <f ca="1"/>
        <v>LO00041</v>
      </c>
      <c r="L304" t="str">
        <f ca="1"/>
        <v>3000 4T PLUS 10W30</v>
      </c>
      <c r="M304">
        <f ca="1"/>
        <v>120</v>
      </c>
      <c r="N304">
        <f ca="1"/>
        <v>535</v>
      </c>
      <c r="O304">
        <f ca="1"/>
        <v>120</v>
      </c>
      <c r="P304">
        <f ca="1"/>
        <v>0</v>
      </c>
      <c r="Q304">
        <f ca="1"/>
        <v>0</v>
      </c>
      <c r="R304">
        <f ca="1"/>
        <v>535</v>
      </c>
      <c r="S304">
        <f ca="1"/>
        <v>120</v>
      </c>
      <c r="T304">
        <f ca="1"/>
        <v>120</v>
      </c>
      <c r="U304">
        <f ca="1"/>
        <v>64200</v>
      </c>
      <c r="V304">
        <f ca="1"/>
        <v>0</v>
      </c>
      <c r="W304">
        <f ca="1"/>
        <v>64200</v>
      </c>
      <c r="X304">
        <f ca="1"/>
        <v>8373.9130434782601</v>
      </c>
      <c r="Y304">
        <f ca="1"/>
        <v>55826.086956521736</v>
      </c>
      <c r="Z304" t="str">
        <f ca="1"/>
        <v>Cash</v>
      </c>
      <c r="AA304">
        <f ca="1"/>
        <v>647</v>
      </c>
      <c r="AB304" t="str">
        <f ca="1"/>
        <v>Flat Discount</v>
      </c>
      <c r="AC304">
        <f ca="1"/>
        <v>45711</v>
      </c>
      <c r="AD304" t="str">
        <f ca="1"/>
        <v>5tk/ unit discount on all products except (3000 10w30 1.2L)</v>
      </c>
      <c r="AE304" t="str">
        <f ca="1"/>
        <v>Northern</v>
      </c>
      <c r="AF304" t="str">
        <f ca="1"/>
        <v>Mineral</v>
      </c>
      <c r="AG304" t="str">
        <f ca="1"/>
        <v>MCO</v>
      </c>
      <c r="AH304" t="str">
        <f ca="1"/>
        <v>10W30</v>
      </c>
      <c r="AI304" t="str">
        <f ca="1"/>
        <v>3000</v>
      </c>
      <c r="AJ304">
        <f ca="1"/>
        <v>0</v>
      </c>
      <c r="AK304" t="str">
        <f ca="1"/>
        <v>20x1L</v>
      </c>
      <c r="AL304">
        <f ca="1"/>
        <v>45519.6</v>
      </c>
      <c r="AM304">
        <f ca="1"/>
        <v>10306.486956521738</v>
      </c>
      <c r="AN304" t="str">
        <f ca="1"/>
        <v>O-45708-D-0023</v>
      </c>
      <c r="AO304" t="str">
        <f ca="1"/>
        <v>Delivered</v>
      </c>
    </row>
    <row r="305" spans="1:41" x14ac:dyDescent="0.5">
      <c r="A305" t="str">
        <f ca="1"/>
        <v>F-180</v>
      </c>
      <c r="B305" s="1">
        <f ca="1"/>
        <v>45708</v>
      </c>
      <c r="C305" t="str">
        <f ca="1"/>
        <v>D-0023</v>
      </c>
      <c r="D305" t="str">
        <f ca="1"/>
        <v>Boundhu Motors &amp; Mobil Ghor</v>
      </c>
      <c r="E305" t="str">
        <f ca="1"/>
        <v>Salo Market, Shapla, Rangpur Sadar</v>
      </c>
      <c r="F305">
        <f ca="1"/>
        <v>1737144950</v>
      </c>
      <c r="G305" t="str">
        <f ca="1"/>
        <v>Monirul Islam</v>
      </c>
      <c r="H305" t="str">
        <f ca="1"/>
        <v>Raihan Siddiqui</v>
      </c>
      <c r="I305" t="str">
        <f ca="1"/>
        <v>Bondhu Motors</v>
      </c>
      <c r="J305" t="str">
        <f ca="1"/>
        <v>Rangpur</v>
      </c>
      <c r="K305" t="str">
        <f ca="1"/>
        <v>LO00043</v>
      </c>
      <c r="L305" t="str">
        <f ca="1"/>
        <v>3000 4T PLUS 10W40</v>
      </c>
      <c r="M305">
        <f ca="1"/>
        <v>280</v>
      </c>
      <c r="N305">
        <f ca="1"/>
        <v>545</v>
      </c>
      <c r="O305">
        <f ca="1"/>
        <v>280</v>
      </c>
      <c r="P305">
        <f ca="1"/>
        <v>0</v>
      </c>
      <c r="Q305">
        <f ca="1"/>
        <v>0</v>
      </c>
      <c r="R305">
        <f ca="1"/>
        <v>545</v>
      </c>
      <c r="S305">
        <f ca="1"/>
        <v>280</v>
      </c>
      <c r="T305">
        <f ca="1"/>
        <v>280</v>
      </c>
      <c r="U305">
        <f ca="1"/>
        <v>152600</v>
      </c>
      <c r="V305">
        <f ca="1"/>
        <v>0</v>
      </c>
      <c r="W305">
        <f ca="1"/>
        <v>152600</v>
      </c>
      <c r="X305">
        <f ca="1"/>
        <v>19904.347826086956</v>
      </c>
      <c r="Y305">
        <f ca="1"/>
        <v>132695.65217391305</v>
      </c>
      <c r="Z305" t="str">
        <f ca="1"/>
        <v>Cash</v>
      </c>
      <c r="AA305">
        <f ca="1"/>
        <v>647</v>
      </c>
      <c r="AB305" t="str">
        <f ca="1"/>
        <v>Flat Discount</v>
      </c>
      <c r="AC305">
        <f ca="1"/>
        <v>45711</v>
      </c>
      <c r="AD305" t="str">
        <f ca="1"/>
        <v>5tk/ unit discount on all products except (3000 10w30 1.2L)</v>
      </c>
      <c r="AE305" t="str">
        <f ca="1"/>
        <v>Northern</v>
      </c>
      <c r="AF305" t="str">
        <f ca="1"/>
        <v>Mineral</v>
      </c>
      <c r="AG305" t="str">
        <f ca="1"/>
        <v>MCO</v>
      </c>
      <c r="AH305" t="str">
        <f ca="1"/>
        <v>10W40</v>
      </c>
      <c r="AI305" t="str">
        <f ca="1"/>
        <v>3000</v>
      </c>
      <c r="AJ305">
        <f ca="1"/>
        <v>0</v>
      </c>
      <c r="AK305" t="str">
        <f ca="1"/>
        <v>20x1L</v>
      </c>
      <c r="AL305">
        <f ca="1"/>
        <v>107758</v>
      </c>
      <c r="AM305">
        <f ca="1"/>
        <v>24937.652173913055</v>
      </c>
      <c r="AN305" t="str">
        <f ca="1"/>
        <v>O-45708-D-0023</v>
      </c>
      <c r="AO305" t="str">
        <f ca="1"/>
        <v>Delivered</v>
      </c>
    </row>
    <row r="306" spans="1:41" x14ac:dyDescent="0.5">
      <c r="A306" t="str">
        <f ca="1"/>
        <v>F-180</v>
      </c>
      <c r="B306" s="1">
        <f ca="1"/>
        <v>45708</v>
      </c>
      <c r="C306" t="str">
        <f ca="1"/>
        <v>D-0023</v>
      </c>
      <c r="D306" t="str">
        <f ca="1"/>
        <v>Boundhu Motors &amp; Mobil Ghor</v>
      </c>
      <c r="E306" t="str">
        <f ca="1"/>
        <v>Salo Market, Shapla, Rangpur Sadar</v>
      </c>
      <c r="F306">
        <f ca="1"/>
        <v>1737144950</v>
      </c>
      <c r="G306" t="str">
        <f ca="1"/>
        <v>Monirul Islam</v>
      </c>
      <c r="H306" t="str">
        <f ca="1"/>
        <v>Raihan Siddiqui</v>
      </c>
      <c r="I306" t="str">
        <f ca="1"/>
        <v>Bondhu Motors</v>
      </c>
      <c r="J306" t="str">
        <f ca="1"/>
        <v>Rangpur</v>
      </c>
      <c r="K306" t="str">
        <f ca="1"/>
        <v>LO00073</v>
      </c>
      <c r="L306" t="str">
        <f ca="1"/>
        <v>3000 4T PLUS 10W30</v>
      </c>
      <c r="M306">
        <f ca="1"/>
        <v>80</v>
      </c>
      <c r="N306">
        <f ca="1"/>
        <v>650</v>
      </c>
      <c r="O306">
        <f ca="1"/>
        <v>96</v>
      </c>
      <c r="P306">
        <f ca="1"/>
        <v>0</v>
      </c>
      <c r="Q306">
        <f ca="1"/>
        <v>0</v>
      </c>
      <c r="R306">
        <f ca="1"/>
        <v>650</v>
      </c>
      <c r="S306">
        <f ca="1"/>
        <v>80</v>
      </c>
      <c r="T306">
        <f ca="1"/>
        <v>96</v>
      </c>
      <c r="U306">
        <f ca="1"/>
        <v>52000</v>
      </c>
      <c r="V306">
        <f ca="1"/>
        <v>0</v>
      </c>
      <c r="W306">
        <f ca="1"/>
        <v>52000</v>
      </c>
      <c r="X306">
        <f ca="1"/>
        <v>6782.608695652174</v>
      </c>
      <c r="Y306">
        <f ca="1"/>
        <v>45217.391304347824</v>
      </c>
      <c r="Z306" t="str">
        <f ca="1"/>
        <v>Cash</v>
      </c>
      <c r="AA306">
        <f ca="1"/>
        <v>647</v>
      </c>
      <c r="AB306" t="str">
        <f ca="1"/>
        <v>Flat Discount</v>
      </c>
      <c r="AC306">
        <f ca="1"/>
        <v>45711</v>
      </c>
      <c r="AD306" t="str">
        <f ca="1"/>
        <v>5tk/ unit discount on all products except (3000 10w30 1.2L)</v>
      </c>
      <c r="AE306" t="str">
        <f ca="1"/>
        <v>Northern</v>
      </c>
      <c r="AF306" t="str">
        <f ca="1"/>
        <v>Mineral</v>
      </c>
      <c r="AG306" t="str">
        <f ca="1"/>
        <v>MCO</v>
      </c>
      <c r="AH306" t="str">
        <f ca="1"/>
        <v>10W30</v>
      </c>
      <c r="AI306" t="str">
        <f ca="1"/>
        <v>3000</v>
      </c>
      <c r="AJ306">
        <f ca="1"/>
        <v>0</v>
      </c>
      <c r="AK306" t="str">
        <f ca="1"/>
        <v>20x1.2L</v>
      </c>
      <c r="AL306">
        <f ca="1"/>
        <v>35112</v>
      </c>
      <c r="AM306">
        <f ca="1"/>
        <v>10105.391304347824</v>
      </c>
      <c r="AN306" t="str">
        <f ca="1"/>
        <v>O-45708-D-0023</v>
      </c>
      <c r="AO306" t="str">
        <f ca="1"/>
        <v>Delivered</v>
      </c>
    </row>
    <row r="307" spans="1:41" x14ac:dyDescent="0.5">
      <c r="A307" t="str">
        <f ca="1"/>
        <v>F-180</v>
      </c>
      <c r="B307" s="1">
        <f ca="1"/>
        <v>45708</v>
      </c>
      <c r="C307" t="str">
        <f ca="1"/>
        <v>D-0023</v>
      </c>
      <c r="D307" t="str">
        <f ca="1"/>
        <v>Boundhu Motors &amp; Mobil Ghor</v>
      </c>
      <c r="E307" t="str">
        <f ca="1"/>
        <v>Salo Market, Shapla, Rangpur Sadar</v>
      </c>
      <c r="F307">
        <f ca="1"/>
        <v>1737144950</v>
      </c>
      <c r="G307" t="str">
        <f ca="1"/>
        <v>Monirul Islam</v>
      </c>
      <c r="H307" t="str">
        <f ca="1"/>
        <v>Raihan Siddiqui</v>
      </c>
      <c r="I307" t="str">
        <f ca="1"/>
        <v>Bondhu Motors</v>
      </c>
      <c r="J307" t="str">
        <f ca="1"/>
        <v>Rangpur</v>
      </c>
      <c r="K307" t="str">
        <f ca="1"/>
        <v>LO00074</v>
      </c>
      <c r="L307" t="str">
        <f ca="1"/>
        <v>7100 4T 10W30 ESTER CORE®</v>
      </c>
      <c r="M307">
        <f ca="1"/>
        <v>12</v>
      </c>
      <c r="N307">
        <f ca="1"/>
        <v>1075</v>
      </c>
      <c r="O307">
        <f ca="1"/>
        <v>12</v>
      </c>
      <c r="P307">
        <f ca="1"/>
        <v>0</v>
      </c>
      <c r="Q307">
        <f ca="1"/>
        <v>0</v>
      </c>
      <c r="R307">
        <f ca="1"/>
        <v>1075</v>
      </c>
      <c r="S307">
        <f ca="1"/>
        <v>12</v>
      </c>
      <c r="T307">
        <f ca="1"/>
        <v>12</v>
      </c>
      <c r="U307">
        <f ca="1"/>
        <v>12900</v>
      </c>
      <c r="V307">
        <f ca="1"/>
        <v>0</v>
      </c>
      <c r="W307">
        <f ca="1"/>
        <v>12900</v>
      </c>
      <c r="X307">
        <f ca="1"/>
        <v>1682.608695652174</v>
      </c>
      <c r="Y307">
        <f ca="1"/>
        <v>11217.391304347826</v>
      </c>
      <c r="Z307" t="str">
        <f ca="1"/>
        <v>Cash</v>
      </c>
      <c r="AA307">
        <f ca="1"/>
        <v>647</v>
      </c>
      <c r="AB307" t="str">
        <f ca="1"/>
        <v>Flat Discount</v>
      </c>
      <c r="AC307">
        <f ca="1"/>
        <v>45711</v>
      </c>
      <c r="AD307" t="str">
        <f ca="1"/>
        <v>5tk/ unit discount on all products except (3000 10w30 1.2L)</v>
      </c>
      <c r="AE307" t="str">
        <f ca="1"/>
        <v>Northern</v>
      </c>
      <c r="AF307" t="str">
        <f ca="1"/>
        <v>Synthetic</v>
      </c>
      <c r="AG307" t="str">
        <f ca="1"/>
        <v>MCO</v>
      </c>
      <c r="AH307" t="str">
        <f ca="1"/>
        <v>10W30</v>
      </c>
      <c r="AI307" t="str">
        <f ca="1"/>
        <v>7100</v>
      </c>
      <c r="AJ307">
        <f ca="1"/>
        <v>0</v>
      </c>
      <c r="AK307" t="str">
        <f ca="1"/>
        <v>12x1L</v>
      </c>
      <c r="AL307">
        <f ca="1"/>
        <v>8278.32</v>
      </c>
      <c r="AM307">
        <f ca="1"/>
        <v>2939.0713043478263</v>
      </c>
      <c r="AN307" t="str">
        <f ca="1"/>
        <v>O-45708-D-0023</v>
      </c>
      <c r="AO307" t="str">
        <f ca="1"/>
        <v>Delivered</v>
      </c>
    </row>
    <row r="308" spans="1:41" x14ac:dyDescent="0.5">
      <c r="A308" t="str">
        <f ca="1"/>
        <v>F-181</v>
      </c>
      <c r="B308" s="1">
        <f ca="1"/>
        <v>45712</v>
      </c>
      <c r="C308" t="str">
        <f ca="1"/>
        <v>D-0025</v>
      </c>
      <c r="D308" t="str">
        <f ca="1"/>
        <v>Rancon Motor Bikes Ltd</v>
      </c>
      <c r="E308" t="str">
        <f ca="1"/>
        <v>Dhaka</v>
      </c>
      <c r="F308" t="str">
        <f ca="1"/>
        <v/>
      </c>
      <c r="G308" t="str">
        <f ca="1"/>
        <v>Captive Sales</v>
      </c>
      <c r="H308" t="str">
        <f ca="1"/>
        <v>Captive Sales</v>
      </c>
      <c r="I308" t="str">
        <f ca="1"/>
        <v>Rancon Motor Bikes Ltd</v>
      </c>
      <c r="J308" t="str">
        <f ca="1"/>
        <v>Dhaka</v>
      </c>
      <c r="K308" t="str">
        <f ca="1"/>
        <v>LO00043</v>
      </c>
      <c r="L308" t="str">
        <f ca="1"/>
        <v>3000 4T PLUS 10W40</v>
      </c>
      <c r="M308">
        <f ca="1"/>
        <v>10000</v>
      </c>
      <c r="N308">
        <f ca="1"/>
        <v>525</v>
      </c>
      <c r="O308">
        <f ca="1"/>
        <v>10000</v>
      </c>
      <c r="P308">
        <f ca="1"/>
        <v>0</v>
      </c>
      <c r="Q308">
        <f ca="1"/>
        <v>0</v>
      </c>
      <c r="R308">
        <f ca="1"/>
        <v>525</v>
      </c>
      <c r="S308">
        <f ca="1"/>
        <v>10000</v>
      </c>
      <c r="T308">
        <f ca="1"/>
        <v>10000</v>
      </c>
      <c r="U308">
        <f ca="1"/>
        <v>5250000</v>
      </c>
      <c r="V308">
        <f ca="1"/>
        <v>0</v>
      </c>
      <c r="W308">
        <f ca="1"/>
        <v>5250000</v>
      </c>
      <c r="X308">
        <f ca="1"/>
        <v>684782.60869565222</v>
      </c>
      <c r="Y308">
        <f ca="1"/>
        <v>4565217.3913043477</v>
      </c>
      <c r="Z308" t="str">
        <f ca="1"/>
        <v>Cash</v>
      </c>
      <c r="AA308">
        <f ca="1"/>
        <v>648</v>
      </c>
      <c r="AB308" t="str">
        <f ca="1"/>
        <v>Flat Discount</v>
      </c>
      <c r="AC308">
        <f ca="1"/>
        <v>45712</v>
      </c>
      <c r="AD308" t="str">
        <f ca="1"/>
        <v/>
      </c>
      <c r="AE308" t="str">
        <f ca="1"/>
        <v>Captive Sales</v>
      </c>
      <c r="AF308" t="str">
        <f ca="1"/>
        <v>Mineral</v>
      </c>
      <c r="AG308" t="str">
        <f ca="1"/>
        <v>MCO</v>
      </c>
      <c r="AH308" t="str">
        <f ca="1"/>
        <v>10W40</v>
      </c>
      <c r="AI308" t="str">
        <f ca="1"/>
        <v>3000</v>
      </c>
      <c r="AJ308">
        <f ca="1"/>
        <v>0</v>
      </c>
      <c r="AK308" t="str">
        <f ca="1"/>
        <v>20x1L</v>
      </c>
      <c r="AL308">
        <f ca="1"/>
        <v>3848500</v>
      </c>
      <c r="AM308">
        <f ca="1"/>
        <v>716717.39130434766</v>
      </c>
      <c r="AN308" t="str">
        <f ca="1"/>
        <v>O-45712-D-0025</v>
      </c>
      <c r="AO308" t="str">
        <f ca="1"/>
        <v>Delivered</v>
      </c>
    </row>
    <row r="309" spans="1:41" x14ac:dyDescent="0.5">
      <c r="A309" t="str">
        <f ca="1"/>
        <v>F-181</v>
      </c>
      <c r="B309" s="1">
        <f ca="1"/>
        <v>45712</v>
      </c>
      <c r="C309" t="str">
        <f ca="1"/>
        <v>D-0025</v>
      </c>
      <c r="D309" t="str">
        <f ca="1"/>
        <v>Rancon Motor Bikes Ltd</v>
      </c>
      <c r="E309" t="str">
        <f ca="1"/>
        <v>Dhaka</v>
      </c>
      <c r="F309" t="str">
        <f ca="1"/>
        <v/>
      </c>
      <c r="G309" t="str">
        <f ca="1"/>
        <v>Captive Sales</v>
      </c>
      <c r="H309" t="str">
        <f ca="1"/>
        <v>Captive Sales</v>
      </c>
      <c r="I309" t="str">
        <f ca="1"/>
        <v>Rancon Motor Bikes Ltd</v>
      </c>
      <c r="J309" t="str">
        <f ca="1"/>
        <v>Dhaka</v>
      </c>
      <c r="K309" t="str">
        <f ca="1"/>
        <v>LO00046</v>
      </c>
      <c r="L309" t="str">
        <f ca="1"/>
        <v>51004T 10W40 ESTER</v>
      </c>
      <c r="M309">
        <f ca="1"/>
        <v>3996</v>
      </c>
      <c r="N309">
        <f ca="1"/>
        <v>830</v>
      </c>
      <c r="O309">
        <f ca="1"/>
        <v>3996</v>
      </c>
      <c r="P309">
        <f ca="1"/>
        <v>0</v>
      </c>
      <c r="Q309">
        <f ca="1"/>
        <v>0</v>
      </c>
      <c r="R309">
        <f ca="1"/>
        <v>830</v>
      </c>
      <c r="S309">
        <f ca="1"/>
        <v>3996</v>
      </c>
      <c r="T309">
        <f ca="1"/>
        <v>3996</v>
      </c>
      <c r="U309">
        <f ca="1"/>
        <v>3316680</v>
      </c>
      <c r="V309">
        <f ca="1"/>
        <v>0</v>
      </c>
      <c r="W309">
        <f ca="1"/>
        <v>3316680</v>
      </c>
      <c r="X309">
        <f ca="1"/>
        <v>432610.4347826087</v>
      </c>
      <c r="Y309">
        <f ca="1"/>
        <v>2884069.5652173911</v>
      </c>
      <c r="Z309" t="str">
        <f ca="1"/>
        <v>Cash</v>
      </c>
      <c r="AA309">
        <f ca="1"/>
        <v>648</v>
      </c>
      <c r="AB309" t="str">
        <f ca="1"/>
        <v>Flat Discount</v>
      </c>
      <c r="AC309">
        <f ca="1"/>
        <v>45712</v>
      </c>
      <c r="AD309" t="str">
        <f ca="1"/>
        <v/>
      </c>
      <c r="AE309" t="str">
        <f ca="1"/>
        <v>Captive Sales</v>
      </c>
      <c r="AF309" t="str">
        <f ca="1"/>
        <v>Technosynthese</v>
      </c>
      <c r="AG309" t="str">
        <f ca="1"/>
        <v>MCO</v>
      </c>
      <c r="AH309" t="str">
        <f ca="1"/>
        <v>10W40</v>
      </c>
      <c r="AI309" t="str">
        <f ca="1"/>
        <v>5100</v>
      </c>
      <c r="AJ309">
        <f ca="1"/>
        <v>0</v>
      </c>
      <c r="AK309" t="str">
        <f ca="1"/>
        <v>12x1L</v>
      </c>
      <c r="AL309">
        <f ca="1"/>
        <v>2430886.6800000002</v>
      </c>
      <c r="AM309">
        <f ca="1"/>
        <v>453182.88521739095</v>
      </c>
      <c r="AN309" t="str">
        <f ca="1"/>
        <v>O-45712-D-0025</v>
      </c>
      <c r="AO309" t="str">
        <f ca="1"/>
        <v>Delivered</v>
      </c>
    </row>
    <row r="310" spans="1:41" x14ac:dyDescent="0.5">
      <c r="A310" t="str">
        <f ca="1"/>
        <v>F-182</v>
      </c>
      <c r="B310" s="1">
        <f ca="1"/>
        <v>45712</v>
      </c>
      <c r="C310" t="str">
        <f ca="1"/>
        <v>D-0015</v>
      </c>
      <c r="D310" t="str">
        <f ca="1"/>
        <v>MK Trading Corporation</v>
      </c>
      <c r="E310" t="str">
        <f ca="1"/>
        <v>26, City Corporation Market, Dayaganj, Dhaka-1100.</v>
      </c>
      <c r="F310" t="str">
        <f ca="1"/>
        <v>01911563926</v>
      </c>
      <c r="G310" t="str">
        <f ca="1"/>
        <v>Mahamudul Hasan Milon</v>
      </c>
      <c r="H310" t="str">
        <f ca="1"/>
        <v>Abdul Matin</v>
      </c>
      <c r="I310" t="str">
        <f ca="1"/>
        <v>MK Trading Corporation</v>
      </c>
      <c r="J310" t="str">
        <f ca="1"/>
        <v xml:space="preserve">Wari </v>
      </c>
      <c r="K310" t="str">
        <f ca="1"/>
        <v>LO00041</v>
      </c>
      <c r="L310" t="str">
        <f ca="1"/>
        <v>3000 4T PLUS 10W30</v>
      </c>
      <c r="M310">
        <f ca="1"/>
        <v>600</v>
      </c>
      <c r="N310">
        <f ca="1"/>
        <v>530</v>
      </c>
      <c r="O310">
        <f ca="1"/>
        <v>600</v>
      </c>
      <c r="P310">
        <f ca="1"/>
        <v>0</v>
      </c>
      <c r="Q310">
        <f ca="1"/>
        <v>0</v>
      </c>
      <c r="R310">
        <f ca="1"/>
        <v>530</v>
      </c>
      <c r="S310">
        <f ca="1"/>
        <v>600</v>
      </c>
      <c r="T310">
        <f ca="1"/>
        <v>600</v>
      </c>
      <c r="U310">
        <f ca="1"/>
        <v>318000</v>
      </c>
      <c r="V310">
        <f ca="1"/>
        <v>0</v>
      </c>
      <c r="W310">
        <f ca="1"/>
        <v>318000</v>
      </c>
      <c r="X310">
        <f ca="1"/>
        <v>41478.260869565216</v>
      </c>
      <c r="Y310">
        <f ca="1"/>
        <v>276521.73913043475</v>
      </c>
      <c r="Z310" t="str">
        <f ca="1"/>
        <v>Cash</v>
      </c>
      <c r="AA310">
        <f ca="1"/>
        <v>649</v>
      </c>
      <c r="AB310" t="str">
        <f ca="1"/>
        <v>Flat Discount</v>
      </c>
      <c r="AC310">
        <f ca="1"/>
        <v>45712</v>
      </c>
      <c r="AD310" t="str">
        <f ca="1"/>
        <v>No Transport allowance will be provied.</v>
      </c>
      <c r="AE310" t="str">
        <f ca="1"/>
        <v>Central</v>
      </c>
      <c r="AF310" t="str">
        <f ca="1"/>
        <v>Mineral</v>
      </c>
      <c r="AG310" t="str">
        <f ca="1"/>
        <v>MCO</v>
      </c>
      <c r="AH310" t="str">
        <f ca="1"/>
        <v>10W30</v>
      </c>
      <c r="AI310" t="str">
        <f ca="1"/>
        <v>3000</v>
      </c>
      <c r="AJ310">
        <f ca="1"/>
        <v>0</v>
      </c>
      <c r="AK310" t="str">
        <f ca="1"/>
        <v>20x1L</v>
      </c>
      <c r="AL310">
        <f ca="1"/>
        <v>227598</v>
      </c>
      <c r="AM310">
        <f ca="1"/>
        <v>48923.739130434755</v>
      </c>
      <c r="AN310" t="str">
        <f ca="1"/>
        <v>O-45712-D-0015</v>
      </c>
      <c r="AO310" t="str">
        <f ca="1"/>
        <v>Delivered</v>
      </c>
    </row>
    <row r="311" spans="1:41" x14ac:dyDescent="0.5">
      <c r="A311" t="str">
        <f ca="1"/>
        <v>F-182</v>
      </c>
      <c r="B311" s="1">
        <f ca="1"/>
        <v>45712</v>
      </c>
      <c r="C311" t="str">
        <f ca="1"/>
        <v>D-0015</v>
      </c>
      <c r="D311" t="str">
        <f ca="1"/>
        <v>MK Trading Corporation</v>
      </c>
      <c r="E311" t="str">
        <f ca="1"/>
        <v>26, City Corporation Market, Dayaganj, Dhaka-1100.</v>
      </c>
      <c r="F311" t="str">
        <f ca="1"/>
        <v>01911563926</v>
      </c>
      <c r="G311" t="str">
        <f ca="1"/>
        <v>Mahamudul Hasan Milon</v>
      </c>
      <c r="H311" t="str">
        <f ca="1"/>
        <v>Abdul Matin</v>
      </c>
      <c r="I311" t="str">
        <f ca="1"/>
        <v>MK Trading Corporation</v>
      </c>
      <c r="J311" t="str">
        <f ca="1"/>
        <v xml:space="preserve">Wari </v>
      </c>
      <c r="K311" t="str">
        <f ca="1"/>
        <v>LO00042</v>
      </c>
      <c r="L311" t="str">
        <f ca="1"/>
        <v>3000 4T PLUS 20W40</v>
      </c>
      <c r="M311">
        <f ca="1"/>
        <v>800</v>
      </c>
      <c r="N311">
        <f ca="1"/>
        <v>530</v>
      </c>
      <c r="O311">
        <f ca="1"/>
        <v>800</v>
      </c>
      <c r="P311">
        <f ca="1"/>
        <v>0</v>
      </c>
      <c r="Q311">
        <f ca="1"/>
        <v>0</v>
      </c>
      <c r="R311">
        <f ca="1"/>
        <v>530</v>
      </c>
      <c r="S311">
        <f ca="1"/>
        <v>800</v>
      </c>
      <c r="T311">
        <f ca="1"/>
        <v>800</v>
      </c>
      <c r="U311">
        <f ca="1"/>
        <v>424000</v>
      </c>
      <c r="V311">
        <f ca="1"/>
        <v>0</v>
      </c>
      <c r="W311">
        <f ca="1"/>
        <v>424000</v>
      </c>
      <c r="X311">
        <f ca="1"/>
        <v>55304.34782608696</v>
      </c>
      <c r="Y311">
        <f ca="1"/>
        <v>368695.65217391303</v>
      </c>
      <c r="Z311" t="str">
        <f ca="1"/>
        <v>Cash</v>
      </c>
      <c r="AA311">
        <f ca="1"/>
        <v>649</v>
      </c>
      <c r="AB311" t="str">
        <f ca="1"/>
        <v>Flat Discount</v>
      </c>
      <c r="AC311">
        <f ca="1"/>
        <v>45712</v>
      </c>
      <c r="AD311" t="str">
        <f ca="1"/>
        <v>No Transport allowance will be provied.</v>
      </c>
      <c r="AE311" t="str">
        <f ca="1"/>
        <v>Central</v>
      </c>
      <c r="AF311" t="str">
        <f ca="1"/>
        <v>Mineral</v>
      </c>
      <c r="AG311" t="str">
        <f ca="1"/>
        <v>MCO</v>
      </c>
      <c r="AH311" t="str">
        <f ca="1"/>
        <v>20W40</v>
      </c>
      <c r="AI311" t="str">
        <f ca="1"/>
        <v>3000</v>
      </c>
      <c r="AJ311">
        <f ca="1"/>
        <v>0</v>
      </c>
      <c r="AK311" t="str">
        <f ca="1"/>
        <v>20x1L</v>
      </c>
      <c r="AL311">
        <f ca="1"/>
        <v>330208</v>
      </c>
      <c r="AM311">
        <f ca="1"/>
        <v>38487.652173913026</v>
      </c>
      <c r="AN311" t="str">
        <f ca="1"/>
        <v>O-45712-D-0015</v>
      </c>
      <c r="AO311" t="str">
        <f ca="1"/>
        <v>Delivered</v>
      </c>
    </row>
    <row r="312" spans="1:41" x14ac:dyDescent="0.5">
      <c r="A312" t="str">
        <f ca="1"/>
        <v>F-182</v>
      </c>
      <c r="B312" s="1">
        <f ca="1"/>
        <v>45712</v>
      </c>
      <c r="C312" t="str">
        <f ca="1"/>
        <v>D-0015</v>
      </c>
      <c r="D312" t="str">
        <f ca="1"/>
        <v>MK Trading Corporation</v>
      </c>
      <c r="E312" t="str">
        <f ca="1"/>
        <v>26, City Corporation Market, Dayaganj, Dhaka-1100.</v>
      </c>
      <c r="F312" t="str">
        <f ca="1"/>
        <v>01911563926</v>
      </c>
      <c r="G312" t="str">
        <f ca="1"/>
        <v>Mahamudul Hasan Milon</v>
      </c>
      <c r="H312" t="str">
        <f ca="1"/>
        <v>Abdul Matin</v>
      </c>
      <c r="I312" t="str">
        <f ca="1"/>
        <v>MK Trading Corporation</v>
      </c>
      <c r="J312" t="str">
        <f ca="1"/>
        <v xml:space="preserve">Wari </v>
      </c>
      <c r="K312" t="str">
        <f ca="1"/>
        <v>LO00043</v>
      </c>
      <c r="L312" t="str">
        <f ca="1"/>
        <v>3000 4T PLUS 10W40</v>
      </c>
      <c r="M312">
        <f ca="1"/>
        <v>2000</v>
      </c>
      <c r="N312">
        <f ca="1"/>
        <v>530</v>
      </c>
      <c r="O312">
        <f ca="1"/>
        <v>2000</v>
      </c>
      <c r="P312">
        <f ca="1"/>
        <v>0</v>
      </c>
      <c r="Q312">
        <f ca="1"/>
        <v>0</v>
      </c>
      <c r="R312">
        <f ca="1"/>
        <v>530</v>
      </c>
      <c r="S312">
        <f ca="1"/>
        <v>2000</v>
      </c>
      <c r="T312">
        <f ca="1"/>
        <v>2000</v>
      </c>
      <c r="U312">
        <f ca="1"/>
        <v>1060000</v>
      </c>
      <c r="V312">
        <f ca="1"/>
        <v>0</v>
      </c>
      <c r="W312">
        <f ca="1"/>
        <v>1060000</v>
      </c>
      <c r="X312">
        <f ca="1"/>
        <v>138260.86956521738</v>
      </c>
      <c r="Y312">
        <f ca="1"/>
        <v>921739.13043478259</v>
      </c>
      <c r="Z312" t="str">
        <f ca="1"/>
        <v>Cash</v>
      </c>
      <c r="AA312">
        <f ca="1"/>
        <v>649</v>
      </c>
      <c r="AB312" t="str">
        <f ca="1"/>
        <v>Flat Discount</v>
      </c>
      <c r="AC312">
        <f ca="1"/>
        <v>45712</v>
      </c>
      <c r="AD312" t="str">
        <f ca="1"/>
        <v>No Transport allowance will be provied.</v>
      </c>
      <c r="AE312" t="str">
        <f ca="1"/>
        <v>Central</v>
      </c>
      <c r="AF312" t="str">
        <f ca="1"/>
        <v>Mineral</v>
      </c>
      <c r="AG312" t="str">
        <f ca="1"/>
        <v>MCO</v>
      </c>
      <c r="AH312" t="str">
        <f ca="1"/>
        <v>10W40</v>
      </c>
      <c r="AI312" t="str">
        <f ca="1"/>
        <v>3000</v>
      </c>
      <c r="AJ312">
        <f ca="1"/>
        <v>0</v>
      </c>
      <c r="AK312" t="str">
        <f ca="1"/>
        <v>20x1L</v>
      </c>
      <c r="AL312">
        <f ca="1"/>
        <v>769700</v>
      </c>
      <c r="AM312">
        <f ca="1"/>
        <v>152039.13043478259</v>
      </c>
      <c r="AN312" t="str">
        <f ca="1"/>
        <v>O-45712-D-0015</v>
      </c>
      <c r="AO312" t="str">
        <f ca="1"/>
        <v>Delivered</v>
      </c>
    </row>
    <row r="313" spans="1:41" x14ac:dyDescent="0.5">
      <c r="A313" t="str">
        <f ca="1"/>
        <v>F-183</v>
      </c>
      <c r="B313" s="1">
        <f ca="1"/>
        <v>45712</v>
      </c>
      <c r="C313" t="str">
        <f ca="1"/>
        <v>D-0009</v>
      </c>
      <c r="D313" t="str">
        <f ca="1"/>
        <v>Surma Trading Agency</v>
      </c>
      <c r="E313" t="str">
        <f ca="1"/>
        <v>4/4, Saidabad, Dhaka-1100.</v>
      </c>
      <c r="F313" t="str">
        <f ca="1"/>
        <v>01784398413</v>
      </c>
      <c r="G313" t="str">
        <f ca="1"/>
        <v>Mahamudul Hasan Milon</v>
      </c>
      <c r="H313" t="str">
        <f ca="1"/>
        <v>Abdul Matin</v>
      </c>
      <c r="I313" t="str">
        <f ca="1"/>
        <v>Surma trading</v>
      </c>
      <c r="J313" t="str">
        <f ca="1"/>
        <v>Saydabad</v>
      </c>
      <c r="K313" t="str">
        <f ca="1"/>
        <v>LO00046</v>
      </c>
      <c r="L313" t="str">
        <f ca="1"/>
        <v>51004T 10W40 ESTER</v>
      </c>
      <c r="M313">
        <f ca="1"/>
        <v>840</v>
      </c>
      <c r="N313">
        <f ca="1"/>
        <v>850</v>
      </c>
      <c r="O313">
        <f ca="1"/>
        <v>840</v>
      </c>
      <c r="P313">
        <f ca="1"/>
        <v>0</v>
      </c>
      <c r="Q313">
        <f ca="1"/>
        <v>0</v>
      </c>
      <c r="R313">
        <f ca="1"/>
        <v>850</v>
      </c>
      <c r="S313">
        <f ca="1"/>
        <v>840</v>
      </c>
      <c r="T313">
        <f ca="1"/>
        <v>840</v>
      </c>
      <c r="U313">
        <f ca="1"/>
        <v>714000</v>
      </c>
      <c r="V313">
        <f ca="1"/>
        <v>0</v>
      </c>
      <c r="W313">
        <f ca="1"/>
        <v>714000</v>
      </c>
      <c r="X313">
        <f ca="1"/>
        <v>93130.434782608689</v>
      </c>
      <c r="Y313">
        <f ca="1"/>
        <v>620869.56521739135</v>
      </c>
      <c r="Z313" t="str">
        <f ca="1"/>
        <v>Cash</v>
      </c>
      <c r="AA313">
        <f ca="1"/>
        <v>650</v>
      </c>
      <c r="AB313" t="str">
        <f ca="1"/>
        <v>Flat Discount</v>
      </c>
      <c r="AC313">
        <f ca="1"/>
        <v>45712</v>
      </c>
      <c r="AD313" t="str">
        <f ca="1"/>
        <v>No transport allowance will be provided.</v>
      </c>
      <c r="AE313" t="str">
        <f ca="1"/>
        <v>Central</v>
      </c>
      <c r="AF313" t="str">
        <f ca="1"/>
        <v>Technosynthese</v>
      </c>
      <c r="AG313" t="str">
        <f ca="1"/>
        <v>MCO</v>
      </c>
      <c r="AH313" t="str">
        <f ca="1"/>
        <v>10W40</v>
      </c>
      <c r="AI313" t="str">
        <f ca="1"/>
        <v>5100</v>
      </c>
      <c r="AJ313">
        <f ca="1"/>
        <v>0</v>
      </c>
      <c r="AK313" t="str">
        <f ca="1"/>
        <v>12x1L</v>
      </c>
      <c r="AL313">
        <f ca="1"/>
        <v>510997.2</v>
      </c>
      <c r="AM313">
        <f ca="1"/>
        <v>109872.36521739134</v>
      </c>
      <c r="AN313" t="str">
        <f ca="1"/>
        <v>O-45712-D-0009</v>
      </c>
      <c r="AO313" t="str">
        <f ca="1"/>
        <v>Delivered</v>
      </c>
    </row>
    <row r="314" spans="1:41" x14ac:dyDescent="0.5">
      <c r="A314" t="str">
        <f ca="1"/>
        <v>F-184</v>
      </c>
      <c r="B314" s="1">
        <f ca="1"/>
        <v>45713</v>
      </c>
      <c r="C314" t="str">
        <f ca="1"/>
        <v>D-0023</v>
      </c>
      <c r="D314" t="str">
        <f ca="1"/>
        <v>B S Motors</v>
      </c>
      <c r="E314" t="str">
        <f ca="1"/>
        <v xml:space="preserve">Station Road,Shapla,Rangpur </v>
      </c>
      <c r="F314">
        <f ca="1"/>
        <v>1780903329</v>
      </c>
      <c r="G314" t="str">
        <f ca="1"/>
        <v>Monirul Islam</v>
      </c>
      <c r="H314" t="str">
        <f ca="1"/>
        <v>Raihan Siddiqui</v>
      </c>
      <c r="I314" t="str">
        <f ca="1"/>
        <v>Bondhu Motors</v>
      </c>
      <c r="J314" t="str">
        <f ca="1"/>
        <v>Rangpur</v>
      </c>
      <c r="K314" t="str">
        <f ca="1"/>
        <v>LO00041</v>
      </c>
      <c r="L314" t="str">
        <f ca="1"/>
        <v>3000 4T PLUS 10W30</v>
      </c>
      <c r="M314">
        <f ca="1"/>
        <v>100</v>
      </c>
      <c r="N314">
        <f ca="1"/>
        <v>540</v>
      </c>
      <c r="O314">
        <f ca="1"/>
        <v>100</v>
      </c>
      <c r="P314">
        <f ca="1"/>
        <v>9.2592592592593004E-3</v>
      </c>
      <c r="Q314">
        <f ca="1"/>
        <v>0</v>
      </c>
      <c r="R314">
        <f ca="1"/>
        <v>535</v>
      </c>
      <c r="S314">
        <f ca="1"/>
        <v>100</v>
      </c>
      <c r="T314">
        <f ca="1"/>
        <v>100</v>
      </c>
      <c r="U314">
        <f ca="1"/>
        <v>54000</v>
      </c>
      <c r="V314">
        <f ca="1"/>
        <v>0</v>
      </c>
      <c r="W314">
        <f ca="1"/>
        <v>53500</v>
      </c>
      <c r="X314">
        <f ca="1"/>
        <v>6978.260869565217</v>
      </c>
      <c r="Y314">
        <f ca="1"/>
        <v>46521.739130434784</v>
      </c>
      <c r="Z314" t="str">
        <f ca="1"/>
        <v>Cash</v>
      </c>
      <c r="AA314">
        <f ca="1"/>
        <v>651</v>
      </c>
      <c r="AB314" t="str">
        <f ca="1"/>
        <v>Regular</v>
      </c>
      <c r="AC314">
        <f ca="1"/>
        <v>45714</v>
      </c>
      <c r="AD314" t="str">
        <f ca="1"/>
        <v/>
      </c>
      <c r="AE314" t="str">
        <f ca="1"/>
        <v>Northern</v>
      </c>
      <c r="AF314" t="str">
        <f ca="1"/>
        <v>Mineral</v>
      </c>
      <c r="AG314" t="str">
        <f ca="1"/>
        <v>MCO</v>
      </c>
      <c r="AH314" t="str">
        <f ca="1"/>
        <v>10W30</v>
      </c>
      <c r="AI314" t="str">
        <f ca="1"/>
        <v>3000</v>
      </c>
      <c r="AJ314">
        <f ca="1"/>
        <v>0</v>
      </c>
      <c r="AK314" t="str">
        <f ca="1"/>
        <v>20x1L</v>
      </c>
      <c r="AL314">
        <f ca="1"/>
        <v>37933</v>
      </c>
      <c r="AM314">
        <f ca="1"/>
        <v>8588.7391304347839</v>
      </c>
      <c r="AN314" t="str">
        <f ca="1"/>
        <v>O-45713-D-0023</v>
      </c>
      <c r="AO314" t="str">
        <f ca="1"/>
        <v>Delivered</v>
      </c>
    </row>
    <row r="315" spans="1:41" x14ac:dyDescent="0.5">
      <c r="A315" t="str">
        <f ca="1"/>
        <v>F-184</v>
      </c>
      <c r="B315" s="1">
        <f ca="1"/>
        <v>45713</v>
      </c>
      <c r="C315" t="str">
        <f ca="1"/>
        <v>D-0023</v>
      </c>
      <c r="D315" t="str">
        <f ca="1"/>
        <v>B S Motors</v>
      </c>
      <c r="E315" t="str">
        <f ca="1"/>
        <v xml:space="preserve">Station Road,Shapla,Rangpur </v>
      </c>
      <c r="F315">
        <f ca="1"/>
        <v>1780903329</v>
      </c>
      <c r="G315" t="str">
        <f ca="1"/>
        <v>Monirul Islam</v>
      </c>
      <c r="H315" t="str">
        <f ca="1"/>
        <v>Raihan Siddiqui</v>
      </c>
      <c r="I315" t="str">
        <f ca="1"/>
        <v>Bondhu Motors</v>
      </c>
      <c r="J315" t="str">
        <f ca="1"/>
        <v>Rangpur</v>
      </c>
      <c r="K315" t="str">
        <f ca="1"/>
        <v>LO00043</v>
      </c>
      <c r="L315" t="str">
        <f ca="1"/>
        <v>3000 4T PLUS 10W40</v>
      </c>
      <c r="M315">
        <f ca="1"/>
        <v>120</v>
      </c>
      <c r="N315">
        <f ca="1"/>
        <v>550</v>
      </c>
      <c r="O315">
        <f ca="1"/>
        <v>120</v>
      </c>
      <c r="P315">
        <f ca="1"/>
        <v>9.0909090909090384E-3</v>
      </c>
      <c r="Q315">
        <f ca="1"/>
        <v>0</v>
      </c>
      <c r="R315">
        <f ca="1"/>
        <v>545</v>
      </c>
      <c r="S315">
        <f ca="1"/>
        <v>120</v>
      </c>
      <c r="T315">
        <f ca="1"/>
        <v>120</v>
      </c>
      <c r="U315">
        <f ca="1"/>
        <v>66000</v>
      </c>
      <c r="V315">
        <f ca="1"/>
        <v>0</v>
      </c>
      <c r="W315">
        <f ca="1"/>
        <v>65400</v>
      </c>
      <c r="X315">
        <f ca="1"/>
        <v>8530.434782608696</v>
      </c>
      <c r="Y315">
        <f ca="1"/>
        <v>56869.565217391304</v>
      </c>
      <c r="Z315" t="str">
        <f ca="1"/>
        <v>Cash</v>
      </c>
      <c r="AA315">
        <f ca="1"/>
        <v>651</v>
      </c>
      <c r="AB315" t="str">
        <f ca="1"/>
        <v>Regular</v>
      </c>
      <c r="AC315">
        <f ca="1"/>
        <v>45714</v>
      </c>
      <c r="AD315" t="str">
        <f ca="1"/>
        <v/>
      </c>
      <c r="AE315" t="str">
        <f ca="1"/>
        <v>Northern</v>
      </c>
      <c r="AF315" t="str">
        <f ca="1"/>
        <v>Mineral</v>
      </c>
      <c r="AG315" t="str">
        <f ca="1"/>
        <v>MCO</v>
      </c>
      <c r="AH315" t="str">
        <f ca="1"/>
        <v>10W40</v>
      </c>
      <c r="AI315" t="str">
        <f ca="1"/>
        <v>3000</v>
      </c>
      <c r="AJ315">
        <f ca="1"/>
        <v>0</v>
      </c>
      <c r="AK315" t="str">
        <f ca="1"/>
        <v>20x1L</v>
      </c>
      <c r="AL315">
        <f ca="1"/>
        <v>46182</v>
      </c>
      <c r="AM315">
        <f ca="1"/>
        <v>10687.565217391304</v>
      </c>
      <c r="AN315" t="str">
        <f ca="1"/>
        <v>O-45713-D-0023</v>
      </c>
      <c r="AO315" t="str">
        <f ca="1"/>
        <v>Delivered</v>
      </c>
    </row>
    <row r="316" spans="1:41" x14ac:dyDescent="0.5">
      <c r="A316" t="str">
        <f ca="1"/>
        <v>F-184</v>
      </c>
      <c r="B316" s="1">
        <f ca="1"/>
        <v>45713</v>
      </c>
      <c r="C316" t="str">
        <f ca="1"/>
        <v>D-0023</v>
      </c>
      <c r="D316" t="str">
        <f ca="1"/>
        <v>B S Motors</v>
      </c>
      <c r="E316" t="str">
        <f ca="1"/>
        <v xml:space="preserve">Station Road,Shapla,Rangpur </v>
      </c>
      <c r="F316">
        <f ca="1"/>
        <v>1780903329</v>
      </c>
      <c r="G316" t="str">
        <f ca="1"/>
        <v>Monirul Islam</v>
      </c>
      <c r="H316" t="str">
        <f ca="1"/>
        <v>Raihan Siddiqui</v>
      </c>
      <c r="I316" t="str">
        <f ca="1"/>
        <v>Bondhu Motors</v>
      </c>
      <c r="J316" t="str">
        <f ca="1"/>
        <v>Rangpur</v>
      </c>
      <c r="K316" t="str">
        <f ca="1"/>
        <v>LO00119</v>
      </c>
      <c r="L316" t="str">
        <f ca="1"/>
        <v>3000 4T 20W50</v>
      </c>
      <c r="M316">
        <f ca="1"/>
        <v>120</v>
      </c>
      <c r="N316">
        <f ca="1"/>
        <v>495</v>
      </c>
      <c r="O316">
        <f ca="1"/>
        <v>120</v>
      </c>
      <c r="P316">
        <f ca="1"/>
        <v>2.4242424242424288E-2</v>
      </c>
      <c r="Q316">
        <f ca="1"/>
        <v>0</v>
      </c>
      <c r="R316">
        <f ca="1"/>
        <v>483</v>
      </c>
      <c r="S316">
        <f ca="1"/>
        <v>120</v>
      </c>
      <c r="T316">
        <f ca="1"/>
        <v>120</v>
      </c>
      <c r="U316">
        <f ca="1"/>
        <v>59400</v>
      </c>
      <c r="V316">
        <f ca="1"/>
        <v>0</v>
      </c>
      <c r="W316">
        <f ca="1"/>
        <v>57960</v>
      </c>
      <c r="X316">
        <f ca="1"/>
        <v>7560</v>
      </c>
      <c r="Y316">
        <f ca="1"/>
        <v>50400</v>
      </c>
      <c r="Z316" t="str">
        <f ca="1"/>
        <v>Cash</v>
      </c>
      <c r="AA316">
        <f ca="1"/>
        <v>651</v>
      </c>
      <c r="AB316" t="str">
        <f ca="1"/>
        <v>Regular</v>
      </c>
      <c r="AC316">
        <f ca="1"/>
        <v>45714</v>
      </c>
      <c r="AD316" t="str">
        <f ca="1"/>
        <v/>
      </c>
      <c r="AE316" t="str">
        <f ca="1"/>
        <v>Northern</v>
      </c>
      <c r="AF316" t="str">
        <f ca="1"/>
        <v>Mineral</v>
      </c>
      <c r="AG316" t="str">
        <f ca="1"/>
        <v>MCO</v>
      </c>
      <c r="AH316" t="str">
        <f ca="1"/>
        <v>20W50</v>
      </c>
      <c r="AI316" t="str">
        <f ca="1"/>
        <v>3000</v>
      </c>
      <c r="AJ316">
        <f ca="1"/>
        <v>0</v>
      </c>
      <c r="AK316" t="str">
        <f ca="1"/>
        <v>20x1L</v>
      </c>
      <c r="AL316">
        <f ca="1"/>
        <v>43790.400000000001</v>
      </c>
      <c r="AM316">
        <f ca="1"/>
        <v>6609.5999999999985</v>
      </c>
      <c r="AN316" t="str">
        <f ca="1"/>
        <v>O-45713-D-0023</v>
      </c>
      <c r="AO316" t="str">
        <f ca="1"/>
        <v>Delivered</v>
      </c>
    </row>
    <row r="317" spans="1:41" x14ac:dyDescent="0.5">
      <c r="A317" t="str">
        <f ca="1"/>
        <v>F-185</v>
      </c>
      <c r="B317" s="1">
        <f ca="1"/>
        <v>45712</v>
      </c>
      <c r="C317" t="str">
        <f ca="1"/>
        <v>D-0006</v>
      </c>
      <c r="D317" t="str">
        <f ca="1"/>
        <v>Maliha Enterprise</v>
      </c>
      <c r="E317" t="str">
        <f ca="1"/>
        <v>C/25/5, Thana Road Bus stand, Savar, Dhaka.</v>
      </c>
      <c r="F317" t="str">
        <f ca="1"/>
        <v>01715414646</v>
      </c>
      <c r="G317" t="str">
        <f ca="1"/>
        <v>Sayed Al Amin Apu</v>
      </c>
      <c r="H317" t="str">
        <f ca="1"/>
        <v>Abdul Matin</v>
      </c>
      <c r="I317" t="str">
        <f ca="1"/>
        <v>Maliha Enterprise</v>
      </c>
      <c r="J317" t="str">
        <f ca="1"/>
        <v>Savar</v>
      </c>
      <c r="K317" t="str">
        <f ca="1"/>
        <v>LO00043</v>
      </c>
      <c r="L317" t="str">
        <f ca="1"/>
        <v>3000 4T PLUS 10W40</v>
      </c>
      <c r="M317">
        <f ca="1"/>
        <v>2000</v>
      </c>
      <c r="N317">
        <f ca="1"/>
        <v>550</v>
      </c>
      <c r="O317">
        <f ca="1"/>
        <v>2000</v>
      </c>
      <c r="P317">
        <f ca="1"/>
        <v>2.7272727272727226E-2</v>
      </c>
      <c r="Q317">
        <f ca="1"/>
        <v>0</v>
      </c>
      <c r="R317">
        <f ca="1"/>
        <v>535</v>
      </c>
      <c r="S317">
        <f ca="1"/>
        <v>2000</v>
      </c>
      <c r="T317">
        <f ca="1"/>
        <v>2000</v>
      </c>
      <c r="U317">
        <f ca="1"/>
        <v>1100000</v>
      </c>
      <c r="V317">
        <f ca="1"/>
        <v>30000</v>
      </c>
      <c r="W317">
        <f ca="1"/>
        <v>1070000</v>
      </c>
      <c r="X317">
        <f ca="1"/>
        <v>139565.21739130435</v>
      </c>
      <c r="Y317">
        <f ca="1"/>
        <v>930434.78260869568</v>
      </c>
      <c r="Z317" t="str">
        <f ca="1"/>
        <v>Cash</v>
      </c>
      <c r="AA317">
        <f ca="1"/>
        <v>652</v>
      </c>
      <c r="AB317" t="str">
        <f ca="1"/>
        <v>Flat Discount</v>
      </c>
      <c r="AC317">
        <f ca="1"/>
        <v>45721</v>
      </c>
      <c r="AD317" t="str">
        <f ca="1"/>
        <v>20W50 toal primari lifting was 1084 pcs purpose 15 tk =  16,260 taka &amp; transport discount 2 tk/ltr = 840, in total 17,100/- taka has been provided.</v>
      </c>
      <c r="AE317" t="str">
        <f ca="1"/>
        <v>Central</v>
      </c>
      <c r="AF317" t="str">
        <f ca="1"/>
        <v>Mineral</v>
      </c>
      <c r="AG317" t="str">
        <f ca="1"/>
        <v>MCO</v>
      </c>
      <c r="AH317" t="str">
        <f ca="1"/>
        <v>10W40</v>
      </c>
      <c r="AI317" t="str">
        <f ca="1"/>
        <v>3000</v>
      </c>
      <c r="AJ317">
        <f ca="1"/>
        <v>0</v>
      </c>
      <c r="AK317" t="str">
        <f ca="1"/>
        <v>20x1L</v>
      </c>
      <c r="AL317">
        <f ca="1"/>
        <v>769700</v>
      </c>
      <c r="AM317">
        <f ca="1"/>
        <v>160734.78260869568</v>
      </c>
      <c r="AN317" t="str">
        <f ca="1"/>
        <v>O-45712-D-0006</v>
      </c>
      <c r="AO317" t="str">
        <f ca="1"/>
        <v>Delivered</v>
      </c>
    </row>
    <row r="318" spans="1:41" x14ac:dyDescent="0.5">
      <c r="A318" t="str">
        <f ca="1"/>
        <v>F-186</v>
      </c>
      <c r="B318" s="1">
        <f ca="1"/>
        <v>45714</v>
      </c>
      <c r="C318" t="str">
        <f ca="1"/>
        <v>D-0018</v>
      </c>
      <c r="D318" t="str">
        <f ca="1"/>
        <v xml:space="preserve">K B Lubricant </v>
      </c>
      <c r="E318" t="str">
        <f ca="1"/>
        <v xml:space="preserve">Ice Factory Road , Kadamtali , Ctg </v>
      </c>
      <c r="F318" t="str">
        <f ca="1"/>
        <v>019 7770 3528</v>
      </c>
      <c r="G318" t="str">
        <f ca="1"/>
        <v>Sultan Anisul Islam</v>
      </c>
      <c r="H318" t="str">
        <f ca="1"/>
        <v>Razur Rahman (Bipul)</v>
      </c>
      <c r="I318" t="str">
        <f ca="1"/>
        <v>KB Lubricants</v>
      </c>
      <c r="J318" t="str">
        <f ca="1"/>
        <v>Kadamtoli</v>
      </c>
      <c r="K318" t="str">
        <f ca="1"/>
        <v>LO00043</v>
      </c>
      <c r="L318" t="str">
        <f ca="1"/>
        <v>3000 4T PLUS 10W40</v>
      </c>
      <c r="M318">
        <f ca="1"/>
        <v>1005</v>
      </c>
      <c r="N318">
        <f ca="1"/>
        <v>535</v>
      </c>
      <c r="O318">
        <f ca="1"/>
        <v>1005</v>
      </c>
      <c r="P318">
        <f ca="1"/>
        <v>0</v>
      </c>
      <c r="Q318">
        <f ca="1"/>
        <v>0</v>
      </c>
      <c r="R318">
        <f ca="1"/>
        <v>535</v>
      </c>
      <c r="S318">
        <f ca="1"/>
        <v>1005</v>
      </c>
      <c r="T318">
        <f ca="1"/>
        <v>1005</v>
      </c>
      <c r="U318">
        <f ca="1"/>
        <v>537675</v>
      </c>
      <c r="V318">
        <f ca="1"/>
        <v>0</v>
      </c>
      <c r="W318">
        <f ca="1"/>
        <v>537675</v>
      </c>
      <c r="X318">
        <f ca="1"/>
        <v>70131.521739130432</v>
      </c>
      <c r="Y318">
        <f ca="1"/>
        <v>467543.47826086957</v>
      </c>
      <c r="Z318" t="str">
        <f ca="1"/>
        <v>Cash</v>
      </c>
      <c r="AA318">
        <f ca="1"/>
        <v>653</v>
      </c>
      <c r="AB318" t="str">
        <f ca="1"/>
        <v>Flat Discount</v>
      </c>
      <c r="AC318">
        <f ca="1"/>
        <v>45732</v>
      </c>
      <c r="AD318" t="str">
        <f ca="1"/>
        <v>Products are in Special Rate &amp; KB's previous balance, 60,419 tk  will be deducted from the total amount. So 6,43,216tk will be Payble</v>
      </c>
      <c r="AE318" t="str">
        <f ca="1"/>
        <v>Eastern</v>
      </c>
      <c r="AF318" t="str">
        <f ca="1"/>
        <v>Mineral</v>
      </c>
      <c r="AG318" t="str">
        <f ca="1"/>
        <v>MCO</v>
      </c>
      <c r="AH318" t="str">
        <f ca="1"/>
        <v>10W40</v>
      </c>
      <c r="AI318" t="str">
        <f ca="1"/>
        <v>3000</v>
      </c>
      <c r="AJ318">
        <f ca="1"/>
        <v>0</v>
      </c>
      <c r="AK318" t="str">
        <f ca="1"/>
        <v>20x1L</v>
      </c>
      <c r="AL318">
        <f ca="1"/>
        <v>386774.25</v>
      </c>
      <c r="AM318">
        <f ca="1"/>
        <v>80769.228260869568</v>
      </c>
      <c r="AN318" t="str">
        <f ca="1"/>
        <v>O-45714-D-0018</v>
      </c>
      <c r="AO318" t="str">
        <f ca="1"/>
        <v>Delivered</v>
      </c>
    </row>
    <row r="319" spans="1:41" x14ac:dyDescent="0.5">
      <c r="A319" t="str">
        <f ca="1"/>
        <v>F-186</v>
      </c>
      <c r="B319" s="1">
        <f ca="1"/>
        <v>45714</v>
      </c>
      <c r="C319" t="str">
        <f ca="1"/>
        <v>D-0018</v>
      </c>
      <c r="D319" t="str">
        <f ca="1"/>
        <v xml:space="preserve">K B Lubricant </v>
      </c>
      <c r="E319" t="str">
        <f ca="1"/>
        <v xml:space="preserve">Ice Factory Road , Kadamtali , Ctg </v>
      </c>
      <c r="F319" t="str">
        <f ca="1"/>
        <v>019 7770 3528</v>
      </c>
      <c r="G319" t="str">
        <f ca="1"/>
        <v>Sultan Anisul Islam</v>
      </c>
      <c r="H319" t="str">
        <f ca="1"/>
        <v>Razur Rahman (Bipul)</v>
      </c>
      <c r="I319" t="str">
        <f ca="1"/>
        <v>KB Lubricants</v>
      </c>
      <c r="J319" t="str">
        <f ca="1"/>
        <v>Kadamtoli</v>
      </c>
      <c r="K319" t="str">
        <f ca="1"/>
        <v>LO00104</v>
      </c>
      <c r="L319" t="str">
        <f ca="1"/>
        <v>7100 4T 10W30 ESTER CORE®</v>
      </c>
      <c r="M319">
        <f ca="1"/>
        <v>120</v>
      </c>
      <c r="N319">
        <f ca="1"/>
        <v>1260</v>
      </c>
      <c r="O319">
        <f ca="1"/>
        <v>144</v>
      </c>
      <c r="P319">
        <f ca="1"/>
        <v>0</v>
      </c>
      <c r="Q319">
        <f ca="1"/>
        <v>0</v>
      </c>
      <c r="R319">
        <f ca="1"/>
        <v>1260</v>
      </c>
      <c r="S319">
        <f ca="1"/>
        <v>120</v>
      </c>
      <c r="T319">
        <f ca="1"/>
        <v>144</v>
      </c>
      <c r="U319">
        <f ca="1"/>
        <v>151200</v>
      </c>
      <c r="V319">
        <f ca="1"/>
        <v>0</v>
      </c>
      <c r="W319">
        <f ca="1"/>
        <v>151200</v>
      </c>
      <c r="X319">
        <f ca="1"/>
        <v>19721.739130434784</v>
      </c>
      <c r="Y319">
        <f ca="1"/>
        <v>131478.26086956522</v>
      </c>
      <c r="Z319" t="str">
        <f ca="1"/>
        <v>Cash</v>
      </c>
      <c r="AA319">
        <f ca="1"/>
        <v>653</v>
      </c>
      <c r="AB319" t="str">
        <f ca="1"/>
        <v>Flat Discount</v>
      </c>
      <c r="AC319">
        <f ca="1"/>
        <v>0</v>
      </c>
      <c r="AD319" t="str">
        <f ca="1"/>
        <v>Products are in Special Rate &amp; KB's previous balance, 60,419 tk  will be deducted from the total amount. So 6,43,216tk will be Payble</v>
      </c>
      <c r="AE319" t="str">
        <f ca="1"/>
        <v>Eastern</v>
      </c>
      <c r="AF319" t="str">
        <f ca="1"/>
        <v>Synthetic</v>
      </c>
      <c r="AG319" t="str">
        <f ca="1"/>
        <v>MCO</v>
      </c>
      <c r="AH319" t="str">
        <f ca="1"/>
        <v>10W30</v>
      </c>
      <c r="AI319" t="str">
        <f ca="1"/>
        <v>7100</v>
      </c>
      <c r="AJ319">
        <f ca="1"/>
        <v>0</v>
      </c>
      <c r="AK319" t="str">
        <f ca="1"/>
        <v>20x1.2L</v>
      </c>
      <c r="AL319">
        <f ca="1"/>
        <v>93276</v>
      </c>
      <c r="AM319">
        <f ca="1"/>
        <v>38202.260869565216</v>
      </c>
      <c r="AN319" t="str">
        <f ca="1"/>
        <v>O-45714-D-0018</v>
      </c>
      <c r="AO319" t="str">
        <f ca="1"/>
        <v>Delivered</v>
      </c>
    </row>
    <row r="320" spans="1:41" x14ac:dyDescent="0.5">
      <c r="A320" t="str">
        <f ca="1"/>
        <v>F-186</v>
      </c>
      <c r="B320" s="1">
        <f ca="1"/>
        <v>45714</v>
      </c>
      <c r="C320" t="str">
        <f ca="1"/>
        <v>D-0018</v>
      </c>
      <c r="D320" t="str">
        <f ca="1"/>
        <v xml:space="preserve">K B Lubricant </v>
      </c>
      <c r="E320" t="str">
        <f ca="1"/>
        <v xml:space="preserve">Ice Factory Road , Kadamtali , Ctg </v>
      </c>
      <c r="F320" t="str">
        <f ca="1"/>
        <v>019 7770 3528</v>
      </c>
      <c r="G320" t="str">
        <f ca="1"/>
        <v>Sultan Anisul Islam</v>
      </c>
      <c r="H320" t="str">
        <f ca="1"/>
        <v>Razur Rahman (Bipul)</v>
      </c>
      <c r="I320" t="str">
        <f ca="1"/>
        <v>KB Lubricants</v>
      </c>
      <c r="J320" t="str">
        <f ca="1"/>
        <v>Kadamtoli</v>
      </c>
      <c r="K320" t="str">
        <f ca="1"/>
        <v>LO00116</v>
      </c>
      <c r="L320" t="str">
        <f ca="1"/>
        <v>Engine Flush</v>
      </c>
      <c r="M320">
        <f ca="1"/>
        <v>72</v>
      </c>
      <c r="N320">
        <f ca="1"/>
        <v>205</v>
      </c>
      <c r="O320">
        <f ca="1"/>
        <v>3.6</v>
      </c>
      <c r="P320">
        <f ca="1"/>
        <v>0</v>
      </c>
      <c r="Q320">
        <f ca="1"/>
        <v>0</v>
      </c>
      <c r="R320">
        <f ca="1"/>
        <v>205</v>
      </c>
      <c r="S320">
        <f ca="1"/>
        <v>72</v>
      </c>
      <c r="T320">
        <f ca="1"/>
        <v>3.6</v>
      </c>
      <c r="U320">
        <f ca="1"/>
        <v>14760</v>
      </c>
      <c r="V320">
        <f ca="1"/>
        <v>0</v>
      </c>
      <c r="W320">
        <f ca="1"/>
        <v>14760</v>
      </c>
      <c r="X320">
        <f ca="1"/>
        <v>1925.2173913043478</v>
      </c>
      <c r="Y320">
        <f ca="1"/>
        <v>12834.782608695652</v>
      </c>
      <c r="Z320" t="str">
        <f ca="1"/>
        <v>Cash</v>
      </c>
      <c r="AA320">
        <f ca="1"/>
        <v>653</v>
      </c>
      <c r="AB320" t="str">
        <f ca="1"/>
        <v>Flat Discount</v>
      </c>
      <c r="AC320">
        <f ca="1"/>
        <v>0</v>
      </c>
      <c r="AD320" t="str">
        <f ca="1"/>
        <v>Products are in Special Rate &amp; KB's previous balance, 60,419 tk  will be deducted from the total amount. So 6,43,216tk will be Payble</v>
      </c>
      <c r="AE320" t="str">
        <f ca="1"/>
        <v>Eastern</v>
      </c>
      <c r="AF320" t="str">
        <f ca="1"/>
        <v>Care Products</v>
      </c>
      <c r="AG320" t="str">
        <f ca="1"/>
        <v>Care Products</v>
      </c>
      <c r="AH320" t="str">
        <f ca="1"/>
        <v>Care Products</v>
      </c>
      <c r="AI320" t="str">
        <f ca="1"/>
        <v>Clean</v>
      </c>
      <c r="AJ320">
        <f ca="1"/>
        <v>0</v>
      </c>
      <c r="AK320" t="str">
        <f ca="1"/>
        <v>24x0.05L</v>
      </c>
      <c r="AL320">
        <f ca="1"/>
        <v>9367.9200000000019</v>
      </c>
      <c r="AM320">
        <f ca="1"/>
        <v>3466.8626086956501</v>
      </c>
      <c r="AN320" t="str">
        <f ca="1"/>
        <v>O-45714-D-0018</v>
      </c>
      <c r="AO320" t="str">
        <f ca="1"/>
        <v>Delivered</v>
      </c>
    </row>
    <row r="321" spans="1:41" x14ac:dyDescent="0.5">
      <c r="A321" t="str">
        <f ca="1"/>
        <v>F-187</v>
      </c>
      <c r="B321" s="1">
        <f ca="1"/>
        <v>45715</v>
      </c>
      <c r="C321" t="str">
        <f ca="1"/>
        <v>D-0014</v>
      </c>
      <c r="D321" t="str">
        <f ca="1"/>
        <v>Shatota Lubricants</v>
      </c>
      <c r="E321" t="str">
        <f ca="1"/>
        <v>Laksam, Cumilla</v>
      </c>
      <c r="F321" t="str">
        <f ca="1"/>
        <v>01836-199020</v>
      </c>
      <c r="G321" t="str">
        <f ca="1"/>
        <v>Md. Robin Sheikh</v>
      </c>
      <c r="H321" t="str">
        <f ca="1"/>
        <v>Razur Rahman (Bipul)</v>
      </c>
      <c r="I321" t="str">
        <f ca="1"/>
        <v>City Lubricants</v>
      </c>
      <c r="J321" t="str">
        <f ca="1"/>
        <v>Paduar Bazar Bisso Road</v>
      </c>
      <c r="K321" t="str">
        <f ca="1"/>
        <v>LO00041</v>
      </c>
      <c r="L321" t="str">
        <f ca="1"/>
        <v>3000 4T PLUS 10W30</v>
      </c>
      <c r="M321">
        <f ca="1"/>
        <v>80</v>
      </c>
      <c r="N321">
        <f ca="1"/>
        <v>540</v>
      </c>
      <c r="O321">
        <f ca="1"/>
        <v>80</v>
      </c>
      <c r="P321">
        <f ca="1"/>
        <v>0</v>
      </c>
      <c r="Q321">
        <f ca="1"/>
        <v>0</v>
      </c>
      <c r="R321">
        <f ca="1"/>
        <v>540</v>
      </c>
      <c r="S321">
        <f ca="1"/>
        <v>80</v>
      </c>
      <c r="T321">
        <f ca="1"/>
        <v>80</v>
      </c>
      <c r="U321">
        <f ca="1"/>
        <v>43200</v>
      </c>
      <c r="V321">
        <f ca="1"/>
        <v>0</v>
      </c>
      <c r="W321">
        <f ca="1"/>
        <v>43200</v>
      </c>
      <c r="X321">
        <f ca="1"/>
        <v>5634.782608695652</v>
      </c>
      <c r="Y321">
        <f ca="1"/>
        <v>37565.217391304344</v>
      </c>
      <c r="Z321" t="str">
        <f ca="1"/>
        <v>Cash</v>
      </c>
      <c r="AA321">
        <f ca="1"/>
        <v>654</v>
      </c>
      <c r="AB321" t="str">
        <f ca="1"/>
        <v>Regular</v>
      </c>
      <c r="AC321">
        <f ca="1"/>
        <v>45721</v>
      </c>
      <c r="AD321" t="str">
        <f ca="1"/>
        <v/>
      </c>
      <c r="AE321" t="str">
        <f ca="1"/>
        <v>Eastern</v>
      </c>
      <c r="AF321" t="str">
        <f ca="1"/>
        <v>Mineral</v>
      </c>
      <c r="AG321" t="str">
        <f ca="1"/>
        <v>MCO</v>
      </c>
      <c r="AH321" t="str">
        <f ca="1"/>
        <v>10W30</v>
      </c>
      <c r="AI321" t="str">
        <f ca="1"/>
        <v>3000</v>
      </c>
      <c r="AJ321">
        <f ca="1"/>
        <v>0</v>
      </c>
      <c r="AK321" t="str">
        <f ca="1"/>
        <v>20x1L</v>
      </c>
      <c r="AL321">
        <f ca="1"/>
        <v>30346.399999999998</v>
      </c>
      <c r="AM321">
        <f ca="1"/>
        <v>7218.8173913043465</v>
      </c>
      <c r="AN321" t="str">
        <f ca="1"/>
        <v>O-45715-D-0014</v>
      </c>
      <c r="AO321" t="str">
        <f ca="1"/>
        <v>Delivered</v>
      </c>
    </row>
    <row r="322" spans="1:41" x14ac:dyDescent="0.5">
      <c r="A322" t="str">
        <f ca="1"/>
        <v>F-187</v>
      </c>
      <c r="B322" s="1">
        <f ca="1"/>
        <v>45715</v>
      </c>
      <c r="C322" t="str">
        <f ca="1"/>
        <v>D-0014</v>
      </c>
      <c r="D322" t="str">
        <f ca="1"/>
        <v>Shatota Lubricants</v>
      </c>
      <c r="E322" t="str">
        <f ca="1"/>
        <v>Laksam, Cumilla</v>
      </c>
      <c r="F322" t="str">
        <f ca="1"/>
        <v>01836-199020</v>
      </c>
      <c r="G322" t="str">
        <f ca="1"/>
        <v>Md. Robin Sheikh</v>
      </c>
      <c r="H322" t="str">
        <f ca="1"/>
        <v>Razur Rahman (Bipul)</v>
      </c>
      <c r="I322" t="str">
        <f ca="1"/>
        <v>City Lubricants</v>
      </c>
      <c r="J322" t="str">
        <f ca="1"/>
        <v>Paduar Bazar Bisso Road</v>
      </c>
      <c r="K322" t="str">
        <f ca="1"/>
        <v>LO00043</v>
      </c>
      <c r="L322" t="str">
        <f ca="1"/>
        <v>3000 4T PLUS 10W40</v>
      </c>
      <c r="M322">
        <f ca="1"/>
        <v>80</v>
      </c>
      <c r="N322">
        <f ca="1"/>
        <v>540</v>
      </c>
      <c r="O322">
        <f ca="1"/>
        <v>80</v>
      </c>
      <c r="P322">
        <f ca="1"/>
        <v>0</v>
      </c>
      <c r="Q322">
        <f ca="1"/>
        <v>0</v>
      </c>
      <c r="R322">
        <f ca="1"/>
        <v>540</v>
      </c>
      <c r="S322">
        <f ca="1"/>
        <v>80</v>
      </c>
      <c r="T322">
        <f ca="1"/>
        <v>80</v>
      </c>
      <c r="U322">
        <f ca="1"/>
        <v>43200</v>
      </c>
      <c r="V322">
        <f ca="1"/>
        <v>0</v>
      </c>
      <c r="W322">
        <f ca="1"/>
        <v>43200</v>
      </c>
      <c r="X322">
        <f ca="1"/>
        <v>5634.782608695652</v>
      </c>
      <c r="Y322">
        <f ca="1"/>
        <v>37565.217391304344</v>
      </c>
      <c r="Z322" t="str">
        <f ca="1"/>
        <v>Cash</v>
      </c>
      <c r="AA322">
        <f ca="1"/>
        <v>654</v>
      </c>
      <c r="AB322" t="str">
        <f ca="1"/>
        <v>Regular</v>
      </c>
      <c r="AC322">
        <f ca="1"/>
        <v>45721</v>
      </c>
      <c r="AD322" t="str">
        <f ca="1"/>
        <v/>
      </c>
      <c r="AE322" t="str">
        <f ca="1"/>
        <v>Eastern</v>
      </c>
      <c r="AF322" t="str">
        <f ca="1"/>
        <v>Mineral</v>
      </c>
      <c r="AG322" t="str">
        <f ca="1"/>
        <v>MCO</v>
      </c>
      <c r="AH322" t="str">
        <f ca="1"/>
        <v>10W40</v>
      </c>
      <c r="AI322" t="str">
        <f ca="1"/>
        <v>3000</v>
      </c>
      <c r="AJ322">
        <f ca="1"/>
        <v>0</v>
      </c>
      <c r="AK322" t="str">
        <f ca="1"/>
        <v>20x1L</v>
      </c>
      <c r="AL322">
        <f ca="1"/>
        <v>30788</v>
      </c>
      <c r="AM322">
        <f ca="1"/>
        <v>6777.2173913043443</v>
      </c>
      <c r="AN322" t="str">
        <f ca="1"/>
        <v>O-45715-D-0014</v>
      </c>
      <c r="AO322" t="str">
        <f ca="1"/>
        <v>Delivered</v>
      </c>
    </row>
    <row r="323" spans="1:41" x14ac:dyDescent="0.5">
      <c r="A323" t="str">
        <f ca="1"/>
        <v>F-188</v>
      </c>
      <c r="B323" s="1">
        <f ca="1"/>
        <v>45715</v>
      </c>
      <c r="C323" t="str">
        <f ca="1"/>
        <v>D-0014</v>
      </c>
      <c r="D323" t="str">
        <f ca="1"/>
        <v>Mohammad Lube House</v>
      </c>
      <c r="E323" t="str">
        <f ca="1"/>
        <v>Dhormapur, Cumilla</v>
      </c>
      <c r="F323" t="str">
        <f ca="1"/>
        <v>01728-083399</v>
      </c>
      <c r="G323" t="str">
        <f ca="1"/>
        <v>Md. Robin Sheikh</v>
      </c>
      <c r="H323" t="str">
        <f ca="1"/>
        <v>Razur Rahman (Bipul)</v>
      </c>
      <c r="I323" t="str">
        <f ca="1"/>
        <v>City Lubricants</v>
      </c>
      <c r="J323" t="str">
        <f ca="1"/>
        <v>Paduar Bazar Bisso Road</v>
      </c>
      <c r="K323" t="str">
        <f ca="1"/>
        <v>LO00042</v>
      </c>
      <c r="L323" t="str">
        <f ca="1"/>
        <v>3000 4T PLUS 20W40</v>
      </c>
      <c r="M323">
        <f ca="1"/>
        <v>20</v>
      </c>
      <c r="N323">
        <f ca="1"/>
        <v>535</v>
      </c>
      <c r="O323">
        <f ca="1"/>
        <v>20</v>
      </c>
      <c r="P323">
        <f ca="1"/>
        <v>0</v>
      </c>
      <c r="Q323">
        <f ca="1"/>
        <v>0</v>
      </c>
      <c r="R323">
        <f ca="1"/>
        <v>535</v>
      </c>
      <c r="S323">
        <f ca="1"/>
        <v>20</v>
      </c>
      <c r="T323">
        <f ca="1"/>
        <v>20</v>
      </c>
      <c r="U323">
        <f ca="1"/>
        <v>10700</v>
      </c>
      <c r="V323">
        <f ca="1"/>
        <v>0</v>
      </c>
      <c r="W323">
        <f ca="1"/>
        <v>10700</v>
      </c>
      <c r="X323">
        <f ca="1"/>
        <v>1395.6521739130435</v>
      </c>
      <c r="Y323">
        <f ca="1"/>
        <v>9304.347826086956</v>
      </c>
      <c r="Z323" t="str">
        <f ca="1"/>
        <v>Cash</v>
      </c>
      <c r="AA323">
        <f ca="1"/>
        <v>655</v>
      </c>
      <c r="AB323" t="str">
        <f ca="1"/>
        <v>Regular</v>
      </c>
      <c r="AC323">
        <f ca="1"/>
        <v>45721</v>
      </c>
      <c r="AD323" t="str">
        <f ca="1"/>
        <v/>
      </c>
      <c r="AE323" t="str">
        <f ca="1"/>
        <v>Eastern</v>
      </c>
      <c r="AF323" t="str">
        <f ca="1"/>
        <v>Mineral</v>
      </c>
      <c r="AG323" t="str">
        <f ca="1"/>
        <v>MCO</v>
      </c>
      <c r="AH323" t="str">
        <f ca="1"/>
        <v>20W40</v>
      </c>
      <c r="AI323" t="str">
        <f ca="1"/>
        <v>3000</v>
      </c>
      <c r="AJ323">
        <f ca="1"/>
        <v>0</v>
      </c>
      <c r="AK323" t="str">
        <f ca="1"/>
        <v>20x1L</v>
      </c>
      <c r="AL323">
        <f ca="1"/>
        <v>8255.2000000000007</v>
      </c>
      <c r="AM323">
        <f ca="1"/>
        <v>1049.1478260869553</v>
      </c>
      <c r="AN323" t="str">
        <f ca="1"/>
        <v>O-45715-D-0014</v>
      </c>
      <c r="AO323" t="str">
        <f ca="1"/>
        <v>Delivered</v>
      </c>
    </row>
    <row r="324" spans="1:41" x14ac:dyDescent="0.5">
      <c r="A324" t="str">
        <f ca="1"/>
        <v>F-188</v>
      </c>
      <c r="B324" s="1">
        <f ca="1"/>
        <v>45715</v>
      </c>
      <c r="C324" t="str">
        <f ca="1"/>
        <v>D-0014</v>
      </c>
      <c r="D324" t="str">
        <f ca="1"/>
        <v>Mohammad Lube House</v>
      </c>
      <c r="E324" t="str">
        <f ca="1"/>
        <v>Dhormapur, Cumilla</v>
      </c>
      <c r="F324" t="str">
        <f ca="1"/>
        <v>01728-083399</v>
      </c>
      <c r="G324" t="str">
        <f ca="1"/>
        <v>Md. Robin Sheikh</v>
      </c>
      <c r="H324" t="str">
        <f ca="1"/>
        <v>Razur Rahman (Bipul)</v>
      </c>
      <c r="I324" t="str">
        <f ca="1"/>
        <v>City Lubricants</v>
      </c>
      <c r="J324" t="str">
        <f ca="1"/>
        <v>Paduar Bazar Bisso Road</v>
      </c>
      <c r="K324" t="str">
        <f ca="1"/>
        <v>LO00043</v>
      </c>
      <c r="L324" t="str">
        <f ca="1"/>
        <v>3000 4T PLUS 10W40</v>
      </c>
      <c r="M324">
        <f ca="1"/>
        <v>180</v>
      </c>
      <c r="N324">
        <f ca="1"/>
        <v>540</v>
      </c>
      <c r="O324">
        <f ca="1"/>
        <v>180</v>
      </c>
      <c r="P324">
        <f ca="1"/>
        <v>0</v>
      </c>
      <c r="Q324">
        <f ca="1"/>
        <v>0</v>
      </c>
      <c r="R324">
        <f ca="1"/>
        <v>540</v>
      </c>
      <c r="S324">
        <f ca="1"/>
        <v>180</v>
      </c>
      <c r="T324">
        <f ca="1"/>
        <v>180</v>
      </c>
      <c r="U324">
        <f ca="1"/>
        <v>97200</v>
      </c>
      <c r="V324">
        <f ca="1"/>
        <v>0</v>
      </c>
      <c r="W324">
        <f ca="1"/>
        <v>97200</v>
      </c>
      <c r="X324">
        <f ca="1"/>
        <v>12678.260869565218</v>
      </c>
      <c r="Y324">
        <f ca="1"/>
        <v>84521.739130434784</v>
      </c>
      <c r="Z324" t="str">
        <f ca="1"/>
        <v>Cash</v>
      </c>
      <c r="AA324">
        <f ca="1"/>
        <v>655</v>
      </c>
      <c r="AB324" t="str">
        <f ca="1"/>
        <v>Regular</v>
      </c>
      <c r="AC324">
        <f ca="1"/>
        <v>45721</v>
      </c>
      <c r="AD324" t="str">
        <f ca="1"/>
        <v/>
      </c>
      <c r="AE324" t="str">
        <f ca="1"/>
        <v>Eastern</v>
      </c>
      <c r="AF324" t="str">
        <f ca="1"/>
        <v>Mineral</v>
      </c>
      <c r="AG324" t="str">
        <f ca="1"/>
        <v>MCO</v>
      </c>
      <c r="AH324" t="str">
        <f ca="1"/>
        <v>10W40</v>
      </c>
      <c r="AI324" t="str">
        <f ca="1"/>
        <v>3000</v>
      </c>
      <c r="AJ324">
        <f ca="1"/>
        <v>0</v>
      </c>
      <c r="AK324" t="str">
        <f ca="1"/>
        <v>20x1L</v>
      </c>
      <c r="AL324">
        <f ca="1"/>
        <v>69273</v>
      </c>
      <c r="AM324">
        <f ca="1"/>
        <v>15248.739130434784</v>
      </c>
      <c r="AN324" t="str">
        <f ca="1"/>
        <v>O-45715-D-0014</v>
      </c>
      <c r="AO324" t="str">
        <f ca="1"/>
        <v>Delivered</v>
      </c>
    </row>
    <row r="325" spans="1:41" x14ac:dyDescent="0.5">
      <c r="A325" t="str">
        <f ca="1"/>
        <v>F-189</v>
      </c>
      <c r="B325" s="1">
        <f ca="1"/>
        <v>45714</v>
      </c>
      <c r="C325" t="str">
        <f ca="1"/>
        <v>D-0035</v>
      </c>
      <c r="D325" t="str">
        <f ca="1"/>
        <v>Sk Corporation</v>
      </c>
      <c r="E325" t="str">
        <f ca="1"/>
        <v>Wari</v>
      </c>
      <c r="F325" t="str">
        <f ca="1"/>
        <v>+88001715108464</v>
      </c>
      <c r="G325" t="str">
        <f ca="1"/>
        <v>Mahamudul Hasan Milon</v>
      </c>
      <c r="H325" t="str">
        <f ca="1"/>
        <v>Abdul Matin</v>
      </c>
      <c r="I325" t="str">
        <f ca="1"/>
        <v>SK Corporation</v>
      </c>
      <c r="J325" t="str">
        <f ca="1"/>
        <v>Savar</v>
      </c>
      <c r="K325" t="str">
        <f ca="1"/>
        <v>LO00041</v>
      </c>
      <c r="L325" t="str">
        <f ca="1"/>
        <v>3000 4T PLUS 10W30</v>
      </c>
      <c r="M325">
        <f ca="1"/>
        <v>200</v>
      </c>
      <c r="N325">
        <f ca="1"/>
        <v>535</v>
      </c>
      <c r="O325">
        <f ca="1"/>
        <v>200</v>
      </c>
      <c r="P325">
        <f ca="1"/>
        <v>0</v>
      </c>
      <c r="Q325">
        <f ca="1"/>
        <v>0</v>
      </c>
      <c r="R325">
        <f ca="1"/>
        <v>535</v>
      </c>
      <c r="S325">
        <f ca="1"/>
        <v>200</v>
      </c>
      <c r="T325">
        <f ca="1"/>
        <v>200</v>
      </c>
      <c r="U325">
        <f ca="1"/>
        <v>107000</v>
      </c>
      <c r="V325">
        <f ca="1"/>
        <v>0</v>
      </c>
      <c r="W325">
        <f ca="1"/>
        <v>107000</v>
      </c>
      <c r="X325">
        <f ca="1"/>
        <v>13956.521739130434</v>
      </c>
      <c r="Y325">
        <f ca="1"/>
        <v>93043.478260869568</v>
      </c>
      <c r="Z325" t="str">
        <f ca="1"/>
        <v>Cash</v>
      </c>
      <c r="AA325">
        <f ca="1"/>
        <v>656</v>
      </c>
      <c r="AB325" t="str">
        <f ca="1"/>
        <v>Custom</v>
      </c>
      <c r="AC325">
        <f ca="1"/>
        <v>45721</v>
      </c>
      <c r="AD325" t="str">
        <f ca="1"/>
        <v>Special price and No transport Allowance</v>
      </c>
      <c r="AE325" t="str">
        <f ca="1"/>
        <v>Central</v>
      </c>
      <c r="AF325" t="str">
        <f ca="1"/>
        <v>Mineral</v>
      </c>
      <c r="AG325" t="str">
        <f ca="1"/>
        <v>MCO</v>
      </c>
      <c r="AH325" t="str">
        <f ca="1"/>
        <v>10W30</v>
      </c>
      <c r="AI325" t="str">
        <f ca="1"/>
        <v>3000</v>
      </c>
      <c r="AJ325">
        <f ca="1"/>
        <v>0</v>
      </c>
      <c r="AK325" t="str">
        <f ca="1"/>
        <v>20x1L</v>
      </c>
      <c r="AL325">
        <f ca="1"/>
        <v>75866</v>
      </c>
      <c r="AM325">
        <f ca="1"/>
        <v>17177.478260869568</v>
      </c>
      <c r="AN325" t="str">
        <f ca="1"/>
        <v>O-45714-D-0035</v>
      </c>
      <c r="AO325" t="str">
        <f ca="1"/>
        <v>Delivered</v>
      </c>
    </row>
    <row r="326" spans="1:41" x14ac:dyDescent="0.5">
      <c r="A326" t="str">
        <f ca="1"/>
        <v>F-189</v>
      </c>
      <c r="B326" s="1">
        <f ca="1"/>
        <v>45714</v>
      </c>
      <c r="C326" t="str">
        <f ca="1"/>
        <v>D-0035</v>
      </c>
      <c r="D326" t="str">
        <f ca="1"/>
        <v>Sk Corporation</v>
      </c>
      <c r="E326" t="str">
        <f ca="1"/>
        <v>Wari</v>
      </c>
      <c r="F326" t="str">
        <f ca="1"/>
        <v>+88001715108464</v>
      </c>
      <c r="G326" t="str">
        <f ca="1"/>
        <v>Mahamudul Hasan Milon</v>
      </c>
      <c r="H326" t="str">
        <f ca="1"/>
        <v>Abdul Matin</v>
      </c>
      <c r="I326" t="str">
        <f ca="1"/>
        <v>SK Corporation</v>
      </c>
      <c r="J326" t="str">
        <f ca="1"/>
        <v>Savar</v>
      </c>
      <c r="K326" t="str">
        <f ca="1"/>
        <v>LO00042</v>
      </c>
      <c r="L326" t="str">
        <f ca="1"/>
        <v>3000 4T PLUS 20W40</v>
      </c>
      <c r="M326">
        <f ca="1"/>
        <v>400</v>
      </c>
      <c r="N326">
        <f ca="1"/>
        <v>535</v>
      </c>
      <c r="O326">
        <f ca="1"/>
        <v>400</v>
      </c>
      <c r="P326">
        <f ca="1"/>
        <v>0</v>
      </c>
      <c r="Q326">
        <f ca="1"/>
        <v>0</v>
      </c>
      <c r="R326">
        <f ca="1"/>
        <v>535</v>
      </c>
      <c r="S326">
        <f ca="1"/>
        <v>400</v>
      </c>
      <c r="T326">
        <f ca="1"/>
        <v>400</v>
      </c>
      <c r="U326">
        <f ca="1"/>
        <v>214000</v>
      </c>
      <c r="V326">
        <f ca="1"/>
        <v>0</v>
      </c>
      <c r="W326">
        <f ca="1"/>
        <v>214000</v>
      </c>
      <c r="X326">
        <f ca="1"/>
        <v>27913.043478260868</v>
      </c>
      <c r="Y326">
        <f ca="1"/>
        <v>186086.95652173914</v>
      </c>
      <c r="Z326" t="str">
        <f ca="1"/>
        <v>Cash</v>
      </c>
      <c r="AA326">
        <f ca="1"/>
        <v>656</v>
      </c>
      <c r="AB326" t="str">
        <f ca="1"/>
        <v>Custom</v>
      </c>
      <c r="AC326">
        <f ca="1"/>
        <v>45721</v>
      </c>
      <c r="AD326" t="str">
        <f ca="1"/>
        <v>Special price and No transport Allowance</v>
      </c>
      <c r="AE326" t="str">
        <f ca="1"/>
        <v>Central</v>
      </c>
      <c r="AF326" t="str">
        <f ca="1"/>
        <v>Mineral</v>
      </c>
      <c r="AG326" t="str">
        <f ca="1"/>
        <v>MCO</v>
      </c>
      <c r="AH326" t="str">
        <f ca="1"/>
        <v>20W40</v>
      </c>
      <c r="AI326" t="str">
        <f ca="1"/>
        <v>3000</v>
      </c>
      <c r="AJ326">
        <f ca="1"/>
        <v>0</v>
      </c>
      <c r="AK326" t="str">
        <f ca="1"/>
        <v>20x1L</v>
      </c>
      <c r="AL326">
        <f ca="1"/>
        <v>165104</v>
      </c>
      <c r="AM326">
        <f ca="1"/>
        <v>20982.956521739135</v>
      </c>
      <c r="AN326" t="str">
        <f ca="1"/>
        <v>O-45714-D-0035</v>
      </c>
      <c r="AO326" t="str">
        <f ca="1"/>
        <v>Delivered</v>
      </c>
    </row>
    <row r="327" spans="1:41" x14ac:dyDescent="0.5">
      <c r="A327" t="str">
        <f ca="1"/>
        <v>F-189</v>
      </c>
      <c r="B327" s="1">
        <f ca="1"/>
        <v>45714</v>
      </c>
      <c r="C327" t="str">
        <f ca="1"/>
        <v>D-0035</v>
      </c>
      <c r="D327" t="str">
        <f ca="1"/>
        <v>Sk Corporation</v>
      </c>
      <c r="E327" t="str">
        <f ca="1"/>
        <v>Wari</v>
      </c>
      <c r="F327" t="str">
        <f ca="1"/>
        <v>+88001715108464</v>
      </c>
      <c r="G327" t="str">
        <f ca="1"/>
        <v>Mahamudul Hasan Milon</v>
      </c>
      <c r="H327" t="str">
        <f ca="1"/>
        <v>Abdul Matin</v>
      </c>
      <c r="I327" t="str">
        <f ca="1"/>
        <v>SK Corporation</v>
      </c>
      <c r="J327" t="str">
        <f ca="1"/>
        <v>Savar</v>
      </c>
      <c r="K327" t="str">
        <f ca="1"/>
        <v>LO00043</v>
      </c>
      <c r="L327" t="str">
        <f ca="1"/>
        <v>3000 4T PLUS 10W40</v>
      </c>
      <c r="M327">
        <f ca="1"/>
        <v>1000</v>
      </c>
      <c r="N327">
        <f ca="1"/>
        <v>540</v>
      </c>
      <c r="O327">
        <f ca="1"/>
        <v>1000</v>
      </c>
      <c r="P327">
        <f ca="1"/>
        <v>0</v>
      </c>
      <c r="Q327">
        <f ca="1"/>
        <v>0</v>
      </c>
      <c r="R327">
        <f ca="1"/>
        <v>540</v>
      </c>
      <c r="S327">
        <f ca="1"/>
        <v>1000</v>
      </c>
      <c r="T327">
        <f ca="1"/>
        <v>1000</v>
      </c>
      <c r="U327">
        <f ca="1"/>
        <v>540000</v>
      </c>
      <c r="V327">
        <f ca="1"/>
        <v>0</v>
      </c>
      <c r="W327">
        <f ca="1"/>
        <v>540000</v>
      </c>
      <c r="X327">
        <f ca="1"/>
        <v>70434.782608695648</v>
      </c>
      <c r="Y327">
        <f ca="1"/>
        <v>469565.21739130432</v>
      </c>
      <c r="Z327" t="str">
        <f ca="1"/>
        <v>Cash</v>
      </c>
      <c r="AA327">
        <f ca="1"/>
        <v>656</v>
      </c>
      <c r="AB327" t="str">
        <f ca="1"/>
        <v>Custom</v>
      </c>
      <c r="AC327">
        <f ca="1"/>
        <v>45721</v>
      </c>
      <c r="AD327" t="str">
        <f ca="1"/>
        <v>Special price and No transport Allowance</v>
      </c>
      <c r="AE327" t="str">
        <f ca="1"/>
        <v>Central</v>
      </c>
      <c r="AF327" t="str">
        <f ca="1"/>
        <v>Mineral</v>
      </c>
      <c r="AG327" t="str">
        <f ca="1"/>
        <v>MCO</v>
      </c>
      <c r="AH327" t="str">
        <f ca="1"/>
        <v>10W40</v>
      </c>
      <c r="AI327" t="str">
        <f ca="1"/>
        <v>3000</v>
      </c>
      <c r="AJ327">
        <f ca="1"/>
        <v>0</v>
      </c>
      <c r="AK327" t="str">
        <f ca="1"/>
        <v>20x1L</v>
      </c>
      <c r="AL327">
        <f ca="1"/>
        <v>384850</v>
      </c>
      <c r="AM327">
        <f ca="1"/>
        <v>84715.217391304323</v>
      </c>
      <c r="AN327" t="str">
        <f ca="1"/>
        <v>O-45714-D-0035</v>
      </c>
      <c r="AO327" t="str">
        <f ca="1"/>
        <v>Delivered</v>
      </c>
    </row>
    <row r="328" spans="1:41" x14ac:dyDescent="0.5">
      <c r="A328" t="str">
        <f ca="1"/>
        <v>F-189</v>
      </c>
      <c r="B328" s="1">
        <f ca="1"/>
        <v>45714</v>
      </c>
      <c r="C328" t="str">
        <f ca="1"/>
        <v>D-0035</v>
      </c>
      <c r="D328" t="str">
        <f ca="1"/>
        <v>Sk Corporation</v>
      </c>
      <c r="E328" t="str">
        <f ca="1"/>
        <v>Wari</v>
      </c>
      <c r="F328" t="str">
        <f ca="1"/>
        <v>+88001715108464</v>
      </c>
      <c r="G328" t="str">
        <f ca="1"/>
        <v>Mahamudul Hasan Milon</v>
      </c>
      <c r="H328" t="str">
        <f ca="1"/>
        <v>Abdul Matin</v>
      </c>
      <c r="I328" t="str">
        <f ca="1"/>
        <v>SK Corporation</v>
      </c>
      <c r="J328" t="str">
        <f ca="1"/>
        <v>Savar</v>
      </c>
      <c r="K328" t="str">
        <f ca="1"/>
        <v>LO00096</v>
      </c>
      <c r="L328" t="str">
        <f ca="1"/>
        <v>3000 4T PLUS 20W40</v>
      </c>
      <c r="M328">
        <f ca="1"/>
        <v>200</v>
      </c>
      <c r="N328">
        <f ca="1"/>
        <v>640</v>
      </c>
      <c r="O328">
        <f ca="1"/>
        <v>240</v>
      </c>
      <c r="P328">
        <f ca="1"/>
        <v>0</v>
      </c>
      <c r="Q328">
        <f ca="1"/>
        <v>0</v>
      </c>
      <c r="R328">
        <f ca="1"/>
        <v>640</v>
      </c>
      <c r="S328">
        <f ca="1"/>
        <v>200</v>
      </c>
      <c r="T328">
        <f ca="1"/>
        <v>240</v>
      </c>
      <c r="U328">
        <f ca="1"/>
        <v>128000</v>
      </c>
      <c r="V328">
        <f ca="1"/>
        <v>0</v>
      </c>
      <c r="W328">
        <f ca="1"/>
        <v>128000</v>
      </c>
      <c r="X328">
        <f ca="1"/>
        <v>16695.652173913044</v>
      </c>
      <c r="Y328">
        <f ca="1"/>
        <v>111304.34782608696</v>
      </c>
      <c r="Z328" t="str">
        <f ca="1"/>
        <v>Cash</v>
      </c>
      <c r="AA328">
        <f ca="1"/>
        <v>656</v>
      </c>
      <c r="AB328" t="str">
        <f ca="1"/>
        <v>Custom</v>
      </c>
      <c r="AC328">
        <f ca="1"/>
        <v>45721</v>
      </c>
      <c r="AD328" t="str">
        <f ca="1"/>
        <v>Special price and No transport Allowance</v>
      </c>
      <c r="AE328" t="str">
        <f ca="1"/>
        <v>Central</v>
      </c>
      <c r="AF328" t="str">
        <f ca="1"/>
        <v>Mineral</v>
      </c>
      <c r="AG328" t="str">
        <f ca="1"/>
        <v>MCO</v>
      </c>
      <c r="AH328" t="str">
        <f ca="1"/>
        <v>20W40</v>
      </c>
      <c r="AI328" t="str">
        <f ca="1"/>
        <v>3000</v>
      </c>
      <c r="AJ328">
        <f ca="1"/>
        <v>0</v>
      </c>
      <c r="AK328" t="str">
        <f ca="1"/>
        <v>20x1.2L</v>
      </c>
      <c r="AL328">
        <f ca="1"/>
        <v>93979.559070121948</v>
      </c>
      <c r="AM328">
        <f ca="1"/>
        <v>17324.788755965012</v>
      </c>
      <c r="AN328" t="str">
        <f ca="1"/>
        <v>O-45714-D-0035</v>
      </c>
      <c r="AO328" t="str">
        <f ca="1"/>
        <v>Delivered</v>
      </c>
    </row>
    <row r="329" spans="1:41" x14ac:dyDescent="0.5">
      <c r="A329" t="str">
        <f ca="1"/>
        <v>F-189</v>
      </c>
      <c r="B329" s="1">
        <f ca="1"/>
        <v>45714</v>
      </c>
      <c r="C329" t="str">
        <f ca="1"/>
        <v>D-0035</v>
      </c>
      <c r="D329" t="str">
        <f ca="1"/>
        <v>Sk Corporation</v>
      </c>
      <c r="E329" t="str">
        <f ca="1"/>
        <v>Wari</v>
      </c>
      <c r="F329" t="str">
        <f ca="1"/>
        <v>+88001715108464</v>
      </c>
      <c r="G329" t="str">
        <f ca="1"/>
        <v>Mahamudul Hasan Milon</v>
      </c>
      <c r="H329" t="str">
        <f ca="1"/>
        <v>Abdul Matin</v>
      </c>
      <c r="I329" t="str">
        <f ca="1"/>
        <v>SK Corporation</v>
      </c>
      <c r="J329" t="str">
        <f ca="1"/>
        <v>Savar</v>
      </c>
      <c r="K329" t="str">
        <f ca="1"/>
        <v>LO00071</v>
      </c>
      <c r="L329" t="str">
        <f ca="1"/>
        <v>31004T GOLD 10W30</v>
      </c>
      <c r="M329">
        <f ca="1"/>
        <v>400</v>
      </c>
      <c r="N329">
        <f ca="1"/>
        <v>590</v>
      </c>
      <c r="O329">
        <f ca="1"/>
        <v>400</v>
      </c>
      <c r="P329">
        <f ca="1"/>
        <v>0</v>
      </c>
      <c r="Q329">
        <f ca="1"/>
        <v>0</v>
      </c>
      <c r="R329">
        <f ca="1"/>
        <v>590</v>
      </c>
      <c r="S329">
        <f ca="1"/>
        <v>400</v>
      </c>
      <c r="T329">
        <f ca="1"/>
        <v>400</v>
      </c>
      <c r="U329">
        <f ca="1"/>
        <v>236000</v>
      </c>
      <c r="V329">
        <f ca="1"/>
        <v>0</v>
      </c>
      <c r="W329">
        <f ca="1"/>
        <v>236000</v>
      </c>
      <c r="X329">
        <f ca="1"/>
        <v>30782.608695652172</v>
      </c>
      <c r="Y329">
        <f ca="1"/>
        <v>205217.39130434784</v>
      </c>
      <c r="Z329" t="str">
        <f ca="1"/>
        <v>Cash</v>
      </c>
      <c r="AA329">
        <f ca="1"/>
        <v>656</v>
      </c>
      <c r="AB329" t="str">
        <f ca="1"/>
        <v>Custom</v>
      </c>
      <c r="AC329">
        <f ca="1"/>
        <v>45721</v>
      </c>
      <c r="AD329" t="str">
        <f ca="1"/>
        <v>Special price and No transport Allowance</v>
      </c>
      <c r="AE329" t="str">
        <f ca="1"/>
        <v>Central</v>
      </c>
      <c r="AF329" t="str">
        <f ca="1"/>
        <v>Technosynthese</v>
      </c>
      <c r="AG329" t="str">
        <f ca="1"/>
        <v>MCO</v>
      </c>
      <c r="AH329" t="str">
        <f ca="1"/>
        <v>10W30</v>
      </c>
      <c r="AI329" t="str">
        <f ca="1"/>
        <v>3100</v>
      </c>
      <c r="AJ329">
        <f ca="1"/>
        <v>0</v>
      </c>
      <c r="AK329" t="str">
        <f ca="1"/>
        <v>20x1L</v>
      </c>
      <c r="AL329">
        <f ca="1"/>
        <v>170040</v>
      </c>
      <c r="AM329">
        <f ca="1"/>
        <v>35177.391304347839</v>
      </c>
      <c r="AN329" t="str">
        <f ca="1"/>
        <v>O-45714-D-0035</v>
      </c>
      <c r="AO329" t="str">
        <f ca="1"/>
        <v>Delivered</v>
      </c>
    </row>
    <row r="330" spans="1:41" x14ac:dyDescent="0.5">
      <c r="A330" t="str">
        <f ca="1"/>
        <v>F-189</v>
      </c>
      <c r="B330" s="1">
        <f ca="1"/>
        <v>45714</v>
      </c>
      <c r="C330" t="str">
        <f ca="1"/>
        <v>D-0035</v>
      </c>
      <c r="D330" t="str">
        <f ca="1"/>
        <v>Sk Corporation</v>
      </c>
      <c r="E330" t="str">
        <f ca="1"/>
        <v>Wari</v>
      </c>
      <c r="F330" t="str">
        <f ca="1"/>
        <v>+88001715108464</v>
      </c>
      <c r="G330" t="str">
        <f ca="1"/>
        <v>Mahamudul Hasan Milon</v>
      </c>
      <c r="H330" t="str">
        <f ca="1"/>
        <v>Abdul Matin</v>
      </c>
      <c r="I330" t="str">
        <f ca="1"/>
        <v>SK Corporation</v>
      </c>
      <c r="J330" t="str">
        <f ca="1"/>
        <v>Savar</v>
      </c>
      <c r="K330" t="str">
        <f ca="1"/>
        <v>LO00104</v>
      </c>
      <c r="L330" t="str">
        <f ca="1"/>
        <v>7100 4T 10W30 ESTER CORE®</v>
      </c>
      <c r="M330">
        <f ca="1"/>
        <v>200</v>
      </c>
      <c r="N330">
        <f ca="1"/>
        <v>1285</v>
      </c>
      <c r="O330">
        <f ca="1"/>
        <v>240</v>
      </c>
      <c r="P330">
        <f ca="1"/>
        <v>-2.2204460492503131E-16</v>
      </c>
      <c r="Q330">
        <f ca="1"/>
        <v>0</v>
      </c>
      <c r="R330">
        <f ca="1"/>
        <v>1285.0000000000002</v>
      </c>
      <c r="S330">
        <f ca="1"/>
        <v>200</v>
      </c>
      <c r="T330">
        <f ca="1"/>
        <v>240</v>
      </c>
      <c r="U330">
        <f ca="1"/>
        <v>257000</v>
      </c>
      <c r="V330">
        <f ca="1"/>
        <v>0</v>
      </c>
      <c r="W330">
        <f ca="1"/>
        <v>257000.00000000006</v>
      </c>
      <c r="X330">
        <f ca="1"/>
        <v>33521.739130434791</v>
      </c>
      <c r="Y330">
        <f ca="1"/>
        <v>223478.26086956527</v>
      </c>
      <c r="Z330" t="str">
        <f ca="1"/>
        <v>Cash</v>
      </c>
      <c r="AA330">
        <f ca="1"/>
        <v>656</v>
      </c>
      <c r="AB330" t="str">
        <f ca="1"/>
        <v>Custom</v>
      </c>
      <c r="AC330">
        <f ca="1"/>
        <v>45721</v>
      </c>
      <c r="AD330" t="str">
        <f ca="1"/>
        <v>Special price and No transport Allowance</v>
      </c>
      <c r="AE330" t="str">
        <f ca="1"/>
        <v>Central</v>
      </c>
      <c r="AF330" t="str">
        <f ca="1"/>
        <v>Synthetic</v>
      </c>
      <c r="AG330" t="str">
        <f ca="1"/>
        <v>MCO</v>
      </c>
      <c r="AH330" t="str">
        <f ca="1"/>
        <v>10W30</v>
      </c>
      <c r="AI330" t="str">
        <f ca="1"/>
        <v>7100</v>
      </c>
      <c r="AJ330">
        <f ca="1"/>
        <v>0</v>
      </c>
      <c r="AK330" t="str">
        <f ca="1"/>
        <v>20x1.2L</v>
      </c>
      <c r="AL330">
        <f ca="1"/>
        <v>155460</v>
      </c>
      <c r="AM330">
        <f ca="1"/>
        <v>68018.260869565274</v>
      </c>
      <c r="AN330" t="str">
        <f ca="1"/>
        <v>O-45714-D-0035</v>
      </c>
      <c r="AO330" t="str">
        <f ca="1"/>
        <v>Delivered</v>
      </c>
    </row>
    <row r="331" spans="1:41" x14ac:dyDescent="0.5">
      <c r="A331" t="str">
        <f ca="1"/>
        <v>F-190</v>
      </c>
      <c r="B331" s="1">
        <f ca="1"/>
        <v>45715</v>
      </c>
      <c r="C331" t="str">
        <f ca="1"/>
        <v>D-0023</v>
      </c>
      <c r="D331" t="str">
        <f ca="1"/>
        <v>R.Hossain Motors</v>
      </c>
      <c r="E331" t="str">
        <f ca="1"/>
        <v>Registriri para, Tangail Sadar</v>
      </c>
      <c r="F331">
        <f ca="1"/>
        <v>1521308494</v>
      </c>
      <c r="G331" t="str">
        <f ca="1"/>
        <v>Monirul Islam</v>
      </c>
      <c r="H331" t="str">
        <f ca="1"/>
        <v>Raihan Siddiqui</v>
      </c>
      <c r="I331" t="str">
        <f ca="1"/>
        <v>Bondhu Motors</v>
      </c>
      <c r="J331" t="str">
        <f ca="1"/>
        <v>Rangpur</v>
      </c>
      <c r="K331" t="str">
        <f ca="1"/>
        <v>LO00041</v>
      </c>
      <c r="L331" t="str">
        <f ca="1"/>
        <v>3000 4T PLUS 10W30</v>
      </c>
      <c r="M331">
        <f ca="1"/>
        <v>40</v>
      </c>
      <c r="N331">
        <f ca="1"/>
        <v>540</v>
      </c>
      <c r="O331">
        <f ca="1"/>
        <v>40</v>
      </c>
      <c r="P331">
        <f ca="1"/>
        <v>9.2592592592593004E-3</v>
      </c>
      <c r="Q331">
        <f ca="1"/>
        <v>0</v>
      </c>
      <c r="R331">
        <f ca="1"/>
        <v>535</v>
      </c>
      <c r="S331">
        <f ca="1"/>
        <v>40</v>
      </c>
      <c r="T331">
        <f ca="1"/>
        <v>40</v>
      </c>
      <c r="U331">
        <f ca="1"/>
        <v>21600</v>
      </c>
      <c r="V331">
        <f ca="1"/>
        <v>0</v>
      </c>
      <c r="W331">
        <f ca="1"/>
        <v>21400</v>
      </c>
      <c r="X331">
        <f ca="1"/>
        <v>2791.304347826087</v>
      </c>
      <c r="Y331">
        <f ca="1"/>
        <v>18608.695652173912</v>
      </c>
      <c r="Z331" t="str">
        <f ca="1"/>
        <v>Cash</v>
      </c>
      <c r="AA331">
        <f ca="1"/>
        <v>657</v>
      </c>
      <c r="AB331" t="str">
        <f ca="1"/>
        <v>Regular</v>
      </c>
      <c r="AC331">
        <f ca="1"/>
        <v>45721</v>
      </c>
      <c r="AD331" t="str">
        <f ca="1"/>
        <v/>
      </c>
      <c r="AE331" t="str">
        <f ca="1"/>
        <v>Northern</v>
      </c>
      <c r="AF331" t="str">
        <f ca="1"/>
        <v>Mineral</v>
      </c>
      <c r="AG331" t="str">
        <f ca="1"/>
        <v>MCO</v>
      </c>
      <c r="AH331" t="str">
        <f ca="1"/>
        <v>10W30</v>
      </c>
      <c r="AI331" t="str">
        <f ca="1"/>
        <v>3000</v>
      </c>
      <c r="AJ331">
        <f ca="1"/>
        <v>0</v>
      </c>
      <c r="AK331" t="str">
        <f ca="1"/>
        <v>20x1L</v>
      </c>
      <c r="AL331">
        <f ca="1"/>
        <v>15173.199999999999</v>
      </c>
      <c r="AM331">
        <f ca="1"/>
        <v>3435.4956521739132</v>
      </c>
      <c r="AN331" t="str">
        <f ca="1"/>
        <v>O-45715-D-0023</v>
      </c>
      <c r="AO331" t="str">
        <f ca="1"/>
        <v>Delivered</v>
      </c>
    </row>
    <row r="332" spans="1:41" x14ac:dyDescent="0.5">
      <c r="A332" t="str">
        <f ca="1"/>
        <v>F-190</v>
      </c>
      <c r="B332" s="1">
        <f ca="1"/>
        <v>45715</v>
      </c>
      <c r="C332" t="str">
        <f ca="1"/>
        <v>D-0023</v>
      </c>
      <c r="D332" t="str">
        <f ca="1"/>
        <v>R.Hossain Motors</v>
      </c>
      <c r="E332" t="str">
        <f ca="1"/>
        <v>Registriri para, Tangail Sadar</v>
      </c>
      <c r="F332">
        <f ca="1"/>
        <v>1521308494</v>
      </c>
      <c r="G332" t="str">
        <f ca="1"/>
        <v>Monirul Islam</v>
      </c>
      <c r="H332" t="str">
        <f ca="1"/>
        <v>Raihan Siddiqui</v>
      </c>
      <c r="I332" t="str">
        <f ca="1"/>
        <v>Bondhu Motors</v>
      </c>
      <c r="J332" t="str">
        <f ca="1"/>
        <v>Rangpur</v>
      </c>
      <c r="K332" t="str">
        <f ca="1"/>
        <v>LO00042</v>
      </c>
      <c r="L332" t="str">
        <f ca="1"/>
        <v>3000 4T PLUS 20W40</v>
      </c>
      <c r="M332">
        <f ca="1"/>
        <v>40</v>
      </c>
      <c r="N332">
        <f ca="1"/>
        <v>535</v>
      </c>
      <c r="O332">
        <f ca="1"/>
        <v>40</v>
      </c>
      <c r="P332">
        <f ca="1"/>
        <v>9.3457943925233655E-3</v>
      </c>
      <c r="Q332">
        <f ca="1"/>
        <v>0</v>
      </c>
      <c r="R332">
        <f ca="1"/>
        <v>530</v>
      </c>
      <c r="S332">
        <f ca="1"/>
        <v>40</v>
      </c>
      <c r="T332">
        <f ca="1"/>
        <v>40</v>
      </c>
      <c r="U332">
        <f ca="1"/>
        <v>21400</v>
      </c>
      <c r="V332">
        <f ca="1"/>
        <v>0</v>
      </c>
      <c r="W332">
        <f ca="1"/>
        <v>21200</v>
      </c>
      <c r="X332">
        <f ca="1"/>
        <v>2765.217391304348</v>
      </c>
      <c r="Y332">
        <f ca="1"/>
        <v>18434.782608695652</v>
      </c>
      <c r="Z332" t="str">
        <f ca="1"/>
        <v>Cash</v>
      </c>
      <c r="AA332">
        <f ca="1"/>
        <v>657</v>
      </c>
      <c r="AB332" t="str">
        <f ca="1"/>
        <v>Regular</v>
      </c>
      <c r="AC332">
        <f ca="1"/>
        <v>45721</v>
      </c>
      <c r="AD332" t="str">
        <f ca="1"/>
        <v/>
      </c>
      <c r="AE332" t="str">
        <f ca="1"/>
        <v>Northern</v>
      </c>
      <c r="AF332" t="str">
        <f ca="1"/>
        <v>Mineral</v>
      </c>
      <c r="AG332" t="str">
        <f ca="1"/>
        <v>MCO</v>
      </c>
      <c r="AH332" t="str">
        <f ca="1"/>
        <v>20W40</v>
      </c>
      <c r="AI332" t="str">
        <f ca="1"/>
        <v>3000</v>
      </c>
      <c r="AJ332">
        <f ca="1"/>
        <v>0</v>
      </c>
      <c r="AK332" t="str">
        <f ca="1"/>
        <v>20x1L</v>
      </c>
      <c r="AL332">
        <f ca="1"/>
        <v>16510.400000000001</v>
      </c>
      <c r="AM332">
        <f ca="1"/>
        <v>1924.3826086956506</v>
      </c>
      <c r="AN332" t="str">
        <f ca="1"/>
        <v>O-45715-D-0023</v>
      </c>
      <c r="AO332" t="str">
        <f ca="1"/>
        <v>Delivered</v>
      </c>
    </row>
    <row r="333" spans="1:41" x14ac:dyDescent="0.5">
      <c r="A333" t="str">
        <f ca="1"/>
        <v>F-190</v>
      </c>
      <c r="B333" s="1">
        <f ca="1"/>
        <v>45715</v>
      </c>
      <c r="C333" t="str">
        <f ca="1"/>
        <v>D-0023</v>
      </c>
      <c r="D333" t="str">
        <f ca="1"/>
        <v>R.Hossain Motors</v>
      </c>
      <c r="E333" t="str">
        <f ca="1"/>
        <v>Registriri para, Tangail Sadar</v>
      </c>
      <c r="F333">
        <f ca="1"/>
        <v>1521308494</v>
      </c>
      <c r="G333" t="str">
        <f ca="1"/>
        <v>Monirul Islam</v>
      </c>
      <c r="H333" t="str">
        <f ca="1"/>
        <v>Raihan Siddiqui</v>
      </c>
      <c r="I333" t="str">
        <f ca="1"/>
        <v>Bondhu Motors</v>
      </c>
      <c r="J333" t="str">
        <f ca="1"/>
        <v>Rangpur</v>
      </c>
      <c r="K333" t="str">
        <f ca="1"/>
        <v>LO00043</v>
      </c>
      <c r="L333" t="str">
        <f ca="1"/>
        <v>3000 4T PLUS 10W40</v>
      </c>
      <c r="M333">
        <f ca="1"/>
        <v>120</v>
      </c>
      <c r="N333">
        <f ca="1"/>
        <v>550</v>
      </c>
      <c r="O333">
        <f ca="1"/>
        <v>120</v>
      </c>
      <c r="P333">
        <f ca="1"/>
        <v>9.0909090909090384E-3</v>
      </c>
      <c r="Q333">
        <f ca="1"/>
        <v>0</v>
      </c>
      <c r="R333">
        <f ca="1"/>
        <v>545</v>
      </c>
      <c r="S333">
        <f ca="1"/>
        <v>120</v>
      </c>
      <c r="T333">
        <f ca="1"/>
        <v>120</v>
      </c>
      <c r="U333">
        <f ca="1"/>
        <v>66000</v>
      </c>
      <c r="V333">
        <f ca="1"/>
        <v>0</v>
      </c>
      <c r="W333">
        <f ca="1"/>
        <v>65400</v>
      </c>
      <c r="X333">
        <f ca="1"/>
        <v>8530.434782608696</v>
      </c>
      <c r="Y333">
        <f ca="1"/>
        <v>56869.565217391304</v>
      </c>
      <c r="Z333" t="str">
        <f ca="1"/>
        <v>Cash</v>
      </c>
      <c r="AA333">
        <f ca="1"/>
        <v>657</v>
      </c>
      <c r="AB333" t="str">
        <f ca="1"/>
        <v>Regular</v>
      </c>
      <c r="AC333">
        <f ca="1"/>
        <v>45721</v>
      </c>
      <c r="AD333" t="str">
        <f ca="1"/>
        <v/>
      </c>
      <c r="AE333" t="str">
        <f ca="1"/>
        <v>Northern</v>
      </c>
      <c r="AF333" t="str">
        <f ca="1"/>
        <v>Mineral</v>
      </c>
      <c r="AG333" t="str">
        <f ca="1"/>
        <v>MCO</v>
      </c>
      <c r="AH333" t="str">
        <f ca="1"/>
        <v>10W40</v>
      </c>
      <c r="AI333" t="str">
        <f ca="1"/>
        <v>3000</v>
      </c>
      <c r="AJ333">
        <f ca="1"/>
        <v>0</v>
      </c>
      <c r="AK333" t="str">
        <f ca="1"/>
        <v>20x1L</v>
      </c>
      <c r="AL333">
        <f ca="1"/>
        <v>46182</v>
      </c>
      <c r="AM333">
        <f ca="1"/>
        <v>10687.565217391304</v>
      </c>
      <c r="AN333" t="str">
        <f ca="1"/>
        <v>O-45715-D-0023</v>
      </c>
      <c r="AO333" t="str">
        <f ca="1"/>
        <v>Delivered</v>
      </c>
    </row>
    <row r="334" spans="1:41" x14ac:dyDescent="0.5">
      <c r="A334" t="str">
        <f ca="1"/>
        <v>F-190</v>
      </c>
      <c r="B334" s="1">
        <f ca="1"/>
        <v>45715</v>
      </c>
      <c r="C334" t="str">
        <f ca="1"/>
        <v>D-0023</v>
      </c>
      <c r="D334" t="str">
        <f ca="1"/>
        <v>R.Hossain Motors</v>
      </c>
      <c r="E334" t="str">
        <f ca="1"/>
        <v>Registriri para, Tangail Sadar</v>
      </c>
      <c r="F334">
        <f ca="1"/>
        <v>1521308494</v>
      </c>
      <c r="G334" t="str">
        <f ca="1"/>
        <v>Monirul Islam</v>
      </c>
      <c r="H334" t="str">
        <f ca="1"/>
        <v>Raihan Siddiqui</v>
      </c>
      <c r="I334" t="str">
        <f ca="1"/>
        <v>Bondhu Motors</v>
      </c>
      <c r="J334" t="str">
        <f ca="1"/>
        <v>Rangpur</v>
      </c>
      <c r="K334" t="str">
        <f ca="1"/>
        <v>LO00119</v>
      </c>
      <c r="L334" t="str">
        <f ca="1"/>
        <v>3000 4T 20W50</v>
      </c>
      <c r="M334">
        <f ca="1"/>
        <v>80</v>
      </c>
      <c r="N334">
        <f ca="1"/>
        <v>495</v>
      </c>
      <c r="O334">
        <f ca="1"/>
        <v>80</v>
      </c>
      <c r="P334">
        <f ca="1"/>
        <v>2.4242424242424288E-2</v>
      </c>
      <c r="Q334">
        <f ca="1"/>
        <v>0</v>
      </c>
      <c r="R334">
        <f ca="1"/>
        <v>483</v>
      </c>
      <c r="S334">
        <f ca="1"/>
        <v>80</v>
      </c>
      <c r="T334">
        <f ca="1"/>
        <v>80</v>
      </c>
      <c r="U334">
        <f ca="1"/>
        <v>39600</v>
      </c>
      <c r="V334">
        <f ca="1"/>
        <v>0</v>
      </c>
      <c r="W334">
        <f ca="1"/>
        <v>38640</v>
      </c>
      <c r="X334">
        <f ca="1"/>
        <v>5040</v>
      </c>
      <c r="Y334">
        <f ca="1"/>
        <v>33600</v>
      </c>
      <c r="Z334" t="str">
        <f ca="1"/>
        <v>Cash</v>
      </c>
      <c r="AA334">
        <f ca="1"/>
        <v>657</v>
      </c>
      <c r="AB334" t="str">
        <f ca="1"/>
        <v>Regular</v>
      </c>
      <c r="AC334">
        <f ca="1"/>
        <v>45721</v>
      </c>
      <c r="AD334" t="str">
        <f ca="1"/>
        <v/>
      </c>
      <c r="AE334" t="str">
        <f ca="1"/>
        <v>Northern</v>
      </c>
      <c r="AF334" t="str">
        <f ca="1"/>
        <v>Mineral</v>
      </c>
      <c r="AG334" t="str">
        <f ca="1"/>
        <v>MCO</v>
      </c>
      <c r="AH334" t="str">
        <f ca="1"/>
        <v>20W50</v>
      </c>
      <c r="AI334" t="str">
        <f ca="1"/>
        <v>3000</v>
      </c>
      <c r="AJ334">
        <f ca="1"/>
        <v>0</v>
      </c>
      <c r="AK334" t="str">
        <f ca="1"/>
        <v>20x1L</v>
      </c>
      <c r="AL334">
        <f ca="1"/>
        <v>29193.600000000002</v>
      </c>
      <c r="AM334">
        <f ca="1"/>
        <v>4406.3999999999978</v>
      </c>
      <c r="AN334" t="str">
        <f ca="1"/>
        <v>O-45715-D-0023</v>
      </c>
      <c r="AO334" t="str">
        <f ca="1"/>
        <v>Delivered</v>
      </c>
    </row>
    <row r="335" spans="1:41" x14ac:dyDescent="0.5">
      <c r="A335" t="str">
        <f ca="1"/>
        <v>F-190</v>
      </c>
      <c r="B335" s="1">
        <f ca="1"/>
        <v>45715</v>
      </c>
      <c r="C335" t="str">
        <f ca="1"/>
        <v>D-0023</v>
      </c>
      <c r="D335" t="str">
        <f ca="1"/>
        <v>R.Hossain Motors</v>
      </c>
      <c r="E335" t="str">
        <f ca="1"/>
        <v>Registriri para, Tangail Sadar</v>
      </c>
      <c r="F335">
        <f ca="1"/>
        <v>1521308494</v>
      </c>
      <c r="G335" t="str">
        <f ca="1"/>
        <v>Monirul Islam</v>
      </c>
      <c r="H335" t="str">
        <f ca="1"/>
        <v>Raihan Siddiqui</v>
      </c>
      <c r="I335" t="str">
        <f ca="1"/>
        <v>Bondhu Motors</v>
      </c>
      <c r="J335" t="str">
        <f ca="1"/>
        <v>Rangpur</v>
      </c>
      <c r="K335" t="str">
        <f ca="1"/>
        <v>LO00120</v>
      </c>
      <c r="L335" t="str">
        <f ca="1"/>
        <v>3000 4T 20W50</v>
      </c>
      <c r="M335">
        <f ca="1"/>
        <v>20</v>
      </c>
      <c r="N335">
        <f ca="1"/>
        <v>595</v>
      </c>
      <c r="O335">
        <f ca="1"/>
        <v>24</v>
      </c>
      <c r="P335">
        <f ca="1"/>
        <v>2.2521008403361353E-2</v>
      </c>
      <c r="Q335">
        <f ca="1"/>
        <v>0</v>
      </c>
      <c r="R335">
        <f ca="1"/>
        <v>581.6</v>
      </c>
      <c r="S335">
        <f ca="1"/>
        <v>20</v>
      </c>
      <c r="T335">
        <f ca="1"/>
        <v>24</v>
      </c>
      <c r="U335">
        <f ca="1"/>
        <v>11900</v>
      </c>
      <c r="V335">
        <f ca="1"/>
        <v>0</v>
      </c>
      <c r="W335">
        <f ca="1"/>
        <v>11632</v>
      </c>
      <c r="X335">
        <f ca="1"/>
        <v>1517.2173913043478</v>
      </c>
      <c r="Y335">
        <f ca="1"/>
        <v>10114.782608695652</v>
      </c>
      <c r="Z335" t="str">
        <f ca="1"/>
        <v>Cash</v>
      </c>
      <c r="AA335">
        <f ca="1"/>
        <v>657</v>
      </c>
      <c r="AB335" t="str">
        <f ca="1"/>
        <v>Regular</v>
      </c>
      <c r="AC335">
        <f ca="1"/>
        <v>45721</v>
      </c>
      <c r="AD335" t="str">
        <f ca="1"/>
        <v/>
      </c>
      <c r="AE335" t="str">
        <f ca="1"/>
        <v>Northern</v>
      </c>
      <c r="AF335" t="str">
        <f ca="1"/>
        <v>Mineral</v>
      </c>
      <c r="AG335" t="str">
        <f ca="1"/>
        <v>MCO</v>
      </c>
      <c r="AH335" t="str">
        <f ca="1"/>
        <v>20W50</v>
      </c>
      <c r="AI335" t="str">
        <f ca="1"/>
        <v>3000</v>
      </c>
      <c r="AJ335">
        <f ca="1"/>
        <v>0</v>
      </c>
      <c r="AK335" t="str">
        <f ca="1"/>
        <v>20x1.2L</v>
      </c>
      <c r="AL335">
        <f ca="1"/>
        <v>8692.2000000000007</v>
      </c>
      <c r="AM335">
        <f ca="1"/>
        <v>1422.5826086956513</v>
      </c>
      <c r="AN335" t="str">
        <f ca="1"/>
        <v>O-45715-D-0023</v>
      </c>
      <c r="AO335" t="str">
        <f ca="1"/>
        <v>Delivered</v>
      </c>
    </row>
    <row r="336" spans="1:41" x14ac:dyDescent="0.5">
      <c r="A336" t="str">
        <f ca="1"/>
        <v>F-191</v>
      </c>
      <c r="B336" s="1">
        <f ca="1"/>
        <v>45715</v>
      </c>
      <c r="C336" t="str">
        <f ca="1"/>
        <v>D-0001</v>
      </c>
      <c r="D336" t="str">
        <f ca="1"/>
        <v>m/s energy trading</v>
      </c>
      <c r="E336" t="str">
        <f ca="1"/>
        <v>kushtia sadar</v>
      </c>
      <c r="F336">
        <f ca="1"/>
        <v>1715857748</v>
      </c>
      <c r="G336" t="str">
        <f ca="1"/>
        <v>Md.Mahfuzur Rahman</v>
      </c>
      <c r="H336" t="str">
        <f ca="1"/>
        <v>Abdul Matin</v>
      </c>
      <c r="I336" t="str">
        <f ca="1"/>
        <v>M/S Hasan Traders</v>
      </c>
      <c r="J336" t="str">
        <f ca="1"/>
        <v>Pangsha</v>
      </c>
      <c r="K336" t="str">
        <f ca="1"/>
        <v>LO00043</v>
      </c>
      <c r="L336" t="str">
        <f ca="1"/>
        <v>3000 4T PLUS 10W40</v>
      </c>
      <c r="M336">
        <f ca="1"/>
        <v>1000</v>
      </c>
      <c r="N336">
        <f ca="1"/>
        <v>540</v>
      </c>
      <c r="O336">
        <f ca="1"/>
        <v>1000</v>
      </c>
      <c r="P336">
        <f ca="1"/>
        <v>0</v>
      </c>
      <c r="Q336">
        <f ca="1"/>
        <v>0</v>
      </c>
      <c r="R336">
        <f ca="1"/>
        <v>540</v>
      </c>
      <c r="S336">
        <f ca="1"/>
        <v>1000</v>
      </c>
      <c r="T336">
        <f ca="1"/>
        <v>1000</v>
      </c>
      <c r="U336">
        <f ca="1"/>
        <v>540000</v>
      </c>
      <c r="V336">
        <f ca="1"/>
        <v>0</v>
      </c>
      <c r="W336">
        <f ca="1"/>
        <v>540000</v>
      </c>
      <c r="X336">
        <f ca="1"/>
        <v>70434.782608695648</v>
      </c>
      <c r="Y336">
        <f ca="1"/>
        <v>469565.21739130432</v>
      </c>
      <c r="Z336" t="str">
        <f ca="1"/>
        <v>Cash</v>
      </c>
      <c r="AA336">
        <f ca="1"/>
        <v>658</v>
      </c>
      <c r="AB336" t="str">
        <f ca="1"/>
        <v>Flat Discount</v>
      </c>
      <c r="AC336">
        <f ca="1"/>
        <v>45721</v>
      </c>
      <c r="AD336" t="str">
        <f ca="1"/>
        <v xml:space="preserve">delivery system:sundarban courier </v>
      </c>
      <c r="AE336" t="str">
        <f ca="1"/>
        <v>Central</v>
      </c>
      <c r="AF336" t="str">
        <f ca="1"/>
        <v>Mineral</v>
      </c>
      <c r="AG336" t="str">
        <f ca="1"/>
        <v>MCO</v>
      </c>
      <c r="AH336" t="str">
        <f ca="1"/>
        <v>10W40</v>
      </c>
      <c r="AI336" t="str">
        <f ca="1"/>
        <v>3000</v>
      </c>
      <c r="AJ336">
        <f ca="1"/>
        <v>0</v>
      </c>
      <c r="AK336" t="str">
        <f ca="1"/>
        <v>20x1L</v>
      </c>
      <c r="AL336">
        <f ca="1"/>
        <v>384850</v>
      </c>
      <c r="AM336">
        <f ca="1"/>
        <v>84715.217391304323</v>
      </c>
      <c r="AN336" t="str">
        <f ca="1"/>
        <v>O-45715-D-0001</v>
      </c>
      <c r="AO336" t="str">
        <f ca="1"/>
        <v>Delivered</v>
      </c>
    </row>
    <row r="337" spans="1:41" x14ac:dyDescent="0.5">
      <c r="A337" t="str">
        <f ca="1"/>
        <v>F-191</v>
      </c>
      <c r="B337" s="1">
        <f ca="1"/>
        <v>45715</v>
      </c>
      <c r="C337" t="str">
        <f ca="1"/>
        <v>D-0001</v>
      </c>
      <c r="D337" t="str">
        <f ca="1"/>
        <v>m/s energy trading</v>
      </c>
      <c r="E337" t="str">
        <f ca="1"/>
        <v>kushtia sadar</v>
      </c>
      <c r="F337">
        <f ca="1"/>
        <v>1715857748</v>
      </c>
      <c r="G337" t="str">
        <f ca="1"/>
        <v>Md.Mahfuzur Rahman</v>
      </c>
      <c r="H337" t="str">
        <f ca="1"/>
        <v>Abdul Matin</v>
      </c>
      <c r="I337" t="str">
        <f ca="1"/>
        <v>M/S Hasan Traders</v>
      </c>
      <c r="J337" t="str">
        <f ca="1"/>
        <v>Pangsha</v>
      </c>
      <c r="K337" t="str">
        <f ca="1"/>
        <v>LO00044</v>
      </c>
      <c r="L337" t="str">
        <f ca="1"/>
        <v>31004T GOLD 20W50</v>
      </c>
      <c r="M337">
        <f ca="1"/>
        <v>20</v>
      </c>
      <c r="N337">
        <f ca="1"/>
        <v>595</v>
      </c>
      <c r="O337">
        <f ca="1"/>
        <v>20</v>
      </c>
      <c r="P337">
        <f ca="1"/>
        <v>0</v>
      </c>
      <c r="Q337">
        <f ca="1"/>
        <v>0</v>
      </c>
      <c r="R337">
        <f ca="1"/>
        <v>595</v>
      </c>
      <c r="S337">
        <f ca="1"/>
        <v>20</v>
      </c>
      <c r="T337">
        <f ca="1"/>
        <v>20</v>
      </c>
      <c r="U337">
        <f ca="1"/>
        <v>11900</v>
      </c>
      <c r="V337">
        <f ca="1"/>
        <v>0</v>
      </c>
      <c r="W337">
        <f ca="1"/>
        <v>11900</v>
      </c>
      <c r="X337">
        <f ca="1"/>
        <v>1552.1739130434783</v>
      </c>
      <c r="Y337">
        <f ca="1"/>
        <v>10347.826086956522</v>
      </c>
      <c r="Z337" t="str">
        <f ca="1"/>
        <v>Cash</v>
      </c>
      <c r="AA337">
        <f ca="1"/>
        <v>658</v>
      </c>
      <c r="AB337" t="str">
        <f ca="1"/>
        <v>Flat Discount</v>
      </c>
      <c r="AC337">
        <f ca="1"/>
        <v>45721</v>
      </c>
      <c r="AD337" t="str">
        <f ca="1"/>
        <v xml:space="preserve">delivery system:sundarban courier </v>
      </c>
      <c r="AE337" t="str">
        <f ca="1"/>
        <v>Central</v>
      </c>
      <c r="AF337" t="str">
        <f ca="1"/>
        <v>Technosynthese</v>
      </c>
      <c r="AG337" t="str">
        <f ca="1"/>
        <v>MCO</v>
      </c>
      <c r="AH337" t="str">
        <f ca="1"/>
        <v>20W50</v>
      </c>
      <c r="AI337" t="str">
        <f ca="1"/>
        <v>3100</v>
      </c>
      <c r="AJ337">
        <f ca="1"/>
        <v>0</v>
      </c>
      <c r="AK337" t="str">
        <f ca="1"/>
        <v>20x1L</v>
      </c>
      <c r="AL337">
        <f ca="1"/>
        <v>9387.7999999999993</v>
      </c>
      <c r="AM337">
        <f ca="1"/>
        <v>960.0260869565227</v>
      </c>
      <c r="AN337" t="str">
        <f ca="1"/>
        <v>O-45715-D-0001</v>
      </c>
      <c r="AO337" t="str">
        <f ca="1"/>
        <v>Delivered</v>
      </c>
    </row>
    <row r="338" spans="1:41" x14ac:dyDescent="0.5">
      <c r="A338" t="str">
        <f ca="1"/>
        <v>F-191</v>
      </c>
      <c r="B338" s="1">
        <f ca="1"/>
        <v>45715</v>
      </c>
      <c r="C338" t="str">
        <f ca="1"/>
        <v>D-0001</v>
      </c>
      <c r="D338" t="str">
        <f ca="1"/>
        <v>m/s energy trading</v>
      </c>
      <c r="E338" t="str">
        <f ca="1"/>
        <v>kushtia sadar</v>
      </c>
      <c r="F338">
        <f ca="1"/>
        <v>1715857748</v>
      </c>
      <c r="G338" t="str">
        <f ca="1"/>
        <v>Md.Mahfuzur Rahman</v>
      </c>
      <c r="H338" t="str">
        <f ca="1"/>
        <v>Abdul Matin</v>
      </c>
      <c r="I338" t="str">
        <f ca="1"/>
        <v>M/S Hasan Traders</v>
      </c>
      <c r="J338" t="str">
        <f ca="1"/>
        <v>Pangsha</v>
      </c>
      <c r="K338" t="str">
        <f ca="1"/>
        <v>LO00074</v>
      </c>
      <c r="L338" t="str">
        <f ca="1"/>
        <v>7100 4T 10W30 ESTER CORE®</v>
      </c>
      <c r="M338">
        <f ca="1"/>
        <v>36</v>
      </c>
      <c r="N338">
        <f ca="1"/>
        <v>1075</v>
      </c>
      <c r="O338">
        <f ca="1"/>
        <v>36</v>
      </c>
      <c r="P338">
        <f ca="1"/>
        <v>0</v>
      </c>
      <c r="Q338">
        <f ca="1"/>
        <v>0</v>
      </c>
      <c r="R338">
        <f ca="1"/>
        <v>1075</v>
      </c>
      <c r="S338">
        <f ca="1"/>
        <v>36</v>
      </c>
      <c r="T338">
        <f ca="1"/>
        <v>36</v>
      </c>
      <c r="U338">
        <f ca="1"/>
        <v>38700</v>
      </c>
      <c r="V338">
        <f ca="1"/>
        <v>0</v>
      </c>
      <c r="W338">
        <f ca="1"/>
        <v>38700</v>
      </c>
      <c r="X338">
        <f ca="1"/>
        <v>5047.826086956522</v>
      </c>
      <c r="Y338">
        <f ca="1"/>
        <v>33652.17391304348</v>
      </c>
      <c r="Z338" t="str">
        <f ca="1"/>
        <v>Cash</v>
      </c>
      <c r="AA338">
        <f ca="1"/>
        <v>658</v>
      </c>
      <c r="AB338" t="str">
        <f ca="1"/>
        <v>Flat Discount</v>
      </c>
      <c r="AC338">
        <f ca="1"/>
        <v>45721</v>
      </c>
      <c r="AD338" t="str">
        <f ca="1"/>
        <v xml:space="preserve">delivery system:sundarban courier </v>
      </c>
      <c r="AE338" t="str">
        <f ca="1"/>
        <v>Central</v>
      </c>
      <c r="AF338" t="str">
        <f ca="1"/>
        <v>Synthetic</v>
      </c>
      <c r="AG338" t="str">
        <f ca="1"/>
        <v>MCO</v>
      </c>
      <c r="AH338" t="str">
        <f ca="1"/>
        <v>10W30</v>
      </c>
      <c r="AI338" t="str">
        <f ca="1"/>
        <v>7100</v>
      </c>
      <c r="AJ338">
        <f ca="1"/>
        <v>0</v>
      </c>
      <c r="AK338" t="str">
        <f ca="1"/>
        <v>12x1L</v>
      </c>
      <c r="AL338">
        <f ca="1"/>
        <v>24834.959999999999</v>
      </c>
      <c r="AM338">
        <f ca="1"/>
        <v>8817.2139130434807</v>
      </c>
      <c r="AN338" t="str">
        <f ca="1"/>
        <v>O-45715-D-0001</v>
      </c>
      <c r="AO338" t="str">
        <f ca="1"/>
        <v>Delivered</v>
      </c>
    </row>
    <row r="339" spans="1:41" x14ac:dyDescent="0.5">
      <c r="A339" t="str">
        <f ca="1"/>
        <v>F-191</v>
      </c>
      <c r="B339" s="1">
        <f ca="1"/>
        <v>45715</v>
      </c>
      <c r="C339" t="str">
        <f ca="1"/>
        <v>D-0001</v>
      </c>
      <c r="D339" t="str">
        <f ca="1"/>
        <v>m/s energy trading</v>
      </c>
      <c r="E339" t="str">
        <f ca="1"/>
        <v>kushtia sadar</v>
      </c>
      <c r="F339">
        <f ca="1"/>
        <v>1715857748</v>
      </c>
      <c r="G339" t="str">
        <f ca="1"/>
        <v>Md.Mahfuzur Rahman</v>
      </c>
      <c r="H339" t="str">
        <f ca="1"/>
        <v>Abdul Matin</v>
      </c>
      <c r="I339" t="str">
        <f ca="1"/>
        <v>M/S Hasan Traders</v>
      </c>
      <c r="J339" t="str">
        <f ca="1"/>
        <v>Pangsha</v>
      </c>
      <c r="K339" t="str">
        <f ca="1"/>
        <v>LO00048</v>
      </c>
      <c r="L339" t="str">
        <f ca="1"/>
        <v>7100 4T 20W50 ESTER CORE®</v>
      </c>
      <c r="M339">
        <f ca="1"/>
        <v>84</v>
      </c>
      <c r="N339">
        <f ca="1"/>
        <v>1075</v>
      </c>
      <c r="O339">
        <f ca="1"/>
        <v>84</v>
      </c>
      <c r="P339">
        <f ca="1"/>
        <v>0</v>
      </c>
      <c r="Q339">
        <f ca="1"/>
        <v>0</v>
      </c>
      <c r="R339">
        <f ca="1"/>
        <v>1075</v>
      </c>
      <c r="S339">
        <f ca="1"/>
        <v>84</v>
      </c>
      <c r="T339">
        <f ca="1"/>
        <v>84</v>
      </c>
      <c r="U339">
        <f ca="1"/>
        <v>90300</v>
      </c>
      <c r="V339">
        <f ca="1"/>
        <v>0</v>
      </c>
      <c r="W339">
        <f ca="1"/>
        <v>90300</v>
      </c>
      <c r="X339">
        <f ca="1"/>
        <v>11778.260869565218</v>
      </c>
      <c r="Y339">
        <f ca="1"/>
        <v>78521.739130434784</v>
      </c>
      <c r="Z339" t="str">
        <f ca="1"/>
        <v>Cash</v>
      </c>
      <c r="AA339">
        <f ca="1"/>
        <v>658</v>
      </c>
      <c r="AB339" t="str">
        <f ca="1"/>
        <v>Flat Discount</v>
      </c>
      <c r="AC339">
        <f ca="1"/>
        <v>45721</v>
      </c>
      <c r="AD339" t="str">
        <f ca="1"/>
        <v xml:space="preserve">delivery system:sundarban courier </v>
      </c>
      <c r="AE339" t="str">
        <f ca="1"/>
        <v>Central</v>
      </c>
      <c r="AF339" t="str">
        <f ca="1"/>
        <v>Synthetic</v>
      </c>
      <c r="AG339" t="str">
        <f ca="1"/>
        <v>MCO</v>
      </c>
      <c r="AH339" t="str">
        <f ca="1"/>
        <v>20W50</v>
      </c>
      <c r="AI339" t="str">
        <f ca="1"/>
        <v>7100</v>
      </c>
      <c r="AJ339">
        <f ca="1"/>
        <v>0</v>
      </c>
      <c r="AK339" t="str">
        <f ca="1"/>
        <v>12x1L</v>
      </c>
      <c r="AL339">
        <f ca="1"/>
        <v>64150.6656</v>
      </c>
      <c r="AM339">
        <f ca="1"/>
        <v>14371.073530434784</v>
      </c>
      <c r="AN339" t="str">
        <f ca="1"/>
        <v>O-45715-D-0001</v>
      </c>
      <c r="AO339" t="str">
        <f ca="1"/>
        <v>Delivered</v>
      </c>
    </row>
    <row r="340" spans="1:41" x14ac:dyDescent="0.5">
      <c r="A340" t="str">
        <f ca="1"/>
        <v>F-191</v>
      </c>
      <c r="B340" s="1">
        <f ca="1"/>
        <v>45715</v>
      </c>
      <c r="C340" t="str">
        <f ca="1"/>
        <v>D-0001</v>
      </c>
      <c r="D340" t="str">
        <f ca="1"/>
        <v>m/s energy trading</v>
      </c>
      <c r="E340" t="str">
        <f ca="1"/>
        <v>kushtia sadar</v>
      </c>
      <c r="F340">
        <f ca="1"/>
        <v>1715857748</v>
      </c>
      <c r="G340" t="str">
        <f ca="1"/>
        <v>Md.Mahfuzur Rahman</v>
      </c>
      <c r="H340" t="str">
        <f ca="1"/>
        <v>Abdul Matin</v>
      </c>
      <c r="I340" t="str">
        <f ca="1"/>
        <v>M/S Hasan Traders</v>
      </c>
      <c r="J340" t="str">
        <f ca="1"/>
        <v>Pangsha</v>
      </c>
      <c r="K340" t="str">
        <f ca="1"/>
        <v>LO00104</v>
      </c>
      <c r="L340" t="str">
        <f ca="1"/>
        <v>7100 4T 10W30 ESTER CORE®</v>
      </c>
      <c r="M340">
        <f ca="1"/>
        <v>40</v>
      </c>
      <c r="N340">
        <f ca="1"/>
        <v>1290</v>
      </c>
      <c r="O340">
        <f ca="1"/>
        <v>48</v>
      </c>
      <c r="P340">
        <f ca="1"/>
        <v>0</v>
      </c>
      <c r="Q340">
        <f ca="1"/>
        <v>0</v>
      </c>
      <c r="R340">
        <f ca="1"/>
        <v>1290</v>
      </c>
      <c r="S340">
        <f ca="1"/>
        <v>40</v>
      </c>
      <c r="T340">
        <f ca="1"/>
        <v>48</v>
      </c>
      <c r="U340">
        <f ca="1"/>
        <v>51600</v>
      </c>
      <c r="V340">
        <f ca="1"/>
        <v>0</v>
      </c>
      <c r="W340">
        <f ca="1"/>
        <v>51600</v>
      </c>
      <c r="X340">
        <f ca="1"/>
        <v>6730.434782608696</v>
      </c>
      <c r="Y340">
        <f ca="1"/>
        <v>44869.565217391304</v>
      </c>
      <c r="Z340" t="str">
        <f ca="1"/>
        <v>Cash</v>
      </c>
      <c r="AA340">
        <f ca="1"/>
        <v>658</v>
      </c>
      <c r="AB340" t="str">
        <f ca="1"/>
        <v>Flat Discount</v>
      </c>
      <c r="AC340">
        <f ca="1"/>
        <v>45721</v>
      </c>
      <c r="AD340" t="str">
        <f ca="1"/>
        <v xml:space="preserve">delivery system:sundarban courier </v>
      </c>
      <c r="AE340" t="str">
        <f ca="1"/>
        <v>Central</v>
      </c>
      <c r="AF340" t="str">
        <f ca="1"/>
        <v>Synthetic</v>
      </c>
      <c r="AG340" t="str">
        <f ca="1"/>
        <v>MCO</v>
      </c>
      <c r="AH340" t="str">
        <f ca="1"/>
        <v>10W30</v>
      </c>
      <c r="AI340" t="str">
        <f ca="1"/>
        <v>7100</v>
      </c>
      <c r="AJ340">
        <f ca="1"/>
        <v>0</v>
      </c>
      <c r="AK340" t="str">
        <f ca="1"/>
        <v>20x1.2L</v>
      </c>
      <c r="AL340">
        <f ca="1"/>
        <v>31092</v>
      </c>
      <c r="AM340">
        <f ca="1"/>
        <v>13777.565217391304</v>
      </c>
      <c r="AN340" t="str">
        <f ca="1"/>
        <v>O-45715-D-0001</v>
      </c>
      <c r="AO340" t="str">
        <f ca="1"/>
        <v>Delivered</v>
      </c>
    </row>
    <row r="341" spans="1:41" x14ac:dyDescent="0.5">
      <c r="A341" t="str">
        <f ca="1"/>
        <v>F-191</v>
      </c>
      <c r="B341" s="1">
        <f ca="1"/>
        <v>45715</v>
      </c>
      <c r="C341" t="str">
        <f ca="1"/>
        <v>D-0001</v>
      </c>
      <c r="D341" t="str">
        <f ca="1"/>
        <v>m/s energy trading</v>
      </c>
      <c r="E341" t="str">
        <f ca="1"/>
        <v>kushtia sadar</v>
      </c>
      <c r="F341">
        <f ca="1"/>
        <v>1715857748</v>
      </c>
      <c r="G341" t="str">
        <f ca="1"/>
        <v>Md.Mahfuzur Rahman</v>
      </c>
      <c r="H341" t="str">
        <f ca="1"/>
        <v>Abdul Matin</v>
      </c>
      <c r="I341" t="str">
        <f ca="1"/>
        <v>M/S Hasan Traders</v>
      </c>
      <c r="J341" t="str">
        <f ca="1"/>
        <v>Pangsha</v>
      </c>
      <c r="K341" t="str">
        <f ca="1"/>
        <v>LO00119</v>
      </c>
      <c r="L341" t="str">
        <f ca="1"/>
        <v>3000 4T 20W50</v>
      </c>
      <c r="M341">
        <f ca="1"/>
        <v>60</v>
      </c>
      <c r="N341">
        <f ca="1"/>
        <v>480</v>
      </c>
      <c r="O341">
        <f ca="1"/>
        <v>60</v>
      </c>
      <c r="P341">
        <f ca="1"/>
        <v>0</v>
      </c>
      <c r="Q341">
        <f ca="1"/>
        <v>0</v>
      </c>
      <c r="R341">
        <f ca="1"/>
        <v>480</v>
      </c>
      <c r="S341">
        <f ca="1"/>
        <v>60</v>
      </c>
      <c r="T341">
        <f ca="1"/>
        <v>60</v>
      </c>
      <c r="U341">
        <f ca="1"/>
        <v>28800</v>
      </c>
      <c r="V341">
        <f ca="1"/>
        <v>0</v>
      </c>
      <c r="W341">
        <f ca="1"/>
        <v>28800</v>
      </c>
      <c r="X341">
        <f ca="1"/>
        <v>3756.521739130435</v>
      </c>
      <c r="Y341">
        <f ca="1"/>
        <v>25043.478260869564</v>
      </c>
      <c r="Z341" t="str">
        <f ca="1"/>
        <v>Cash</v>
      </c>
      <c r="AA341">
        <f ca="1"/>
        <v>658</v>
      </c>
      <c r="AB341" t="str">
        <f ca="1"/>
        <v>Flat Discount</v>
      </c>
      <c r="AC341">
        <f ca="1"/>
        <v>45721</v>
      </c>
      <c r="AD341" t="str">
        <f ca="1"/>
        <v xml:space="preserve">delivery system:sundarban courier </v>
      </c>
      <c r="AE341" t="str">
        <f ca="1"/>
        <v>Central</v>
      </c>
      <c r="AF341" t="str">
        <f ca="1"/>
        <v>Mineral</v>
      </c>
      <c r="AG341" t="str">
        <f ca="1"/>
        <v>MCO</v>
      </c>
      <c r="AH341" t="str">
        <f ca="1"/>
        <v>20W50</v>
      </c>
      <c r="AI341" t="str">
        <f ca="1"/>
        <v>3000</v>
      </c>
      <c r="AJ341">
        <f ca="1"/>
        <v>0</v>
      </c>
      <c r="AK341" t="str">
        <f ca="1"/>
        <v>20x1L</v>
      </c>
      <c r="AL341">
        <f ca="1"/>
        <v>21895.200000000001</v>
      </c>
      <c r="AM341">
        <f ca="1"/>
        <v>3148.2782608695634</v>
      </c>
      <c r="AN341" t="str">
        <f ca="1"/>
        <v>O-45715-D-0001</v>
      </c>
      <c r="AO341" t="str">
        <f ca="1"/>
        <v>Delivered</v>
      </c>
    </row>
    <row r="342" spans="1:41" x14ac:dyDescent="0.5">
      <c r="A342" t="str">
        <f ca="1"/>
        <v>F-192</v>
      </c>
      <c r="B342" s="1">
        <f ca="1"/>
        <v>45715</v>
      </c>
      <c r="C342" t="str">
        <f ca="1"/>
        <v>D-0055</v>
      </c>
      <c r="D342" t="str">
        <f ca="1"/>
        <v>Mid Bangal Private ltd</v>
      </c>
      <c r="E342" t="str">
        <f ca="1"/>
        <v>Motijhil</v>
      </c>
      <c r="F342" t="str">
        <f ca="1"/>
        <v>+88001679878727</v>
      </c>
      <c r="G342" t="str">
        <f ca="1"/>
        <v>Mahamudul Hasan Milon</v>
      </c>
      <c r="H342" t="str">
        <f ca="1"/>
        <v>Abdul Matin</v>
      </c>
      <c r="I342" t="str">
        <f ca="1"/>
        <v>Mid Bangal Private ltd</v>
      </c>
      <c r="J342" t="str">
        <f ca="1"/>
        <v>Motijhil</v>
      </c>
      <c r="K342" t="str">
        <f ca="1"/>
        <v>LO00119</v>
      </c>
      <c r="L342" t="str">
        <f ca="1"/>
        <v>3000 4T 20W50</v>
      </c>
      <c r="M342">
        <f ca="1"/>
        <v>2000</v>
      </c>
      <c r="N342">
        <f ca="1"/>
        <v>440</v>
      </c>
      <c r="O342">
        <f ca="1"/>
        <v>2000</v>
      </c>
      <c r="P342">
        <f ca="1"/>
        <v>0</v>
      </c>
      <c r="Q342">
        <f ca="1"/>
        <v>0</v>
      </c>
      <c r="R342">
        <f ca="1"/>
        <v>440</v>
      </c>
      <c r="S342">
        <f ca="1"/>
        <v>2000</v>
      </c>
      <c r="T342">
        <f ca="1"/>
        <v>2000</v>
      </c>
      <c r="U342">
        <f ca="1"/>
        <v>880000</v>
      </c>
      <c r="V342">
        <f ca="1"/>
        <v>0</v>
      </c>
      <c r="W342">
        <f ca="1"/>
        <v>880000</v>
      </c>
      <c r="X342">
        <f ca="1"/>
        <v>114782.60869565218</v>
      </c>
      <c r="Y342">
        <f ca="1"/>
        <v>765217.39130434778</v>
      </c>
      <c r="Z342" t="str">
        <f ca="1"/>
        <v>Cash</v>
      </c>
      <c r="AA342">
        <f ca="1"/>
        <v>659</v>
      </c>
      <c r="AB342" t="str">
        <f ca="1"/>
        <v>Custom</v>
      </c>
      <c r="AC342">
        <f ca="1"/>
        <v>45733</v>
      </c>
      <c r="AD342" t="str">
        <f ca="1"/>
        <v>Special Price</v>
      </c>
      <c r="AE342" t="str">
        <f ca="1"/>
        <v>Central</v>
      </c>
      <c r="AF342" t="str">
        <f ca="1"/>
        <v>Mineral</v>
      </c>
      <c r="AG342" t="str">
        <f ca="1"/>
        <v>MCO</v>
      </c>
      <c r="AH342" t="str">
        <f ca="1"/>
        <v>20W50</v>
      </c>
      <c r="AI342" t="str">
        <f ca="1"/>
        <v>3000</v>
      </c>
      <c r="AJ342">
        <f ca="1"/>
        <v>0</v>
      </c>
      <c r="AK342" t="str">
        <f ca="1"/>
        <v>20x1L</v>
      </c>
      <c r="AL342">
        <f ca="1"/>
        <v>729840</v>
      </c>
      <c r="AM342">
        <f ca="1"/>
        <v>35377.391304347781</v>
      </c>
      <c r="AN342" t="str">
        <f ca="1"/>
        <v>O-45715-D-0055</v>
      </c>
      <c r="AO342" t="str">
        <f ca="1"/>
        <v>Delivered</v>
      </c>
    </row>
    <row r="343" spans="1:41" x14ac:dyDescent="0.5">
      <c r="A343" t="str">
        <f ca="1"/>
        <v>F-193</v>
      </c>
      <c r="B343" s="1">
        <f ca="1"/>
        <v>45715</v>
      </c>
      <c r="C343" t="str">
        <f ca="1"/>
        <v>D-0003</v>
      </c>
      <c r="D343" t="str">
        <f ca="1"/>
        <v>Bajaj Parts Center</v>
      </c>
      <c r="E343" t="str">
        <f ca="1"/>
        <v>Taltola, Sylhet</v>
      </c>
      <c r="F343" t="str">
        <f ca="1"/>
        <v>01711-700652</v>
      </c>
      <c r="G343" t="str">
        <f ca="1"/>
        <v>Md. Robin Sheikh</v>
      </c>
      <c r="H343" t="str">
        <f ca="1"/>
        <v>Razur Rahman (Bipul)</v>
      </c>
      <c r="I343" t="str">
        <f ca="1"/>
        <v>Bajaj Parts Center</v>
      </c>
      <c r="J343" t="str">
        <f ca="1"/>
        <v>Taltola</v>
      </c>
      <c r="K343" t="str">
        <f ca="1"/>
        <v>LO00119</v>
      </c>
      <c r="L343" t="str">
        <f ca="1"/>
        <v>3000 4T 20W50</v>
      </c>
      <c r="M343">
        <f ca="1"/>
        <v>500</v>
      </c>
      <c r="N343">
        <f ca="1"/>
        <v>475</v>
      </c>
      <c r="O343">
        <f ca="1"/>
        <v>500</v>
      </c>
      <c r="P343">
        <f ca="1"/>
        <v>0</v>
      </c>
      <c r="Q343">
        <f ca="1"/>
        <v>0</v>
      </c>
      <c r="R343">
        <f ca="1"/>
        <v>475</v>
      </c>
      <c r="S343">
        <f ca="1"/>
        <v>500</v>
      </c>
      <c r="T343">
        <f ca="1"/>
        <v>500</v>
      </c>
      <c r="U343">
        <f ca="1"/>
        <v>237500</v>
      </c>
      <c r="V343">
        <f ca="1"/>
        <v>0</v>
      </c>
      <c r="W343">
        <f ca="1"/>
        <v>237500</v>
      </c>
      <c r="X343">
        <f ca="1"/>
        <v>30978.260869565216</v>
      </c>
      <c r="Y343">
        <f ca="1"/>
        <v>206521.73913043478</v>
      </c>
      <c r="Z343" t="str">
        <f ca="1"/>
        <v>Cash</v>
      </c>
      <c r="AA343">
        <f ca="1"/>
        <v>660</v>
      </c>
      <c r="AB343" t="str">
        <f ca="1"/>
        <v>Flat Discount</v>
      </c>
      <c r="AC343">
        <f ca="1"/>
        <v>45741</v>
      </c>
      <c r="AD343" t="str">
        <f ca="1"/>
        <v>Special Rate</v>
      </c>
      <c r="AE343" t="str">
        <f ca="1"/>
        <v>Eastern</v>
      </c>
      <c r="AF343" t="str">
        <f ca="1"/>
        <v>Mineral</v>
      </c>
      <c r="AG343" t="str">
        <f ca="1"/>
        <v>MCO</v>
      </c>
      <c r="AH343" t="str">
        <f ca="1"/>
        <v>20W50</v>
      </c>
      <c r="AI343" t="str">
        <f ca="1"/>
        <v>3000</v>
      </c>
      <c r="AJ343">
        <f ca="1"/>
        <v>0</v>
      </c>
      <c r="AK343" t="str">
        <f ca="1"/>
        <v>20x1L</v>
      </c>
      <c r="AL343">
        <f ca="1"/>
        <v>182460</v>
      </c>
      <c r="AM343">
        <f ca="1"/>
        <v>24061.739130434784</v>
      </c>
      <c r="AN343" t="str">
        <f ca="1"/>
        <v>O-45715-D-0003</v>
      </c>
      <c r="AO343" t="str">
        <f ca="1"/>
        <v>Delivered</v>
      </c>
    </row>
    <row r="344" spans="1:41" x14ac:dyDescent="0.5">
      <c r="A344" t="str">
        <f ca="1"/>
        <v>F-194</v>
      </c>
      <c r="B344" s="1">
        <f ca="1"/>
        <v>45704</v>
      </c>
      <c r="C344">
        <f ca="1"/>
        <v>0</v>
      </c>
      <c r="D344" t="str">
        <f ca="1"/>
        <v>Vehicle Solution</v>
      </c>
      <c r="E344" t="str">
        <f ca="1"/>
        <v/>
      </c>
      <c r="F344" t="str">
        <f ca="1"/>
        <v/>
      </c>
      <c r="G344" t="str">
        <f ca="1"/>
        <v>Sayed Al Amin Apu</v>
      </c>
      <c r="H344" t="str">
        <f ca="1"/>
        <v>Abdul Matin</v>
      </c>
      <c r="I344" t="str">
        <f ca="1"/>
        <v>Vehicle Solution</v>
      </c>
      <c r="J344" t="str">
        <f ca="1"/>
        <v/>
      </c>
      <c r="K344" t="str">
        <f ca="1"/>
        <v>LO00075</v>
      </c>
      <c r="L344" t="str">
        <f ca="1"/>
        <v>2000 Multi Power 20W50</v>
      </c>
      <c r="M344">
        <f ca="1"/>
        <v>0</v>
      </c>
      <c r="N344">
        <f ca="1"/>
        <v>0</v>
      </c>
      <c r="O344">
        <f ca="1"/>
        <v>0</v>
      </c>
      <c r="P344" t="str">
        <f ca="1"/>
        <v/>
      </c>
      <c r="Q344">
        <f ca="1"/>
        <v>2</v>
      </c>
      <c r="R344">
        <f ca="1"/>
        <v>0</v>
      </c>
      <c r="S344">
        <f ca="1"/>
        <v>2</v>
      </c>
      <c r="T344">
        <f ca="1"/>
        <v>8</v>
      </c>
      <c r="U344">
        <f ca="1"/>
        <v>0</v>
      </c>
      <c r="V344">
        <f ca="1"/>
        <v>0</v>
      </c>
      <c r="W344">
        <f ca="1"/>
        <v>0</v>
      </c>
      <c r="X344">
        <f ca="1"/>
        <v>0</v>
      </c>
      <c r="Y344">
        <f ca="1"/>
        <v>0</v>
      </c>
      <c r="Z344" t="str">
        <f ca="1"/>
        <v>Free</v>
      </c>
      <c r="AA344" t="str">
        <f ca="1"/>
        <v/>
      </c>
      <c r="AB344" t="str">
        <f ca="1"/>
        <v>Custom</v>
      </c>
      <c r="AC344">
        <f ca="1"/>
        <v>45704</v>
      </c>
      <c r="AD344" t="str">
        <f ca="1"/>
        <v xml:space="preserve">Samples FOC to Vehicle Solution </v>
      </c>
      <c r="AE344" t="str">
        <f ca="1"/>
        <v>Central</v>
      </c>
      <c r="AF344" t="str">
        <f ca="1"/>
        <v>Mineral</v>
      </c>
      <c r="AG344" t="str">
        <f ca="1"/>
        <v>PCMO</v>
      </c>
      <c r="AH344" t="str">
        <f ca="1"/>
        <v>20W50</v>
      </c>
      <c r="AI344" t="str">
        <f ca="1"/>
        <v>2000</v>
      </c>
      <c r="AJ344">
        <f ca="1"/>
        <v>8</v>
      </c>
      <c r="AK344" t="str">
        <f ca="1"/>
        <v>4X4L</v>
      </c>
      <c r="AL344">
        <f ca="1"/>
        <v>2190.9</v>
      </c>
      <c r="AM344">
        <f ca="1"/>
        <v>-2190.9</v>
      </c>
      <c r="AN344" t="str">
        <f ca="1"/>
        <v>O-45704-</v>
      </c>
      <c r="AO344" t="str">
        <f ca="1"/>
        <v>Delivered</v>
      </c>
    </row>
    <row r="345" spans="1:41" x14ac:dyDescent="0.5">
      <c r="A345" t="str">
        <f ca="1"/>
        <v>F-194</v>
      </c>
      <c r="B345" s="1">
        <f ca="1"/>
        <v>45704</v>
      </c>
      <c r="C345">
        <f ca="1"/>
        <v>0</v>
      </c>
      <c r="D345" t="str">
        <f ca="1"/>
        <v>Vehicle Solution</v>
      </c>
      <c r="E345" t="str">
        <f ca="1"/>
        <v/>
      </c>
      <c r="F345" t="str">
        <f ca="1"/>
        <v/>
      </c>
      <c r="G345" t="str">
        <f ca="1"/>
        <v>Sayed Al Amin Apu</v>
      </c>
      <c r="H345" t="str">
        <f ca="1"/>
        <v>Abdul Matin</v>
      </c>
      <c r="I345" t="str">
        <f ca="1"/>
        <v>Vehicle Solution</v>
      </c>
      <c r="J345" t="str">
        <f ca="1"/>
        <v/>
      </c>
      <c r="K345" t="str">
        <f ca="1"/>
        <v>LO00087</v>
      </c>
      <c r="L345" t="str">
        <f ca="1"/>
        <v>4000 Motion Plus 15W40</v>
      </c>
      <c r="M345">
        <f ca="1"/>
        <v>0</v>
      </c>
      <c r="N345">
        <f ca="1"/>
        <v>0</v>
      </c>
      <c r="O345">
        <f ca="1"/>
        <v>0</v>
      </c>
      <c r="P345" t="str">
        <f ca="1"/>
        <v/>
      </c>
      <c r="Q345">
        <f ca="1"/>
        <v>2</v>
      </c>
      <c r="R345">
        <f ca="1"/>
        <v>0</v>
      </c>
      <c r="S345">
        <f ca="1"/>
        <v>2</v>
      </c>
      <c r="T345">
        <f ca="1"/>
        <v>8</v>
      </c>
      <c r="U345">
        <f ca="1"/>
        <v>0</v>
      </c>
      <c r="V345">
        <f ca="1"/>
        <v>0</v>
      </c>
      <c r="W345">
        <f ca="1"/>
        <v>0</v>
      </c>
      <c r="X345">
        <f ca="1"/>
        <v>0</v>
      </c>
      <c r="Y345">
        <f ca="1"/>
        <v>0</v>
      </c>
      <c r="Z345" t="str">
        <f ca="1"/>
        <v>Free</v>
      </c>
      <c r="AA345" t="str">
        <f ca="1"/>
        <v/>
      </c>
      <c r="AB345" t="str">
        <f ca="1"/>
        <v>Custom</v>
      </c>
      <c r="AC345">
        <f ca="1"/>
        <v>45704</v>
      </c>
      <c r="AD345" t="str">
        <f ca="1"/>
        <v xml:space="preserve">Samples FOC to Vehicle Solution </v>
      </c>
      <c r="AE345" t="str">
        <f ca="1"/>
        <v>Central</v>
      </c>
      <c r="AF345" t="str">
        <f ca="1"/>
        <v>Mineral</v>
      </c>
      <c r="AG345" t="str">
        <f ca="1"/>
        <v>PCMO</v>
      </c>
      <c r="AH345" t="str">
        <f ca="1"/>
        <v>15W40</v>
      </c>
      <c r="AI345" t="str">
        <f ca="1"/>
        <v>4000</v>
      </c>
      <c r="AJ345">
        <f ca="1"/>
        <v>8</v>
      </c>
      <c r="AK345" t="str">
        <f ca="1"/>
        <v>4x4L</v>
      </c>
      <c r="AL345">
        <f ca="1"/>
        <v>2645.54</v>
      </c>
      <c r="AM345">
        <f ca="1"/>
        <v>-2645.54</v>
      </c>
      <c r="AN345" t="str">
        <f ca="1"/>
        <v>O-45704-</v>
      </c>
      <c r="AO345" t="str">
        <f ca="1"/>
        <v>Delivered</v>
      </c>
    </row>
    <row r="346" spans="1:41" x14ac:dyDescent="0.5">
      <c r="A346" t="str">
        <f ca="1"/>
        <v>F-196</v>
      </c>
      <c r="B346" s="1">
        <f ca="1"/>
        <v>45718</v>
      </c>
      <c r="C346" t="str">
        <f ca="1"/>
        <v/>
      </c>
      <c r="D346" t="str">
        <f ca="1"/>
        <v>Head office</v>
      </c>
      <c r="E346" t="str">
        <f ca="1"/>
        <v/>
      </c>
      <c r="F346" t="str">
        <f ca="1"/>
        <v/>
      </c>
      <c r="G346" t="str">
        <f ca="1"/>
        <v>Captive Sales</v>
      </c>
      <c r="H346" t="str">
        <f ca="1"/>
        <v>Captive Sales</v>
      </c>
      <c r="I346" t="str">
        <f ca="1"/>
        <v>Head office</v>
      </c>
      <c r="J346" t="str">
        <f ca="1"/>
        <v>Dhaka</v>
      </c>
      <c r="K346" t="str">
        <f ca="1"/>
        <v>LO00072</v>
      </c>
      <c r="L346" t="str">
        <f ca="1"/>
        <v>Scooter LE 4T 10W30 HC-TECH®</v>
      </c>
      <c r="M346">
        <f ca="1"/>
        <v>0</v>
      </c>
      <c r="N346">
        <f ca="1"/>
        <v>0</v>
      </c>
      <c r="O346">
        <f ca="1"/>
        <v>0</v>
      </c>
      <c r="P346">
        <f ca="1"/>
        <v>0</v>
      </c>
      <c r="Q346">
        <f ca="1"/>
        <v>1</v>
      </c>
      <c r="R346">
        <f ca="1"/>
        <v>0</v>
      </c>
      <c r="S346">
        <f ca="1"/>
        <v>1</v>
      </c>
      <c r="T346">
        <f ca="1"/>
        <v>0.8</v>
      </c>
      <c r="U346">
        <f ca="1"/>
        <v>0</v>
      </c>
      <c r="V346">
        <f ca="1"/>
        <v>0</v>
      </c>
      <c r="W346">
        <f ca="1"/>
        <v>0</v>
      </c>
      <c r="X346">
        <f ca="1"/>
        <v>0</v>
      </c>
      <c r="Y346">
        <f ca="1"/>
        <v>0</v>
      </c>
      <c r="Z346" t="str">
        <f ca="1"/>
        <v>Free</v>
      </c>
      <c r="AA346" t="str">
        <f ca="1"/>
        <v/>
      </c>
      <c r="AB346" t="str">
        <f ca="1"/>
        <v>Custom</v>
      </c>
      <c r="AC346">
        <f ca="1"/>
        <v>45718</v>
      </c>
      <c r="AD346" t="str">
        <f ca="1"/>
        <v>Samples FOC to Head office</v>
      </c>
      <c r="AE346" t="str">
        <f ca="1"/>
        <v>Captive Sales</v>
      </c>
      <c r="AF346" t="str">
        <f ca="1"/>
        <v>Mineral</v>
      </c>
      <c r="AG346" t="str">
        <f ca="1"/>
        <v>MCO</v>
      </c>
      <c r="AH346" t="str">
        <f ca="1"/>
        <v>10W30</v>
      </c>
      <c r="AI346" t="str">
        <f ca="1"/>
        <v>Scooter</v>
      </c>
      <c r="AJ346">
        <f ca="1"/>
        <v>0.8</v>
      </c>
      <c r="AK346" t="str">
        <f ca="1"/>
        <v>20x0.8L</v>
      </c>
      <c r="AL346">
        <f ca="1"/>
        <v>333.33</v>
      </c>
      <c r="AM346">
        <f ca="1"/>
        <v>-333.33</v>
      </c>
      <c r="AN346" t="str">
        <f ca="1"/>
        <v>O-45718-</v>
      </c>
      <c r="AO346" t="str">
        <f ca="1"/>
        <v>Delivered</v>
      </c>
    </row>
    <row r="347" spans="1:41" x14ac:dyDescent="0.5">
      <c r="A347" t="str">
        <f ca="1"/>
        <v>F-195</v>
      </c>
      <c r="B347" s="1">
        <f ca="1"/>
        <v>45713</v>
      </c>
      <c r="C347" t="str">
        <f ca="1"/>
        <v/>
      </c>
      <c r="D347" t="str">
        <f ca="1"/>
        <v>Head office</v>
      </c>
      <c r="E347" t="str">
        <f ca="1"/>
        <v/>
      </c>
      <c r="F347" t="str">
        <f ca="1"/>
        <v/>
      </c>
      <c r="G347" t="str">
        <f ca="1"/>
        <v>Captive Sales</v>
      </c>
      <c r="H347" t="str">
        <f ca="1"/>
        <v>Captive Sales</v>
      </c>
      <c r="I347" t="str">
        <f ca="1"/>
        <v>Head office</v>
      </c>
      <c r="J347" t="str">
        <f ca="1"/>
        <v>Dhaka</v>
      </c>
      <c r="K347" t="str">
        <f ca="1"/>
        <v>LO00119</v>
      </c>
      <c r="L347" t="str">
        <f ca="1"/>
        <v>3000 4T 20W50</v>
      </c>
      <c r="M347">
        <f ca="1"/>
        <v>0</v>
      </c>
      <c r="N347">
        <f ca="1"/>
        <v>0</v>
      </c>
      <c r="O347">
        <f ca="1"/>
        <v>0</v>
      </c>
      <c r="P347">
        <f ca="1"/>
        <v>0</v>
      </c>
      <c r="Q347">
        <f ca="1"/>
        <v>2</v>
      </c>
      <c r="R347">
        <f ca="1"/>
        <v>0</v>
      </c>
      <c r="S347">
        <f ca="1"/>
        <v>2</v>
      </c>
      <c r="T347">
        <f ca="1"/>
        <v>2</v>
      </c>
      <c r="U347">
        <f ca="1"/>
        <v>0</v>
      </c>
      <c r="V347">
        <f ca="1"/>
        <v>0</v>
      </c>
      <c r="W347">
        <f ca="1"/>
        <v>0</v>
      </c>
      <c r="X347">
        <f ca="1"/>
        <v>0</v>
      </c>
      <c r="Y347">
        <f ca="1"/>
        <v>0</v>
      </c>
      <c r="Z347" t="str">
        <f ca="1"/>
        <v>Free</v>
      </c>
      <c r="AA347" t="str">
        <f ca="1"/>
        <v/>
      </c>
      <c r="AB347" t="str">
        <f ca="1"/>
        <v>Custom</v>
      </c>
      <c r="AC347">
        <f ca="1"/>
        <v>45718</v>
      </c>
      <c r="AD347" t="str">
        <f ca="1"/>
        <v>Samples FOC to Head office</v>
      </c>
      <c r="AE347" t="str">
        <f ca="1"/>
        <v>Captive Sales</v>
      </c>
      <c r="AF347" t="str">
        <f ca="1"/>
        <v>Mineral</v>
      </c>
      <c r="AG347" t="str">
        <f ca="1"/>
        <v>MCO</v>
      </c>
      <c r="AH347" t="str">
        <f ca="1"/>
        <v>20W50</v>
      </c>
      <c r="AI347" t="str">
        <f ca="1"/>
        <v>3000</v>
      </c>
      <c r="AJ347">
        <f ca="1"/>
        <v>2</v>
      </c>
      <c r="AK347" t="str">
        <f ca="1"/>
        <v>20x1L</v>
      </c>
      <c r="AL347">
        <f ca="1"/>
        <v>729.84</v>
      </c>
      <c r="AM347">
        <f ca="1"/>
        <v>-729.84</v>
      </c>
      <c r="AN347" t="str">
        <f ca="1"/>
        <v>O-45713-</v>
      </c>
      <c r="AO347" t="str">
        <f ca="1"/>
        <v>Delivered</v>
      </c>
    </row>
    <row r="348" spans="1:41" x14ac:dyDescent="0.5">
      <c r="A348" t="str">
        <f ca="1"/>
        <v>F-197</v>
      </c>
      <c r="B348" s="1">
        <f ca="1"/>
        <v>45718</v>
      </c>
      <c r="C348" t="str">
        <f ca="1"/>
        <v>D-0006</v>
      </c>
      <c r="D348" t="str">
        <f ca="1"/>
        <v>Maliha Enterprise</v>
      </c>
      <c r="E348" t="str">
        <f ca="1"/>
        <v/>
      </c>
      <c r="F348" t="str">
        <f ca="1"/>
        <v/>
      </c>
      <c r="G348" t="str">
        <f ca="1"/>
        <v>Sayed Al Amin Apu</v>
      </c>
      <c r="H348" t="str">
        <f ca="1"/>
        <v>Abdul Matin</v>
      </c>
      <c r="I348" t="str">
        <f ca="1"/>
        <v>Maliha Enterprise</v>
      </c>
      <c r="J348" t="str">
        <f ca="1"/>
        <v>Savar</v>
      </c>
      <c r="K348" t="str">
        <f ca="1"/>
        <v>LO00042</v>
      </c>
      <c r="L348" t="str">
        <f ca="1"/>
        <v>3000 4T PLUS 20W40</v>
      </c>
      <c r="M348">
        <f ca="1"/>
        <v>300</v>
      </c>
      <c r="N348">
        <f ca="1"/>
        <v>535</v>
      </c>
      <c r="O348">
        <f ca="1"/>
        <v>300</v>
      </c>
      <c r="P348">
        <f ca="1"/>
        <v>1.3084112149532756E-2</v>
      </c>
      <c r="Q348">
        <f ca="1"/>
        <v>0</v>
      </c>
      <c r="R348">
        <f ca="1"/>
        <v>528</v>
      </c>
      <c r="S348">
        <f ca="1"/>
        <v>300</v>
      </c>
      <c r="T348">
        <f ca="1"/>
        <v>300</v>
      </c>
      <c r="U348">
        <f ca="1"/>
        <v>160500</v>
      </c>
      <c r="V348">
        <f ca="1"/>
        <v>2100</v>
      </c>
      <c r="W348">
        <f ca="1"/>
        <v>158400</v>
      </c>
      <c r="X348">
        <f ca="1"/>
        <v>20660.869565217392</v>
      </c>
      <c r="Y348">
        <f ca="1"/>
        <v>137739.13043478262</v>
      </c>
      <c r="Z348" t="str">
        <f ca="1"/>
        <v>Cash</v>
      </c>
      <c r="AA348">
        <f ca="1"/>
        <v>661</v>
      </c>
      <c r="AB348" t="str">
        <f ca="1"/>
        <v>Regular</v>
      </c>
      <c r="AC348">
        <f ca="1"/>
        <v>45718</v>
      </c>
      <c r="AD348" t="str">
        <f ca="1"/>
        <v>Special rate , 7tk/ltr discount</v>
      </c>
      <c r="AE348" t="str">
        <f ca="1"/>
        <v>Central</v>
      </c>
      <c r="AF348" t="str">
        <f ca="1"/>
        <v>Mineral</v>
      </c>
      <c r="AG348" t="str">
        <f ca="1"/>
        <v>MCO</v>
      </c>
      <c r="AH348" t="str">
        <f ca="1"/>
        <v>20W40</v>
      </c>
      <c r="AI348" t="str">
        <f ca="1"/>
        <v>3000</v>
      </c>
      <c r="AJ348">
        <f ca="1"/>
        <v>0</v>
      </c>
      <c r="AK348" t="str">
        <f ca="1"/>
        <v>20x1L</v>
      </c>
      <c r="AL348">
        <f ca="1"/>
        <v>123828</v>
      </c>
      <c r="AM348">
        <f ca="1"/>
        <v>13911.130434782623</v>
      </c>
      <c r="AN348" t="str">
        <f ca="1"/>
        <v>O-45718-D-0006</v>
      </c>
      <c r="AO348" t="str">
        <f ca="1"/>
        <v>Delivered</v>
      </c>
    </row>
    <row r="349" spans="1:41" x14ac:dyDescent="0.5">
      <c r="A349" t="str">
        <f ca="1"/>
        <v>F-198</v>
      </c>
      <c r="B349" s="1">
        <f ca="1"/>
        <v>45720</v>
      </c>
      <c r="C349" t="str">
        <f ca="1"/>
        <v>D-0023</v>
      </c>
      <c r="D349" t="str">
        <f ca="1"/>
        <v>Rangpur Mobil House</v>
      </c>
      <c r="E349" t="str">
        <f ca="1"/>
        <v>G.L.Ray Road,Rangpur Sadar</v>
      </c>
      <c r="F349">
        <f ca="1"/>
        <v>1717220333</v>
      </c>
      <c r="G349" t="str">
        <f ca="1"/>
        <v>Monirul Islam</v>
      </c>
      <c r="H349" t="str">
        <f ca="1"/>
        <v>Raihan Siddiqui</v>
      </c>
      <c r="I349" t="str">
        <f ca="1"/>
        <v>Bondhu Motors</v>
      </c>
      <c r="J349" t="str">
        <f ca="1"/>
        <v>Rangpur</v>
      </c>
      <c r="K349" t="str">
        <f ca="1"/>
        <v>LO00042</v>
      </c>
      <c r="L349" t="str">
        <f ca="1"/>
        <v>3000 4T PLUS 20W40</v>
      </c>
      <c r="M349">
        <f ca="1"/>
        <v>20</v>
      </c>
      <c r="N349">
        <f ca="1"/>
        <v>535</v>
      </c>
      <c r="O349">
        <f ca="1"/>
        <v>20</v>
      </c>
      <c r="P349">
        <f ca="1"/>
        <v>9.3457943925233655E-3</v>
      </c>
      <c r="Q349">
        <f ca="1"/>
        <v>0</v>
      </c>
      <c r="R349">
        <f ca="1"/>
        <v>530</v>
      </c>
      <c r="S349">
        <f ca="1"/>
        <v>20</v>
      </c>
      <c r="T349">
        <f ca="1"/>
        <v>20</v>
      </c>
      <c r="U349">
        <f ca="1"/>
        <v>10700</v>
      </c>
      <c r="V349">
        <f ca="1"/>
        <v>0</v>
      </c>
      <c r="W349">
        <f ca="1"/>
        <v>10600</v>
      </c>
      <c r="X349">
        <f ca="1"/>
        <v>1382.608695652174</v>
      </c>
      <c r="Y349">
        <f ca="1"/>
        <v>9217.391304347826</v>
      </c>
      <c r="Z349" t="str">
        <f ca="1"/>
        <v>Cash</v>
      </c>
      <c r="AA349">
        <f ca="1"/>
        <v>662</v>
      </c>
      <c r="AB349" t="str">
        <f ca="1"/>
        <v>Regular</v>
      </c>
      <c r="AC349">
        <f ca="1"/>
        <v>45721</v>
      </c>
      <c r="AD349" t="str">
        <f ca="1"/>
        <v/>
      </c>
      <c r="AE349" t="str">
        <f ca="1"/>
        <v>Northern</v>
      </c>
      <c r="AF349" t="str">
        <f ca="1"/>
        <v>Mineral</v>
      </c>
      <c r="AG349" t="str">
        <f ca="1"/>
        <v>MCO</v>
      </c>
      <c r="AH349" t="str">
        <f ca="1"/>
        <v>20W40</v>
      </c>
      <c r="AI349" t="str">
        <f ca="1"/>
        <v>3000</v>
      </c>
      <c r="AJ349">
        <f ca="1"/>
        <v>0</v>
      </c>
      <c r="AK349" t="str">
        <f ca="1"/>
        <v>20x1L</v>
      </c>
      <c r="AL349">
        <f ca="1"/>
        <v>8255.2000000000007</v>
      </c>
      <c r="AM349">
        <f ca="1"/>
        <v>962.19130434782528</v>
      </c>
      <c r="AN349" t="str">
        <f ca="1"/>
        <v>O-45720-D-0023</v>
      </c>
      <c r="AO349" t="str">
        <f ca="1"/>
        <v>Delivered</v>
      </c>
    </row>
    <row r="350" spans="1:41" x14ac:dyDescent="0.5">
      <c r="A350" t="str">
        <f ca="1"/>
        <v>F-198</v>
      </c>
      <c r="B350" s="1">
        <f ca="1"/>
        <v>45720</v>
      </c>
      <c r="C350" t="str">
        <f ca="1"/>
        <v>D-0023</v>
      </c>
      <c r="D350" t="str">
        <f ca="1"/>
        <v>Rangpur Mobil House</v>
      </c>
      <c r="E350" t="str">
        <f ca="1"/>
        <v>G.L.Ray Road,Rangpur Sadar</v>
      </c>
      <c r="F350">
        <f ca="1"/>
        <v>1717220333</v>
      </c>
      <c r="G350" t="str">
        <f ca="1"/>
        <v>Monirul Islam</v>
      </c>
      <c r="H350" t="str">
        <f ca="1"/>
        <v>Raihan Siddiqui</v>
      </c>
      <c r="I350" t="str">
        <f ca="1"/>
        <v>Bondhu Motors</v>
      </c>
      <c r="J350" t="str">
        <f ca="1"/>
        <v>Rangpur</v>
      </c>
      <c r="K350" t="str">
        <f ca="1"/>
        <v>LO00043</v>
      </c>
      <c r="L350" t="str">
        <f ca="1"/>
        <v>3000 4T PLUS 10W40</v>
      </c>
      <c r="M350">
        <f ca="1"/>
        <v>20</v>
      </c>
      <c r="N350">
        <f ca="1"/>
        <v>545</v>
      </c>
      <c r="O350">
        <f ca="1"/>
        <v>20</v>
      </c>
      <c r="P350">
        <f ca="1"/>
        <v>9.1743119266054496E-3</v>
      </c>
      <c r="Q350">
        <f ca="1"/>
        <v>0</v>
      </c>
      <c r="R350">
        <f ca="1"/>
        <v>540</v>
      </c>
      <c r="S350">
        <f ca="1"/>
        <v>20</v>
      </c>
      <c r="T350">
        <f ca="1"/>
        <v>20</v>
      </c>
      <c r="U350">
        <f ca="1"/>
        <v>10900</v>
      </c>
      <c r="V350">
        <f ca="1"/>
        <v>0</v>
      </c>
      <c r="W350">
        <f ca="1"/>
        <v>10800</v>
      </c>
      <c r="X350">
        <f ca="1"/>
        <v>1408.695652173913</v>
      </c>
      <c r="Y350">
        <f ca="1"/>
        <v>9391.3043478260861</v>
      </c>
      <c r="Z350" t="str">
        <f ca="1"/>
        <v>Cash</v>
      </c>
      <c r="AA350">
        <f ca="1"/>
        <v>662</v>
      </c>
      <c r="AB350" t="str">
        <f ca="1"/>
        <v>Regular</v>
      </c>
      <c r="AC350">
        <f ca="1"/>
        <v>45721</v>
      </c>
      <c r="AD350" t="str">
        <f ca="1"/>
        <v/>
      </c>
      <c r="AE350" t="str">
        <f ca="1"/>
        <v>Northern</v>
      </c>
      <c r="AF350" t="str">
        <f ca="1"/>
        <v>Mineral</v>
      </c>
      <c r="AG350" t="str">
        <f ca="1"/>
        <v>MCO</v>
      </c>
      <c r="AH350" t="str">
        <f ca="1"/>
        <v>10W40</v>
      </c>
      <c r="AI350" t="str">
        <f ca="1"/>
        <v>3000</v>
      </c>
      <c r="AJ350">
        <f ca="1"/>
        <v>0</v>
      </c>
      <c r="AK350" t="str">
        <f ca="1"/>
        <v>20x1L</v>
      </c>
      <c r="AL350">
        <f ca="1"/>
        <v>7697</v>
      </c>
      <c r="AM350">
        <f ca="1"/>
        <v>1694.3043478260861</v>
      </c>
      <c r="AN350" t="str">
        <f ca="1"/>
        <v>O-45720-D-0023</v>
      </c>
      <c r="AO350" t="str">
        <f ca="1"/>
        <v>Delivered</v>
      </c>
    </row>
    <row r="351" spans="1:41" x14ac:dyDescent="0.5">
      <c r="A351" t="str">
        <f ca="1"/>
        <v>F-198</v>
      </c>
      <c r="B351" s="1">
        <f ca="1"/>
        <v>45720</v>
      </c>
      <c r="C351" t="str">
        <f ca="1"/>
        <v>D-0023</v>
      </c>
      <c r="D351" t="str">
        <f ca="1"/>
        <v>Rangpur Mobil House</v>
      </c>
      <c r="E351" t="str">
        <f ca="1"/>
        <v>G.L.Ray Road,Rangpur Sadar</v>
      </c>
      <c r="F351">
        <f ca="1"/>
        <v>1717220333</v>
      </c>
      <c r="G351" t="str">
        <f ca="1"/>
        <v>Monirul Islam</v>
      </c>
      <c r="H351" t="str">
        <f ca="1"/>
        <v>Raihan Siddiqui</v>
      </c>
      <c r="I351" t="str">
        <f ca="1"/>
        <v>Bondhu Motors</v>
      </c>
      <c r="J351" t="str">
        <f ca="1"/>
        <v>Rangpur</v>
      </c>
      <c r="K351" t="str">
        <f ca="1"/>
        <v>LO00044</v>
      </c>
      <c r="L351" t="str">
        <f ca="1"/>
        <v>31004T GOLD 20W50</v>
      </c>
      <c r="M351">
        <f ca="1"/>
        <v>20</v>
      </c>
      <c r="N351">
        <f ca="1"/>
        <v>595</v>
      </c>
      <c r="O351">
        <f ca="1"/>
        <v>20</v>
      </c>
      <c r="P351">
        <f ca="1"/>
        <v>8.4033613445377853E-3</v>
      </c>
      <c r="Q351">
        <f ca="1"/>
        <v>0</v>
      </c>
      <c r="R351">
        <f ca="1"/>
        <v>590</v>
      </c>
      <c r="S351">
        <f ca="1"/>
        <v>20</v>
      </c>
      <c r="T351">
        <f ca="1"/>
        <v>20</v>
      </c>
      <c r="U351">
        <f ca="1"/>
        <v>11900</v>
      </c>
      <c r="V351">
        <f ca="1"/>
        <v>0</v>
      </c>
      <c r="W351">
        <f ca="1"/>
        <v>11800</v>
      </c>
      <c r="X351">
        <f ca="1"/>
        <v>1539.1304347826087</v>
      </c>
      <c r="Y351">
        <f ca="1"/>
        <v>10260.869565217392</v>
      </c>
      <c r="Z351" t="str">
        <f ca="1"/>
        <v>Cash</v>
      </c>
      <c r="AA351">
        <f ca="1"/>
        <v>662</v>
      </c>
      <c r="AB351" t="str">
        <f ca="1"/>
        <v>Regular</v>
      </c>
      <c r="AC351">
        <f ca="1"/>
        <v>45721</v>
      </c>
      <c r="AD351" t="str">
        <f ca="1"/>
        <v/>
      </c>
      <c r="AE351" t="str">
        <f ca="1"/>
        <v>Northern</v>
      </c>
      <c r="AF351" t="str">
        <f ca="1"/>
        <v>Technosynthese</v>
      </c>
      <c r="AG351" t="str">
        <f ca="1"/>
        <v>MCO</v>
      </c>
      <c r="AH351" t="str">
        <f ca="1"/>
        <v>20W50</v>
      </c>
      <c r="AI351" t="str">
        <f ca="1"/>
        <v>3100</v>
      </c>
      <c r="AJ351">
        <f ca="1"/>
        <v>0</v>
      </c>
      <c r="AK351" t="str">
        <f ca="1"/>
        <v>20x1L</v>
      </c>
      <c r="AL351">
        <f ca="1"/>
        <v>9387.7999999999993</v>
      </c>
      <c r="AM351">
        <f ca="1"/>
        <v>873.06956521739266</v>
      </c>
      <c r="AN351" t="str">
        <f ca="1"/>
        <v>O-45720-D-0023</v>
      </c>
      <c r="AO351" t="str">
        <f ca="1"/>
        <v>Delivered</v>
      </c>
    </row>
    <row r="352" spans="1:41" x14ac:dyDescent="0.5">
      <c r="A352" t="str">
        <f ca="1"/>
        <v>F-198</v>
      </c>
      <c r="B352" s="1">
        <f ca="1"/>
        <v>45720</v>
      </c>
      <c r="C352" t="str">
        <f ca="1"/>
        <v>D-0023</v>
      </c>
      <c r="D352" t="str">
        <f ca="1"/>
        <v>Rangpur Mobil House</v>
      </c>
      <c r="E352" t="str">
        <f ca="1"/>
        <v>G.L.Ray Road,Rangpur Sadar</v>
      </c>
      <c r="F352">
        <f ca="1"/>
        <v>1717220333</v>
      </c>
      <c r="G352" t="str">
        <f ca="1"/>
        <v>Monirul Islam</v>
      </c>
      <c r="H352" t="str">
        <f ca="1"/>
        <v>Raihan Siddiqui</v>
      </c>
      <c r="I352" t="str">
        <f ca="1"/>
        <v>Bondhu Motors</v>
      </c>
      <c r="J352" t="str">
        <f ca="1"/>
        <v>Rangpur</v>
      </c>
      <c r="K352" t="str">
        <f ca="1"/>
        <v>LO00071</v>
      </c>
      <c r="L352" t="str">
        <f ca="1"/>
        <v>31004T GOLD 10W30</v>
      </c>
      <c r="M352">
        <f ca="1"/>
        <v>20</v>
      </c>
      <c r="N352">
        <f ca="1"/>
        <v>600</v>
      </c>
      <c r="O352">
        <f ca="1"/>
        <v>20</v>
      </c>
      <c r="P352">
        <f ca="1"/>
        <v>8.3333333333333037E-3</v>
      </c>
      <c r="Q352">
        <f ca="1"/>
        <v>0</v>
      </c>
      <c r="R352">
        <f ca="1"/>
        <v>595</v>
      </c>
      <c r="S352">
        <f ca="1"/>
        <v>20</v>
      </c>
      <c r="T352">
        <f ca="1"/>
        <v>20</v>
      </c>
      <c r="U352">
        <f ca="1"/>
        <v>12000</v>
      </c>
      <c r="V352">
        <f ca="1"/>
        <v>0</v>
      </c>
      <c r="W352">
        <f ca="1"/>
        <v>11900</v>
      </c>
      <c r="X352">
        <f ca="1"/>
        <v>1552.1739130434783</v>
      </c>
      <c r="Y352">
        <f ca="1"/>
        <v>10347.826086956522</v>
      </c>
      <c r="Z352" t="str">
        <f ca="1"/>
        <v>Cash</v>
      </c>
      <c r="AA352">
        <f ca="1"/>
        <v>662</v>
      </c>
      <c r="AB352" t="str">
        <f ca="1"/>
        <v>Regular</v>
      </c>
      <c r="AC352">
        <f ca="1"/>
        <v>45721</v>
      </c>
      <c r="AD352" t="str">
        <f ca="1"/>
        <v/>
      </c>
      <c r="AE352" t="str">
        <f ca="1"/>
        <v>Northern</v>
      </c>
      <c r="AF352" t="str">
        <f ca="1"/>
        <v>Technosynthese</v>
      </c>
      <c r="AG352" t="str">
        <f ca="1"/>
        <v>MCO</v>
      </c>
      <c r="AH352" t="str">
        <f ca="1"/>
        <v>10W30</v>
      </c>
      <c r="AI352" t="str">
        <f ca="1"/>
        <v>3100</v>
      </c>
      <c r="AJ352">
        <f ca="1"/>
        <v>0</v>
      </c>
      <c r="AK352" t="str">
        <f ca="1"/>
        <v>20x1L</v>
      </c>
      <c r="AL352">
        <f ca="1"/>
        <v>8502</v>
      </c>
      <c r="AM352">
        <f ca="1"/>
        <v>1845.826086956522</v>
      </c>
      <c r="AN352" t="str">
        <f ca="1"/>
        <v>O-45720-D-0023</v>
      </c>
      <c r="AO352" t="str">
        <f ca="1"/>
        <v>Delivered</v>
      </c>
    </row>
    <row r="353" spans="1:41" x14ac:dyDescent="0.5">
      <c r="A353" t="str">
        <f ca="1"/>
        <v>F-198</v>
      </c>
      <c r="B353" s="1">
        <f ca="1"/>
        <v>45720</v>
      </c>
      <c r="C353" t="str">
        <f ca="1"/>
        <v>D-0023</v>
      </c>
      <c r="D353" t="str">
        <f ca="1"/>
        <v>Rangpur Mobil House</v>
      </c>
      <c r="E353" t="str">
        <f ca="1"/>
        <v>G.L.Ray Road,Rangpur Sadar</v>
      </c>
      <c r="F353">
        <f ca="1"/>
        <v>1717220333</v>
      </c>
      <c r="G353" t="str">
        <f ca="1"/>
        <v>Monirul Islam</v>
      </c>
      <c r="H353" t="str">
        <f ca="1"/>
        <v>Raihan Siddiqui</v>
      </c>
      <c r="I353" t="str">
        <f ca="1"/>
        <v>Bondhu Motors</v>
      </c>
      <c r="J353" t="str">
        <f ca="1"/>
        <v>Rangpur</v>
      </c>
      <c r="K353" t="str">
        <f ca="1"/>
        <v>LO00074</v>
      </c>
      <c r="L353" t="str">
        <f ca="1"/>
        <v>7100 4T 10W30 ESTER CORE®</v>
      </c>
      <c r="M353">
        <f ca="1"/>
        <v>12</v>
      </c>
      <c r="N353">
        <f ca="1"/>
        <v>1075</v>
      </c>
      <c r="O353">
        <f ca="1"/>
        <v>12</v>
      </c>
      <c r="P353">
        <f ca="1"/>
        <v>4.6511627906976605E-3</v>
      </c>
      <c r="Q353">
        <f ca="1"/>
        <v>0</v>
      </c>
      <c r="R353">
        <f ca="1"/>
        <v>1070</v>
      </c>
      <c r="S353">
        <f ca="1"/>
        <v>12</v>
      </c>
      <c r="T353">
        <f ca="1"/>
        <v>12</v>
      </c>
      <c r="U353">
        <f ca="1"/>
        <v>12900</v>
      </c>
      <c r="V353">
        <f ca="1"/>
        <v>0</v>
      </c>
      <c r="W353">
        <f ca="1"/>
        <v>12840</v>
      </c>
      <c r="X353">
        <f ca="1"/>
        <v>1674.7826086956522</v>
      </c>
      <c r="Y353">
        <f ca="1"/>
        <v>11165.217391304348</v>
      </c>
      <c r="Z353" t="str">
        <f ca="1"/>
        <v>Cash</v>
      </c>
      <c r="AA353">
        <f ca="1"/>
        <v>662</v>
      </c>
      <c r="AB353" t="str">
        <f ca="1"/>
        <v>Regular</v>
      </c>
      <c r="AC353">
        <f ca="1"/>
        <v>45721</v>
      </c>
      <c r="AD353" t="str">
        <f ca="1"/>
        <v/>
      </c>
      <c r="AE353" t="str">
        <f ca="1"/>
        <v>Northern</v>
      </c>
      <c r="AF353" t="str">
        <f ca="1"/>
        <v>Synthetic</v>
      </c>
      <c r="AG353" t="str">
        <f ca="1"/>
        <v>MCO</v>
      </c>
      <c r="AH353" t="str">
        <f ca="1"/>
        <v>10W30</v>
      </c>
      <c r="AI353" t="str">
        <f ca="1"/>
        <v>7100</v>
      </c>
      <c r="AJ353">
        <f ca="1"/>
        <v>0</v>
      </c>
      <c r="AK353" t="str">
        <f ca="1"/>
        <v>12x1L</v>
      </c>
      <c r="AL353">
        <f ca="1"/>
        <v>8278.32</v>
      </c>
      <c r="AM353">
        <f ca="1"/>
        <v>2886.8973913043483</v>
      </c>
      <c r="AN353" t="str">
        <f ca="1"/>
        <v>O-45720-D-0023</v>
      </c>
      <c r="AO353" t="str">
        <f ca="1"/>
        <v>Delivered</v>
      </c>
    </row>
    <row r="354" spans="1:41" x14ac:dyDescent="0.5">
      <c r="A354" t="str">
        <f ca="1"/>
        <v>F-198</v>
      </c>
      <c r="B354" s="1">
        <f ca="1"/>
        <v>45720</v>
      </c>
      <c r="C354" t="str">
        <f ca="1"/>
        <v>D-0023</v>
      </c>
      <c r="D354" t="str">
        <f ca="1"/>
        <v>Rangpur Mobil House</v>
      </c>
      <c r="E354" t="str">
        <f ca="1"/>
        <v>G.L.Ray Road,Rangpur Sadar</v>
      </c>
      <c r="F354">
        <f ca="1"/>
        <v>1717220333</v>
      </c>
      <c r="G354" t="str">
        <f ca="1"/>
        <v>Monirul Islam</v>
      </c>
      <c r="H354" t="str">
        <f ca="1"/>
        <v>Raihan Siddiqui</v>
      </c>
      <c r="I354" t="str">
        <f ca="1"/>
        <v>Bondhu Motors</v>
      </c>
      <c r="J354" t="str">
        <f ca="1"/>
        <v>Rangpur</v>
      </c>
      <c r="K354" t="str">
        <f ca="1"/>
        <v>LO00048</v>
      </c>
      <c r="L354" t="str">
        <f ca="1"/>
        <v>7100 4T 20W50 ESTER CORE®</v>
      </c>
      <c r="M354">
        <f ca="1"/>
        <v>12</v>
      </c>
      <c r="N354">
        <f ca="1"/>
        <v>1075</v>
      </c>
      <c r="O354">
        <f ca="1"/>
        <v>12</v>
      </c>
      <c r="P354">
        <f ca="1"/>
        <v>4.6511627906976605E-3</v>
      </c>
      <c r="Q354">
        <f ca="1"/>
        <v>0</v>
      </c>
      <c r="R354">
        <f ca="1"/>
        <v>1070</v>
      </c>
      <c r="S354">
        <f ca="1"/>
        <v>12</v>
      </c>
      <c r="T354">
        <f ca="1"/>
        <v>12</v>
      </c>
      <c r="U354">
        <f ca="1"/>
        <v>12900</v>
      </c>
      <c r="V354">
        <f ca="1"/>
        <v>0</v>
      </c>
      <c r="W354">
        <f ca="1"/>
        <v>12840</v>
      </c>
      <c r="X354">
        <f ca="1"/>
        <v>1674.7826086956522</v>
      </c>
      <c r="Y354">
        <f ca="1"/>
        <v>11165.217391304348</v>
      </c>
      <c r="Z354" t="str">
        <f ca="1"/>
        <v>Cash</v>
      </c>
      <c r="AA354">
        <f ca="1"/>
        <v>662</v>
      </c>
      <c r="AB354" t="str">
        <f ca="1"/>
        <v>Regular</v>
      </c>
      <c r="AC354">
        <f ca="1"/>
        <v>45721</v>
      </c>
      <c r="AD354" t="str">
        <f ca="1"/>
        <v/>
      </c>
      <c r="AE354" t="str">
        <f ca="1"/>
        <v>Northern</v>
      </c>
      <c r="AF354" t="str">
        <f ca="1"/>
        <v>Synthetic</v>
      </c>
      <c r="AG354" t="str">
        <f ca="1"/>
        <v>MCO</v>
      </c>
      <c r="AH354" t="str">
        <f ca="1"/>
        <v>20W50</v>
      </c>
      <c r="AI354" t="str">
        <f ca="1"/>
        <v>7100</v>
      </c>
      <c r="AJ354">
        <f ca="1"/>
        <v>0</v>
      </c>
      <c r="AK354" t="str">
        <f ca="1"/>
        <v>12x1L</v>
      </c>
      <c r="AL354">
        <f ca="1"/>
        <v>9164.380799999999</v>
      </c>
      <c r="AM354">
        <f ca="1"/>
        <v>2000.836591304349</v>
      </c>
      <c r="AN354" t="str">
        <f ca="1"/>
        <v>O-45720-D-0023</v>
      </c>
      <c r="AO354" t="str">
        <f ca="1"/>
        <v>Delivered</v>
      </c>
    </row>
    <row r="355" spans="1:41" x14ac:dyDescent="0.5">
      <c r="A355" t="str">
        <f ca="1"/>
        <v>F-198</v>
      </c>
      <c r="B355" s="1">
        <f ca="1"/>
        <v>45720</v>
      </c>
      <c r="C355" t="str">
        <f ca="1"/>
        <v>D-0023</v>
      </c>
      <c r="D355" t="str">
        <f ca="1"/>
        <v>Rangpur Mobil House</v>
      </c>
      <c r="E355" t="str">
        <f ca="1"/>
        <v>G.L.Ray Road,Rangpur Sadar</v>
      </c>
      <c r="F355">
        <f ca="1"/>
        <v>1717220333</v>
      </c>
      <c r="G355" t="str">
        <f ca="1"/>
        <v>Monirul Islam</v>
      </c>
      <c r="H355" t="str">
        <f ca="1"/>
        <v>Raihan Siddiqui</v>
      </c>
      <c r="I355" t="str">
        <f ca="1"/>
        <v>Bondhu Motors</v>
      </c>
      <c r="J355" t="str">
        <f ca="1"/>
        <v>Rangpur</v>
      </c>
      <c r="K355" t="str">
        <f ca="1"/>
        <v>LO00119</v>
      </c>
      <c r="L355" t="str">
        <f ca="1"/>
        <v>3000 4T 20W50</v>
      </c>
      <c r="M355">
        <f ca="1"/>
        <v>20</v>
      </c>
      <c r="N355">
        <f ca="1"/>
        <v>495</v>
      </c>
      <c r="O355">
        <f ca="1"/>
        <v>20</v>
      </c>
      <c r="P355">
        <f ca="1"/>
        <v>1.0101010101010055E-2</v>
      </c>
      <c r="Q355">
        <f ca="1"/>
        <v>0</v>
      </c>
      <c r="R355">
        <f ca="1"/>
        <v>490</v>
      </c>
      <c r="S355">
        <f ca="1"/>
        <v>20</v>
      </c>
      <c r="T355">
        <f ca="1"/>
        <v>20</v>
      </c>
      <c r="U355">
        <f ca="1"/>
        <v>9900</v>
      </c>
      <c r="V355">
        <f ca="1"/>
        <v>0</v>
      </c>
      <c r="W355">
        <f ca="1"/>
        <v>9800</v>
      </c>
      <c r="X355">
        <f ca="1"/>
        <v>1278.2608695652175</v>
      </c>
      <c r="Y355">
        <f ca="1"/>
        <v>8521.7391304347821</v>
      </c>
      <c r="Z355" t="str">
        <f ca="1"/>
        <v>Cash</v>
      </c>
      <c r="AA355">
        <f ca="1"/>
        <v>662</v>
      </c>
      <c r="AB355" t="str">
        <f ca="1"/>
        <v>Regular</v>
      </c>
      <c r="AC355">
        <f ca="1"/>
        <v>45721</v>
      </c>
      <c r="AD355" t="str">
        <f ca="1"/>
        <v/>
      </c>
      <c r="AE355" t="str">
        <f ca="1"/>
        <v>Northern</v>
      </c>
      <c r="AF355" t="str">
        <f ca="1"/>
        <v>Mineral</v>
      </c>
      <c r="AG355" t="str">
        <f ca="1"/>
        <v>MCO</v>
      </c>
      <c r="AH355" t="str">
        <f ca="1"/>
        <v>20W50</v>
      </c>
      <c r="AI355" t="str">
        <f ca="1"/>
        <v>3000</v>
      </c>
      <c r="AJ355">
        <f ca="1"/>
        <v>0</v>
      </c>
      <c r="AK355" t="str">
        <f ca="1"/>
        <v>20x1L</v>
      </c>
      <c r="AL355">
        <f ca="1"/>
        <v>7298.4000000000005</v>
      </c>
      <c r="AM355">
        <f ca="1"/>
        <v>1223.3391304347815</v>
      </c>
      <c r="AN355" t="str">
        <f ca="1"/>
        <v>O-45720-D-0023</v>
      </c>
      <c r="AO355" t="str">
        <f ca="1"/>
        <v>Delivered</v>
      </c>
    </row>
    <row r="356" spans="1:41" x14ac:dyDescent="0.5">
      <c r="A356" t="str">
        <f ca="1"/>
        <v>F-198</v>
      </c>
      <c r="B356" s="1">
        <f ca="1"/>
        <v>45720</v>
      </c>
      <c r="C356" t="str">
        <f ca="1"/>
        <v>D-0023</v>
      </c>
      <c r="D356" t="str">
        <f ca="1"/>
        <v>Rangpur Mobil House</v>
      </c>
      <c r="E356" t="str">
        <f ca="1"/>
        <v>G.L.Ray Road,Rangpur Sadar</v>
      </c>
      <c r="F356">
        <f ca="1"/>
        <v>1717220333</v>
      </c>
      <c r="G356" t="str">
        <f ca="1"/>
        <v>Monirul Islam</v>
      </c>
      <c r="H356" t="str">
        <f ca="1"/>
        <v>Raihan Siddiqui</v>
      </c>
      <c r="I356" t="str">
        <f ca="1"/>
        <v>Bondhu Motors</v>
      </c>
      <c r="J356" t="str">
        <f ca="1"/>
        <v>Rangpur</v>
      </c>
      <c r="K356" t="str">
        <f ca="1"/>
        <v>LO00120</v>
      </c>
      <c r="L356" t="str">
        <f ca="1"/>
        <v>3000 4T 20W50</v>
      </c>
      <c r="M356">
        <f ca="1"/>
        <v>20</v>
      </c>
      <c r="N356">
        <f ca="1"/>
        <v>595</v>
      </c>
      <c r="O356">
        <f ca="1"/>
        <v>24</v>
      </c>
      <c r="P356">
        <f ca="1"/>
        <v>8.4033613445377853E-3</v>
      </c>
      <c r="Q356">
        <f ca="1"/>
        <v>0</v>
      </c>
      <c r="R356">
        <f ca="1"/>
        <v>590</v>
      </c>
      <c r="S356">
        <f ca="1"/>
        <v>20</v>
      </c>
      <c r="T356">
        <f ca="1"/>
        <v>24</v>
      </c>
      <c r="U356">
        <f ca="1"/>
        <v>11900</v>
      </c>
      <c r="V356">
        <f ca="1"/>
        <v>0</v>
      </c>
      <c r="W356">
        <f ca="1"/>
        <v>11800</v>
      </c>
      <c r="X356">
        <f ca="1"/>
        <v>1539.1304347826087</v>
      </c>
      <c r="Y356">
        <f ca="1"/>
        <v>10260.869565217392</v>
      </c>
      <c r="Z356" t="str">
        <f ca="1"/>
        <v>Cash</v>
      </c>
      <c r="AA356">
        <f ca="1"/>
        <v>662</v>
      </c>
      <c r="AB356" t="str">
        <f ca="1"/>
        <v>Regular</v>
      </c>
      <c r="AC356">
        <f ca="1"/>
        <v>45721</v>
      </c>
      <c r="AD356" t="str">
        <f ca="1"/>
        <v/>
      </c>
      <c r="AE356" t="str">
        <f ca="1"/>
        <v>Northern</v>
      </c>
      <c r="AF356" t="str">
        <f ca="1"/>
        <v>Mineral</v>
      </c>
      <c r="AG356" t="str">
        <f ca="1"/>
        <v>MCO</v>
      </c>
      <c r="AH356" t="str">
        <f ca="1"/>
        <v>20W50</v>
      </c>
      <c r="AI356" t="str">
        <f ca="1"/>
        <v>3000</v>
      </c>
      <c r="AJ356">
        <f ca="1"/>
        <v>0</v>
      </c>
      <c r="AK356" t="str">
        <f ca="1"/>
        <v>20x1.2L</v>
      </c>
      <c r="AL356">
        <f ca="1"/>
        <v>8692.2000000000007</v>
      </c>
      <c r="AM356">
        <f ca="1"/>
        <v>1568.6695652173912</v>
      </c>
      <c r="AN356" t="str">
        <f ca="1"/>
        <v>O-45720-D-0023</v>
      </c>
      <c r="AO356" t="str">
        <f ca="1"/>
        <v>Delivered</v>
      </c>
    </row>
    <row r="357" spans="1:41" x14ac:dyDescent="0.5">
      <c r="A357" t="str">
        <f ca="1"/>
        <v>F-199</v>
      </c>
      <c r="B357" s="1">
        <f ca="1"/>
        <v>45721</v>
      </c>
      <c r="C357" t="str">
        <f ca="1"/>
        <v>D-0005</v>
      </c>
      <c r="D357" t="str">
        <f ca="1"/>
        <v>Dr. Jesika Rezvi Tamanna</v>
      </c>
      <c r="E357" t="str">
        <f ca="1"/>
        <v>2/4/2 IDS Chairman Park, Flat: C-6, South Kollyanpur, Dhaka-1207</v>
      </c>
      <c r="F357" t="str">
        <f ca="1"/>
        <v>01715 717801</v>
      </c>
      <c r="G357" t="str">
        <f ca="1"/>
        <v>Md. Hasemi Rafsan</v>
      </c>
      <c r="H357" t="str">
        <f ca="1"/>
        <v>Raihan Siddiqui</v>
      </c>
      <c r="I357" t="str">
        <f ca="1"/>
        <v>Alam Traders</v>
      </c>
      <c r="J357" t="str">
        <f ca="1"/>
        <v>Rajshahi Sadar</v>
      </c>
      <c r="K357" t="str">
        <f ca="1"/>
        <v>LO00103</v>
      </c>
      <c r="L357" t="str">
        <f ca="1"/>
        <v>ECO TEC Plus 5W30</v>
      </c>
      <c r="M357">
        <f ca="1"/>
        <v>12</v>
      </c>
      <c r="N357">
        <f ca="1"/>
        <v>2600</v>
      </c>
      <c r="O357">
        <f ca="1"/>
        <v>48</v>
      </c>
      <c r="P357">
        <f ca="1"/>
        <v>0</v>
      </c>
      <c r="Q357">
        <f ca="1"/>
        <v>0</v>
      </c>
      <c r="R357">
        <f ca="1"/>
        <v>2600</v>
      </c>
      <c r="S357">
        <f ca="1"/>
        <v>12</v>
      </c>
      <c r="T357">
        <f ca="1"/>
        <v>48</v>
      </c>
      <c r="U357">
        <f ca="1"/>
        <v>31200</v>
      </c>
      <c r="V357">
        <f ca="1"/>
        <v>0</v>
      </c>
      <c r="W357">
        <f ca="1"/>
        <v>31200</v>
      </c>
      <c r="X357">
        <f ca="1"/>
        <v>4069.5652173913045</v>
      </c>
      <c r="Y357">
        <f ca="1"/>
        <v>27130.434782608696</v>
      </c>
      <c r="Z357" t="str">
        <f ca="1"/>
        <v>Cash</v>
      </c>
      <c r="AA357">
        <f ca="1"/>
        <v>663</v>
      </c>
      <c r="AB357" t="str">
        <f ca="1"/>
        <v>Regular</v>
      </c>
      <c r="AC357">
        <f ca="1"/>
        <v>45721</v>
      </c>
      <c r="AD357" t="str">
        <f ca="1"/>
        <v/>
      </c>
      <c r="AE357" t="str">
        <f ca="1"/>
        <v>Northern</v>
      </c>
      <c r="AF357" t="str">
        <f ca="1"/>
        <v>Synthetic</v>
      </c>
      <c r="AG357" t="str">
        <f ca="1"/>
        <v>PCMO</v>
      </c>
      <c r="AH357" t="str">
        <f ca="1"/>
        <v>5W30</v>
      </c>
      <c r="AI357" t="str">
        <f ca="1"/>
        <v xml:space="preserve">ECO </v>
      </c>
      <c r="AJ357">
        <f ca="1"/>
        <v>0</v>
      </c>
      <c r="AK357" t="str">
        <f ca="1"/>
        <v>4x4L</v>
      </c>
      <c r="AL357">
        <f ca="1"/>
        <v>22707.239999999998</v>
      </c>
      <c r="AM357">
        <f ca="1"/>
        <v>4423.194782608698</v>
      </c>
      <c r="AN357" t="str">
        <f ca="1"/>
        <v>O-45721-D-0005</v>
      </c>
      <c r="AO357" t="str">
        <f ca="1"/>
        <v>Delivered</v>
      </c>
    </row>
    <row r="358" spans="1:41" x14ac:dyDescent="0.5">
      <c r="A358" t="str">
        <f ca="1"/>
        <v>F-200</v>
      </c>
      <c r="B358" s="1">
        <f ca="1"/>
        <v>45721</v>
      </c>
      <c r="C358" t="str">
        <f ca="1"/>
        <v>D-0001</v>
      </c>
      <c r="D358" t="str">
        <f ca="1"/>
        <v xml:space="preserve">M/S Hasan traders </v>
      </c>
      <c r="E358" t="str">
        <f ca="1"/>
        <v>pangsha</v>
      </c>
      <c r="F358">
        <f ca="1"/>
        <v>1711154387</v>
      </c>
      <c r="G358" t="str">
        <f ca="1"/>
        <v>Md.Mahfuzur Rahman</v>
      </c>
      <c r="H358" t="str">
        <f ca="1"/>
        <v>Abdul Matin</v>
      </c>
      <c r="I358" t="str">
        <f ca="1"/>
        <v>M/S Hasan Traders</v>
      </c>
      <c r="J358" t="str">
        <f ca="1"/>
        <v>Pangsha</v>
      </c>
      <c r="K358" t="str">
        <f ca="1"/>
        <v>LO00041</v>
      </c>
      <c r="L358" t="str">
        <f ca="1"/>
        <v>3000 4T PLUS 10W30</v>
      </c>
      <c r="M358">
        <f ca="1"/>
        <v>400</v>
      </c>
      <c r="N358">
        <f ca="1"/>
        <v>520</v>
      </c>
      <c r="O358">
        <f ca="1"/>
        <v>400</v>
      </c>
      <c r="P358">
        <f ca="1"/>
        <v>0</v>
      </c>
      <c r="Q358">
        <f ca="1"/>
        <v>0</v>
      </c>
      <c r="R358">
        <f ca="1"/>
        <v>520</v>
      </c>
      <c r="S358">
        <f ca="1"/>
        <v>400</v>
      </c>
      <c r="T358">
        <f ca="1"/>
        <v>400</v>
      </c>
      <c r="U358">
        <f ca="1"/>
        <v>208000</v>
      </c>
      <c r="V358">
        <f ca="1"/>
        <v>0</v>
      </c>
      <c r="W358">
        <f ca="1"/>
        <v>208000</v>
      </c>
      <c r="X358">
        <f ca="1"/>
        <v>27130.434782608696</v>
      </c>
      <c r="Y358">
        <f ca="1"/>
        <v>180869.5652173913</v>
      </c>
      <c r="Z358" t="str">
        <f ca="1"/>
        <v>Cash</v>
      </c>
      <c r="AA358">
        <f ca="1"/>
        <v>664</v>
      </c>
      <c r="AB358" t="str">
        <f ca="1"/>
        <v>Flat Discount</v>
      </c>
      <c r="AC358">
        <f ca="1"/>
        <v>45721</v>
      </c>
      <c r="AD358" t="str">
        <f ca="1"/>
        <v/>
      </c>
      <c r="AE358" t="str">
        <f ca="1"/>
        <v>Central</v>
      </c>
      <c r="AF358" t="str">
        <f ca="1"/>
        <v>Mineral</v>
      </c>
      <c r="AG358" t="str">
        <f ca="1"/>
        <v>MCO</v>
      </c>
      <c r="AH358" t="str">
        <f ca="1"/>
        <v>10W30</v>
      </c>
      <c r="AI358" t="str">
        <f ca="1"/>
        <v>3000</v>
      </c>
      <c r="AJ358">
        <f ca="1"/>
        <v>0</v>
      </c>
      <c r="AK358" t="str">
        <f ca="1"/>
        <v>20x1L</v>
      </c>
      <c r="AL358">
        <f ca="1"/>
        <v>151732</v>
      </c>
      <c r="AM358">
        <f ca="1"/>
        <v>29137.565217391297</v>
      </c>
      <c r="AN358" t="str">
        <f ca="1"/>
        <v>O-45721-D-0001</v>
      </c>
      <c r="AO358" t="str">
        <f ca="1"/>
        <v>Delivered</v>
      </c>
    </row>
    <row r="359" spans="1:41" x14ac:dyDescent="0.5">
      <c r="A359" t="str">
        <f ca="1"/>
        <v>F-200</v>
      </c>
      <c r="B359" s="1">
        <f ca="1"/>
        <v>45721</v>
      </c>
      <c r="C359" t="str">
        <f ca="1"/>
        <v>D-0001</v>
      </c>
      <c r="D359" t="str">
        <f ca="1"/>
        <v xml:space="preserve">M/S Hasan traders </v>
      </c>
      <c r="E359" t="str">
        <f ca="1"/>
        <v>pangsha</v>
      </c>
      <c r="F359">
        <f ca="1"/>
        <v>1711154387</v>
      </c>
      <c r="G359" t="str">
        <f ca="1"/>
        <v>Md.Mahfuzur Rahman</v>
      </c>
      <c r="H359" t="str">
        <f ca="1"/>
        <v>Abdul Matin</v>
      </c>
      <c r="I359" t="str">
        <f ca="1"/>
        <v>M/S Hasan Traders</v>
      </c>
      <c r="J359" t="str">
        <f ca="1"/>
        <v>Pangsha</v>
      </c>
      <c r="K359" t="str">
        <f ca="1"/>
        <v>LO00043</v>
      </c>
      <c r="L359" t="str">
        <f ca="1"/>
        <v>3000 4T PLUS 10W40</v>
      </c>
      <c r="M359">
        <f ca="1"/>
        <v>1600</v>
      </c>
      <c r="N359">
        <f ca="1"/>
        <v>520</v>
      </c>
      <c r="O359">
        <f ca="1"/>
        <v>1600</v>
      </c>
      <c r="P359">
        <f ca="1"/>
        <v>0</v>
      </c>
      <c r="Q359">
        <f ca="1"/>
        <v>0</v>
      </c>
      <c r="R359">
        <f ca="1"/>
        <v>520</v>
      </c>
      <c r="S359">
        <f ca="1"/>
        <v>1600</v>
      </c>
      <c r="T359">
        <f ca="1"/>
        <v>1600</v>
      </c>
      <c r="U359">
        <f ca="1"/>
        <v>832000</v>
      </c>
      <c r="V359">
        <f ca="1"/>
        <v>0</v>
      </c>
      <c r="W359">
        <f ca="1"/>
        <v>832000</v>
      </c>
      <c r="X359">
        <f ca="1"/>
        <v>108521.73913043478</v>
      </c>
      <c r="Y359">
        <f ca="1"/>
        <v>723478.26086956519</v>
      </c>
      <c r="Z359" t="str">
        <f ca="1"/>
        <v>Cash</v>
      </c>
      <c r="AA359">
        <f ca="1"/>
        <v>664</v>
      </c>
      <c r="AB359" t="str">
        <f ca="1"/>
        <v>Flat Discount</v>
      </c>
      <c r="AC359">
        <f ca="1"/>
        <v>45721</v>
      </c>
      <c r="AD359" t="str">
        <f ca="1"/>
        <v/>
      </c>
      <c r="AE359" t="str">
        <f ca="1"/>
        <v>Central</v>
      </c>
      <c r="AF359" t="str">
        <f ca="1"/>
        <v>Mineral</v>
      </c>
      <c r="AG359" t="str">
        <f ca="1"/>
        <v>MCO</v>
      </c>
      <c r="AH359" t="str">
        <f ca="1"/>
        <v>10W40</v>
      </c>
      <c r="AI359" t="str">
        <f ca="1"/>
        <v>3000</v>
      </c>
      <c r="AJ359">
        <f ca="1"/>
        <v>0</v>
      </c>
      <c r="AK359" t="str">
        <f ca="1"/>
        <v>20x1L</v>
      </c>
      <c r="AL359">
        <f ca="1"/>
        <v>615760</v>
      </c>
      <c r="AM359">
        <f ca="1"/>
        <v>107718.26086956519</v>
      </c>
      <c r="AN359" t="str">
        <f ca="1"/>
        <v>O-45721-D-0001</v>
      </c>
      <c r="AO359" t="str">
        <f ca="1"/>
        <v>Delivered</v>
      </c>
    </row>
    <row r="360" spans="1:41" x14ac:dyDescent="0.5">
      <c r="A360" t="str">
        <f ca="1"/>
        <v>F-200</v>
      </c>
      <c r="B360" s="1">
        <f ca="1"/>
        <v>45721</v>
      </c>
      <c r="C360" t="str">
        <f ca="1"/>
        <v>D-0001</v>
      </c>
      <c r="D360" t="str">
        <f ca="1"/>
        <v xml:space="preserve">M/S Hasan traders </v>
      </c>
      <c r="E360" t="str">
        <f ca="1"/>
        <v>pangsha</v>
      </c>
      <c r="F360">
        <f ca="1"/>
        <v>1711154387</v>
      </c>
      <c r="G360" t="str">
        <f ca="1"/>
        <v>Md.Mahfuzur Rahman</v>
      </c>
      <c r="H360" t="str">
        <f ca="1"/>
        <v>Abdul Matin</v>
      </c>
      <c r="I360" t="str">
        <f ca="1"/>
        <v>M/S Hasan Traders</v>
      </c>
      <c r="J360" t="str">
        <f ca="1"/>
        <v>Pangsha</v>
      </c>
      <c r="K360" t="str">
        <f ca="1"/>
        <v>LO00076</v>
      </c>
      <c r="L360" t="str">
        <f ca="1"/>
        <v>Inugel Expert Coolant</v>
      </c>
      <c r="M360">
        <f ca="1"/>
        <v>120</v>
      </c>
      <c r="N360">
        <f ca="1"/>
        <v>420</v>
      </c>
      <c r="O360">
        <f ca="1"/>
        <v>120</v>
      </c>
      <c r="P360">
        <f ca="1"/>
        <v>0</v>
      </c>
      <c r="Q360">
        <f ca="1"/>
        <v>0</v>
      </c>
      <c r="R360">
        <f ca="1"/>
        <v>420</v>
      </c>
      <c r="S360">
        <f ca="1"/>
        <v>120</v>
      </c>
      <c r="T360">
        <f ca="1"/>
        <v>120</v>
      </c>
      <c r="U360">
        <f ca="1"/>
        <v>50400</v>
      </c>
      <c r="V360">
        <f ca="1"/>
        <v>0</v>
      </c>
      <c r="W360">
        <f ca="1"/>
        <v>50400</v>
      </c>
      <c r="X360">
        <f ca="1"/>
        <v>6573.913043478261</v>
      </c>
      <c r="Y360">
        <f ca="1"/>
        <v>43826.086956521736</v>
      </c>
      <c r="Z360" t="str">
        <f ca="1"/>
        <v>Cash</v>
      </c>
      <c r="AA360">
        <f ca="1"/>
        <v>664</v>
      </c>
      <c r="AB360" t="str">
        <f ca="1"/>
        <v>Flat Discount</v>
      </c>
      <c r="AC360">
        <f ca="1"/>
        <v>45721</v>
      </c>
      <c r="AD360" t="str">
        <f ca="1"/>
        <v/>
      </c>
      <c r="AE360" t="str">
        <f ca="1"/>
        <v>Central</v>
      </c>
      <c r="AF360" t="str">
        <f ca="1"/>
        <v>Care Products</v>
      </c>
      <c r="AG360" t="str">
        <f ca="1"/>
        <v>Care Products</v>
      </c>
      <c r="AH360" t="str">
        <f ca="1"/>
        <v>Care Products</v>
      </c>
      <c r="AI360" t="str">
        <f ca="1"/>
        <v>Coolant</v>
      </c>
      <c r="AJ360">
        <f ca="1"/>
        <v>0</v>
      </c>
      <c r="AK360" t="str">
        <f ca="1"/>
        <v>20x1L</v>
      </c>
      <c r="AL360">
        <f ca="1"/>
        <v>27676.799999999999</v>
      </c>
      <c r="AM360">
        <f ca="1"/>
        <v>16149.286956521737</v>
      </c>
      <c r="AN360" t="str">
        <f ca="1"/>
        <v>O-45721-D-0001</v>
      </c>
      <c r="AO360" t="str">
        <f ca="1"/>
        <v>Delivered</v>
      </c>
    </row>
    <row r="361" spans="1:41" x14ac:dyDescent="0.5">
      <c r="A361" t="str">
        <f ca="1"/>
        <v>Fs-171</v>
      </c>
      <c r="B361" s="1">
        <f ca="1"/>
        <v>47847</v>
      </c>
      <c r="C361" t="str">
        <f ca="1"/>
        <v>D-0006</v>
      </c>
      <c r="D361" t="str">
        <f ca="1"/>
        <v xml:space="preserve">Connect Motors </v>
      </c>
      <c r="E361" t="str">
        <f ca="1"/>
        <v>Mohammadpur</v>
      </c>
      <c r="F361" t="str">
        <f ca="1"/>
        <v/>
      </c>
      <c r="G361" t="str">
        <f ca="1"/>
        <v>Sayed Al Amin Apu</v>
      </c>
      <c r="H361" t="str">
        <f ca="1"/>
        <v>Abdul Matin</v>
      </c>
      <c r="I361" t="str">
        <f ca="1"/>
        <v>Maliha Enterprise</v>
      </c>
      <c r="J361" t="str">
        <f ca="1"/>
        <v>Savar</v>
      </c>
      <c r="K361" t="str">
        <f ca="1"/>
        <v>LO00041</v>
      </c>
      <c r="L361" t="str">
        <f ca="1"/>
        <v>3000 4T PLUS 10W30</v>
      </c>
      <c r="M361">
        <f ca="1"/>
        <v>40</v>
      </c>
      <c r="N361">
        <f ca="1"/>
        <v>545</v>
      </c>
      <c r="O361">
        <f ca="1"/>
        <v>40</v>
      </c>
      <c r="P361">
        <f ca="1"/>
        <v>0</v>
      </c>
      <c r="Q361">
        <f ca="1"/>
        <v>0</v>
      </c>
      <c r="R361">
        <f ca="1"/>
        <v>545</v>
      </c>
      <c r="S361">
        <f ca="1"/>
        <v>40</v>
      </c>
      <c r="T361">
        <f ca="1"/>
        <v>40</v>
      </c>
      <c r="U361">
        <f ca="1"/>
        <v>21800</v>
      </c>
      <c r="V361">
        <f ca="1"/>
        <v>0</v>
      </c>
      <c r="W361">
        <f ca="1"/>
        <v>21800</v>
      </c>
      <c r="X361">
        <f ca="1"/>
        <v>2843.478260869565</v>
      </c>
      <c r="Y361">
        <f ca="1"/>
        <v>18956.521739130436</v>
      </c>
      <c r="Z361" t="str">
        <f ca="1"/>
        <v>Cash</v>
      </c>
      <c r="AA361" t="str">
        <f ca="1"/>
        <v/>
      </c>
      <c r="AB361" t="str">
        <f ca="1"/>
        <v>Custom</v>
      </c>
      <c r="AC361" t="str">
        <f ca="1"/>
        <v/>
      </c>
      <c r="AD361" t="str">
        <f ca="1"/>
        <v>Customized priced</v>
      </c>
      <c r="AE361" t="str">
        <f ca="1"/>
        <v>Central</v>
      </c>
      <c r="AF361" t="str">
        <f ca="1"/>
        <v>Mineral</v>
      </c>
      <c r="AG361" t="str">
        <f ca="1"/>
        <v>MCO</v>
      </c>
      <c r="AH361" t="str">
        <f ca="1"/>
        <v>10W30</v>
      </c>
      <c r="AI361" t="str">
        <f ca="1"/>
        <v>3000</v>
      </c>
      <c r="AJ361">
        <f ca="1"/>
        <v>0</v>
      </c>
      <c r="AK361" t="str">
        <f ca="1"/>
        <v>20x1L</v>
      </c>
      <c r="AL361">
        <f ca="1"/>
        <v>15173.199999999999</v>
      </c>
      <c r="AM361">
        <f ca="1"/>
        <v>3783.321739130437</v>
      </c>
      <c r="AN361" t="str">
        <f ca="1"/>
        <v>O-47847-D-0006</v>
      </c>
      <c r="AO361" t="str">
        <f ca="1"/>
        <v>Pending</v>
      </c>
    </row>
    <row r="362" spans="1:41" x14ac:dyDescent="0.5">
      <c r="A362" t="str">
        <f ca="1"/>
        <v>Fs-171</v>
      </c>
      <c r="B362" s="1">
        <f ca="1"/>
        <v>47847</v>
      </c>
      <c r="C362" t="str">
        <f ca="1"/>
        <v>D-0006</v>
      </c>
      <c r="D362" t="str">
        <f ca="1"/>
        <v xml:space="preserve">Connect Motors </v>
      </c>
      <c r="E362" t="str">
        <f ca="1"/>
        <v>Mohammadpur</v>
      </c>
      <c r="F362" t="str">
        <f ca="1"/>
        <v/>
      </c>
      <c r="G362" t="str">
        <f ca="1"/>
        <v>Sayed Al Amin Apu</v>
      </c>
      <c r="H362" t="str">
        <f ca="1"/>
        <v>Abdul Matin</v>
      </c>
      <c r="I362" t="str">
        <f ca="1"/>
        <v>Maliha Enterprise</v>
      </c>
      <c r="J362" t="str">
        <f ca="1"/>
        <v>Savar</v>
      </c>
      <c r="K362" t="str">
        <f ca="1"/>
        <v>LO00042</v>
      </c>
      <c r="L362" t="str">
        <f ca="1"/>
        <v>3000 4T PLUS 20W40</v>
      </c>
      <c r="M362">
        <f ca="1"/>
        <v>20</v>
      </c>
      <c r="N362">
        <f ca="1"/>
        <v>545</v>
      </c>
      <c r="O362">
        <f ca="1"/>
        <v>20</v>
      </c>
      <c r="P362">
        <f ca="1"/>
        <v>0</v>
      </c>
      <c r="Q362">
        <f ca="1"/>
        <v>0</v>
      </c>
      <c r="R362">
        <f ca="1"/>
        <v>545</v>
      </c>
      <c r="S362">
        <f ca="1"/>
        <v>20</v>
      </c>
      <c r="T362">
        <f ca="1"/>
        <v>20</v>
      </c>
      <c r="U362">
        <f ca="1"/>
        <v>10900</v>
      </c>
      <c r="V362">
        <f ca="1"/>
        <v>0</v>
      </c>
      <c r="W362">
        <f ca="1"/>
        <v>10900</v>
      </c>
      <c r="X362">
        <f ca="1"/>
        <v>1421.7391304347825</v>
      </c>
      <c r="Y362">
        <f ca="1"/>
        <v>9478.2608695652179</v>
      </c>
      <c r="Z362" t="str">
        <f ca="1"/>
        <v>Cash</v>
      </c>
      <c r="AA362" t="str">
        <f ca="1"/>
        <v/>
      </c>
      <c r="AB362" t="str">
        <f ca="1"/>
        <v>Custom</v>
      </c>
      <c r="AC362" t="str">
        <f ca="1"/>
        <v/>
      </c>
      <c r="AD362" t="str">
        <f ca="1"/>
        <v>Customized priced</v>
      </c>
      <c r="AE362" t="str">
        <f ca="1"/>
        <v>Central</v>
      </c>
      <c r="AF362" t="str">
        <f ca="1"/>
        <v>Mineral</v>
      </c>
      <c r="AG362" t="str">
        <f ca="1"/>
        <v>MCO</v>
      </c>
      <c r="AH362" t="str">
        <f ca="1"/>
        <v>20W40</v>
      </c>
      <c r="AI362" t="str">
        <f ca="1"/>
        <v>3000</v>
      </c>
      <c r="AJ362">
        <f ca="1"/>
        <v>0</v>
      </c>
      <c r="AK362" t="str">
        <f ca="1"/>
        <v>20x1L</v>
      </c>
      <c r="AL362">
        <f ca="1"/>
        <v>8255.2000000000007</v>
      </c>
      <c r="AM362">
        <f ca="1"/>
        <v>1223.0608695652172</v>
      </c>
      <c r="AN362" t="str">
        <f ca="1"/>
        <v>O-47847-D-0006</v>
      </c>
      <c r="AO362" t="str">
        <f ca="1"/>
        <v>Pending</v>
      </c>
    </row>
    <row r="363" spans="1:41" x14ac:dyDescent="0.5">
      <c r="A363" t="str">
        <f ca="1"/>
        <v>Fs-171</v>
      </c>
      <c r="B363" s="1">
        <f ca="1"/>
        <v>47847</v>
      </c>
      <c r="C363" t="str">
        <f ca="1"/>
        <v>D-0006</v>
      </c>
      <c r="D363" t="str">
        <f ca="1"/>
        <v xml:space="preserve">Connect Motors </v>
      </c>
      <c r="E363" t="str">
        <f ca="1"/>
        <v>Mohammadpur</v>
      </c>
      <c r="F363" t="str">
        <f ca="1"/>
        <v/>
      </c>
      <c r="G363" t="str">
        <f ca="1"/>
        <v>Sayed Al Amin Apu</v>
      </c>
      <c r="H363" t="str">
        <f ca="1"/>
        <v>Abdul Matin</v>
      </c>
      <c r="I363" t="str">
        <f ca="1"/>
        <v>Maliha Enterprise</v>
      </c>
      <c r="J363" t="str">
        <f ca="1"/>
        <v>Savar</v>
      </c>
      <c r="K363" t="str">
        <f ca="1"/>
        <v>LO00043</v>
      </c>
      <c r="L363" t="str">
        <f ca="1"/>
        <v>3000 4T PLUS 10W40</v>
      </c>
      <c r="M363">
        <f ca="1"/>
        <v>200</v>
      </c>
      <c r="N363">
        <f ca="1"/>
        <v>545</v>
      </c>
      <c r="O363">
        <f ca="1"/>
        <v>200</v>
      </c>
      <c r="P363">
        <f ca="1"/>
        <v>0</v>
      </c>
      <c r="Q363">
        <f ca="1"/>
        <v>0</v>
      </c>
      <c r="R363">
        <f ca="1"/>
        <v>545</v>
      </c>
      <c r="S363">
        <f ca="1"/>
        <v>200</v>
      </c>
      <c r="T363">
        <f ca="1"/>
        <v>200</v>
      </c>
      <c r="U363">
        <f ca="1"/>
        <v>109000</v>
      </c>
      <c r="V363">
        <f ca="1"/>
        <v>0</v>
      </c>
      <c r="W363">
        <f ca="1"/>
        <v>109000</v>
      </c>
      <c r="X363">
        <f ca="1"/>
        <v>14217.391304347826</v>
      </c>
      <c r="Y363">
        <f ca="1"/>
        <v>94782.608695652176</v>
      </c>
      <c r="Z363" t="str">
        <f ca="1"/>
        <v>Cash</v>
      </c>
      <c r="AA363" t="str">
        <f ca="1"/>
        <v/>
      </c>
      <c r="AB363" t="str">
        <f ca="1"/>
        <v>Custom</v>
      </c>
      <c r="AC363" t="str">
        <f ca="1"/>
        <v/>
      </c>
      <c r="AD363" t="str">
        <f ca="1"/>
        <v>Customized priced</v>
      </c>
      <c r="AE363" t="str">
        <f ca="1"/>
        <v>Central</v>
      </c>
      <c r="AF363" t="str">
        <f ca="1"/>
        <v>Mineral</v>
      </c>
      <c r="AG363" t="str">
        <f ca="1"/>
        <v>MCO</v>
      </c>
      <c r="AH363" t="str">
        <f ca="1"/>
        <v>10W40</v>
      </c>
      <c r="AI363" t="str">
        <f ca="1"/>
        <v>3000</v>
      </c>
      <c r="AJ363">
        <f ca="1"/>
        <v>0</v>
      </c>
      <c r="AK363" t="str">
        <f ca="1"/>
        <v>20x1L</v>
      </c>
      <c r="AL363">
        <f ca="1"/>
        <v>76970</v>
      </c>
      <c r="AM363">
        <f ca="1"/>
        <v>17812.608695652176</v>
      </c>
      <c r="AN363" t="str">
        <f ca="1"/>
        <v>O-47847-D-0006</v>
      </c>
      <c r="AO363" t="str">
        <f ca="1"/>
        <v>Pending</v>
      </c>
    </row>
    <row r="364" spans="1:41" x14ac:dyDescent="0.5">
      <c r="A364" t="str">
        <f ca="1"/>
        <v>Fs-171</v>
      </c>
      <c r="B364" s="1">
        <f ca="1"/>
        <v>47847</v>
      </c>
      <c r="C364" t="str">
        <f ca="1"/>
        <v>D-0006</v>
      </c>
      <c r="D364" t="str">
        <f ca="1"/>
        <v xml:space="preserve">Connect Motors </v>
      </c>
      <c r="E364" t="str">
        <f ca="1"/>
        <v>Mohammadpur</v>
      </c>
      <c r="F364" t="str">
        <f ca="1"/>
        <v/>
      </c>
      <c r="G364" t="str">
        <f ca="1"/>
        <v>Sayed Al Amin Apu</v>
      </c>
      <c r="H364" t="str">
        <f ca="1"/>
        <v>Abdul Matin</v>
      </c>
      <c r="I364" t="str">
        <f ca="1"/>
        <v>Maliha Enterprise</v>
      </c>
      <c r="J364" t="str">
        <f ca="1"/>
        <v>Savar</v>
      </c>
      <c r="K364" t="str">
        <f ca="1"/>
        <v>LO00096</v>
      </c>
      <c r="L364" t="str">
        <f ca="1"/>
        <v>3000 4T PLUS 20W40</v>
      </c>
      <c r="M364">
        <f ca="1"/>
        <v>20</v>
      </c>
      <c r="N364">
        <f ca="1"/>
        <v>665</v>
      </c>
      <c r="O364">
        <f ca="1"/>
        <v>24</v>
      </c>
      <c r="P364">
        <f ca="1"/>
        <v>-2.2204460492503131E-16</v>
      </c>
      <c r="Q364">
        <f ca="1"/>
        <v>0</v>
      </c>
      <c r="R364">
        <f ca="1"/>
        <v>665.00000000000011</v>
      </c>
      <c r="S364">
        <f ca="1"/>
        <v>20</v>
      </c>
      <c r="T364">
        <f ca="1"/>
        <v>24</v>
      </c>
      <c r="U364">
        <f ca="1"/>
        <v>13300</v>
      </c>
      <c r="V364">
        <f ca="1"/>
        <v>0</v>
      </c>
      <c r="W364">
        <f ca="1"/>
        <v>13300.000000000002</v>
      </c>
      <c r="X364">
        <f ca="1"/>
        <v>1734.7826086956525</v>
      </c>
      <c r="Y364">
        <f ca="1"/>
        <v>11565.21739130435</v>
      </c>
      <c r="Z364" t="str">
        <f ca="1"/>
        <v>Cash</v>
      </c>
      <c r="AA364" t="str">
        <f ca="1"/>
        <v/>
      </c>
      <c r="AB364" t="str">
        <f ca="1"/>
        <v>Custom</v>
      </c>
      <c r="AC364" t="str">
        <f ca="1"/>
        <v/>
      </c>
      <c r="AD364" t="str">
        <f ca="1"/>
        <v>Customized priced</v>
      </c>
      <c r="AE364" t="str">
        <f ca="1"/>
        <v>Central</v>
      </c>
      <c r="AF364" t="str">
        <f ca="1"/>
        <v>Mineral</v>
      </c>
      <c r="AG364" t="str">
        <f ca="1"/>
        <v>MCO</v>
      </c>
      <c r="AH364" t="str">
        <f ca="1"/>
        <v>20W40</v>
      </c>
      <c r="AI364" t="str">
        <f ca="1"/>
        <v>3000</v>
      </c>
      <c r="AJ364">
        <f ca="1"/>
        <v>0</v>
      </c>
      <c r="AK364" t="str">
        <f ca="1"/>
        <v>20x1.2L</v>
      </c>
      <c r="AL364">
        <f ca="1"/>
        <v>9397.9559070121941</v>
      </c>
      <c r="AM364">
        <f ca="1"/>
        <v>2167.2614842921557</v>
      </c>
      <c r="AN364" t="str">
        <f ca="1"/>
        <v>O-47847-D-0006</v>
      </c>
      <c r="AO364" t="str">
        <f ca="1"/>
        <v>Pending</v>
      </c>
    </row>
    <row r="365" spans="1:41" x14ac:dyDescent="0.5">
      <c r="A365" t="str">
        <f ca="1"/>
        <v>Fs-171</v>
      </c>
      <c r="B365" s="1">
        <f ca="1"/>
        <v>47847</v>
      </c>
      <c r="C365" t="str">
        <f ca="1"/>
        <v>D-0006</v>
      </c>
      <c r="D365" t="str">
        <f ca="1"/>
        <v xml:space="preserve">Connect Motors </v>
      </c>
      <c r="E365" t="str">
        <f ca="1"/>
        <v>Mohammadpur</v>
      </c>
      <c r="F365" t="str">
        <f ca="1"/>
        <v/>
      </c>
      <c r="G365" t="str">
        <f ca="1"/>
        <v>Sayed Al Amin Apu</v>
      </c>
      <c r="H365" t="str">
        <f ca="1"/>
        <v>Abdul Matin</v>
      </c>
      <c r="I365" t="str">
        <f ca="1"/>
        <v>Maliha Enterprise</v>
      </c>
      <c r="J365" t="str">
        <f ca="1"/>
        <v>Savar</v>
      </c>
      <c r="K365" t="str">
        <f ca="1"/>
        <v>LO00046</v>
      </c>
      <c r="L365" t="str">
        <f ca="1"/>
        <v>51004T 10W40 ESTER</v>
      </c>
      <c r="M365">
        <f ca="1"/>
        <v>24</v>
      </c>
      <c r="N365">
        <f ca="1"/>
        <v>870</v>
      </c>
      <c r="O365">
        <f ca="1"/>
        <v>24</v>
      </c>
      <c r="P365">
        <f ca="1"/>
        <v>0</v>
      </c>
      <c r="Q365">
        <f ca="1"/>
        <v>0</v>
      </c>
      <c r="R365">
        <f ca="1"/>
        <v>870</v>
      </c>
      <c r="S365">
        <f ca="1"/>
        <v>24</v>
      </c>
      <c r="T365">
        <f ca="1"/>
        <v>24</v>
      </c>
      <c r="U365">
        <f ca="1"/>
        <v>20880</v>
      </c>
      <c r="V365">
        <f ca="1"/>
        <v>0</v>
      </c>
      <c r="W365">
        <f ca="1"/>
        <v>20880</v>
      </c>
      <c r="X365">
        <f ca="1"/>
        <v>2723.478260869565</v>
      </c>
      <c r="Y365">
        <f ca="1"/>
        <v>18156.521739130436</v>
      </c>
      <c r="Z365" t="str">
        <f ca="1"/>
        <v>Cash</v>
      </c>
      <c r="AA365" t="str">
        <f ca="1"/>
        <v/>
      </c>
      <c r="AB365" t="str">
        <f ca="1"/>
        <v>Custom</v>
      </c>
      <c r="AC365" t="str">
        <f ca="1"/>
        <v/>
      </c>
      <c r="AD365" t="str">
        <f ca="1"/>
        <v>Customized priced</v>
      </c>
      <c r="AE365" t="str">
        <f ca="1"/>
        <v>Central</v>
      </c>
      <c r="AF365" t="str">
        <f ca="1"/>
        <v>Technosynthese</v>
      </c>
      <c r="AG365" t="str">
        <f ca="1"/>
        <v>MCO</v>
      </c>
      <c r="AH365" t="str">
        <f ca="1"/>
        <v>10W40</v>
      </c>
      <c r="AI365" t="str">
        <f ca="1"/>
        <v>5100</v>
      </c>
      <c r="AJ365">
        <f ca="1"/>
        <v>0</v>
      </c>
      <c r="AK365" t="str">
        <f ca="1"/>
        <v>12x1L</v>
      </c>
      <c r="AL365">
        <f ca="1"/>
        <v>14599.920000000002</v>
      </c>
      <c r="AM365">
        <f ca="1"/>
        <v>3556.601739130434</v>
      </c>
      <c r="AN365" t="str">
        <f ca="1"/>
        <v>O-47847-D-0006</v>
      </c>
      <c r="AO365" t="str">
        <f ca="1"/>
        <v>Pending</v>
      </c>
    </row>
    <row r="366" spans="1:41" x14ac:dyDescent="0.5">
      <c r="A366" t="str">
        <f ca="1"/>
        <v>Fs-171</v>
      </c>
      <c r="B366" s="1">
        <f ca="1"/>
        <v>47847</v>
      </c>
      <c r="C366" t="str">
        <f ca="1"/>
        <v>D-0006</v>
      </c>
      <c r="D366" t="str">
        <f ca="1"/>
        <v xml:space="preserve">Connect Motors </v>
      </c>
      <c r="E366" t="str">
        <f ca="1"/>
        <v>Mohammadpur</v>
      </c>
      <c r="F366" t="str">
        <f ca="1"/>
        <v/>
      </c>
      <c r="G366" t="str">
        <f ca="1"/>
        <v>Sayed Al Amin Apu</v>
      </c>
      <c r="H366" t="str">
        <f ca="1"/>
        <v>Abdul Matin</v>
      </c>
      <c r="I366" t="str">
        <f ca="1"/>
        <v>Maliha Enterprise</v>
      </c>
      <c r="J366" t="str">
        <f ca="1"/>
        <v>Savar</v>
      </c>
      <c r="K366" t="str">
        <f ca="1"/>
        <v>LO00074</v>
      </c>
      <c r="L366" t="str">
        <f ca="1"/>
        <v>7100 4T 10W30 ESTER CORE®</v>
      </c>
      <c r="M366">
        <f ca="1"/>
        <v>24</v>
      </c>
      <c r="N366">
        <f ca="1"/>
        <v>1080</v>
      </c>
      <c r="O366">
        <f ca="1"/>
        <v>24</v>
      </c>
      <c r="P366">
        <f ca="1"/>
        <v>0</v>
      </c>
      <c r="Q366">
        <f ca="1"/>
        <v>0</v>
      </c>
      <c r="R366">
        <f ca="1"/>
        <v>1080</v>
      </c>
      <c r="S366">
        <f ca="1"/>
        <v>24</v>
      </c>
      <c r="T366">
        <f ca="1"/>
        <v>24</v>
      </c>
      <c r="U366">
        <f ca="1"/>
        <v>25920</v>
      </c>
      <c r="V366">
        <f ca="1"/>
        <v>0</v>
      </c>
      <c r="W366">
        <f ca="1"/>
        <v>25920</v>
      </c>
      <c r="X366">
        <f ca="1"/>
        <v>3380.8695652173915</v>
      </c>
      <c r="Y366">
        <f ca="1"/>
        <v>22539.130434782608</v>
      </c>
      <c r="Z366" t="str">
        <f ca="1"/>
        <v>Cash</v>
      </c>
      <c r="AA366" t="str">
        <f ca="1"/>
        <v/>
      </c>
      <c r="AB366" t="str">
        <f ca="1"/>
        <v>Custom</v>
      </c>
      <c r="AC366" t="str">
        <f ca="1"/>
        <v/>
      </c>
      <c r="AD366" t="str">
        <f ca="1"/>
        <v>Customized priced</v>
      </c>
      <c r="AE366" t="str">
        <f ca="1"/>
        <v>Central</v>
      </c>
      <c r="AF366" t="str">
        <f ca="1"/>
        <v>Synthetic</v>
      </c>
      <c r="AG366" t="str">
        <f ca="1"/>
        <v>MCO</v>
      </c>
      <c r="AH366" t="str">
        <f ca="1"/>
        <v>10W30</v>
      </c>
      <c r="AI366" t="str">
        <f ca="1"/>
        <v>7100</v>
      </c>
      <c r="AJ366">
        <f ca="1"/>
        <v>0</v>
      </c>
      <c r="AK366" t="str">
        <f ca="1"/>
        <v>12x1L</v>
      </c>
      <c r="AL366">
        <f ca="1"/>
        <v>16556.64</v>
      </c>
      <c r="AM366">
        <f ca="1"/>
        <v>5982.4904347826086</v>
      </c>
      <c r="AN366" t="str">
        <f ca="1"/>
        <v>O-47847-D-0006</v>
      </c>
      <c r="AO366" t="str">
        <f ca="1"/>
        <v>Pending</v>
      </c>
    </row>
    <row r="367" spans="1:41" x14ac:dyDescent="0.5">
      <c r="A367" t="str">
        <f ca="1"/>
        <v>Fs-171</v>
      </c>
      <c r="B367" s="1">
        <f ca="1"/>
        <v>47847</v>
      </c>
      <c r="C367" t="str">
        <f ca="1"/>
        <v>D-0006</v>
      </c>
      <c r="D367" t="str">
        <f ca="1"/>
        <v xml:space="preserve">Connect Motors </v>
      </c>
      <c r="E367" t="str">
        <f ca="1"/>
        <v>Mohammadpur</v>
      </c>
      <c r="F367" t="str">
        <f ca="1"/>
        <v/>
      </c>
      <c r="G367" t="str">
        <f ca="1"/>
        <v>Sayed Al Amin Apu</v>
      </c>
      <c r="H367" t="str">
        <f ca="1"/>
        <v>Abdul Matin</v>
      </c>
      <c r="I367" t="str">
        <f ca="1"/>
        <v>Maliha Enterprise</v>
      </c>
      <c r="J367" t="str">
        <f ca="1"/>
        <v>Savar</v>
      </c>
      <c r="K367" t="str">
        <f ca="1"/>
        <v>LO00048</v>
      </c>
      <c r="L367" t="str">
        <f ca="1"/>
        <v>7100 4T 20W50 ESTER CORE®</v>
      </c>
      <c r="M367">
        <f ca="1"/>
        <v>36</v>
      </c>
      <c r="N367">
        <f ca="1"/>
        <v>1080</v>
      </c>
      <c r="O367">
        <f ca="1"/>
        <v>36</v>
      </c>
      <c r="P367">
        <f ca="1"/>
        <v>0</v>
      </c>
      <c r="Q367">
        <f ca="1"/>
        <v>0</v>
      </c>
      <c r="R367">
        <f ca="1"/>
        <v>1080</v>
      </c>
      <c r="S367">
        <f ca="1"/>
        <v>36</v>
      </c>
      <c r="T367">
        <f ca="1"/>
        <v>36</v>
      </c>
      <c r="U367">
        <f ca="1"/>
        <v>38880</v>
      </c>
      <c r="V367">
        <f ca="1"/>
        <v>0</v>
      </c>
      <c r="W367">
        <f ca="1"/>
        <v>38880</v>
      </c>
      <c r="X367">
        <f ca="1"/>
        <v>5071.304347826087</v>
      </c>
      <c r="Y367">
        <f ca="1"/>
        <v>33808.695652173912</v>
      </c>
      <c r="Z367" t="str">
        <f ca="1"/>
        <v>Cash</v>
      </c>
      <c r="AA367" t="str">
        <f ca="1"/>
        <v/>
      </c>
      <c r="AB367" t="str">
        <f ca="1"/>
        <v>Custom</v>
      </c>
      <c r="AC367" t="str">
        <f ca="1"/>
        <v/>
      </c>
      <c r="AD367" t="str">
        <f ca="1"/>
        <v>Customized priced</v>
      </c>
      <c r="AE367" t="str">
        <f ca="1"/>
        <v>Central</v>
      </c>
      <c r="AF367" t="str">
        <f ca="1"/>
        <v>Synthetic</v>
      </c>
      <c r="AG367" t="str">
        <f ca="1"/>
        <v>MCO</v>
      </c>
      <c r="AH367" t="str">
        <f ca="1"/>
        <v>20W50</v>
      </c>
      <c r="AI367" t="str">
        <f ca="1"/>
        <v>7100</v>
      </c>
      <c r="AJ367">
        <f ca="1"/>
        <v>0</v>
      </c>
      <c r="AK367" t="str">
        <f ca="1"/>
        <v>12x1L</v>
      </c>
      <c r="AL367">
        <f ca="1"/>
        <v>27493.142400000001</v>
      </c>
      <c r="AM367">
        <f ca="1"/>
        <v>6315.5532521739115</v>
      </c>
      <c r="AN367" t="str">
        <f ca="1"/>
        <v>O-47847-D-0006</v>
      </c>
      <c r="AO367" t="str">
        <f ca="1"/>
        <v>Pending</v>
      </c>
    </row>
    <row r="368" spans="1:41" x14ac:dyDescent="0.5">
      <c r="A368" t="str">
        <f ca="1"/>
        <v>Fs-171</v>
      </c>
      <c r="B368" s="1">
        <f ca="1"/>
        <v>47847</v>
      </c>
      <c r="C368" t="str">
        <f ca="1"/>
        <v>D-0006</v>
      </c>
      <c r="D368" t="str">
        <f ca="1"/>
        <v xml:space="preserve">Connect Motors </v>
      </c>
      <c r="E368" t="str">
        <f ca="1"/>
        <v>Mohammadpur</v>
      </c>
      <c r="F368" t="str">
        <f ca="1"/>
        <v/>
      </c>
      <c r="G368" t="str">
        <f ca="1"/>
        <v>Sayed Al Amin Apu</v>
      </c>
      <c r="H368" t="str">
        <f ca="1"/>
        <v>Abdul Matin</v>
      </c>
      <c r="I368" t="str">
        <f ca="1"/>
        <v>Maliha Enterprise</v>
      </c>
      <c r="J368" t="str">
        <f ca="1"/>
        <v>Savar</v>
      </c>
      <c r="K368" t="str">
        <f ca="1"/>
        <v>LO00120</v>
      </c>
      <c r="L368" t="str">
        <f ca="1"/>
        <v>3000 4T 20W50</v>
      </c>
      <c r="M368">
        <f ca="1"/>
        <v>40</v>
      </c>
      <c r="N368">
        <f ca="1"/>
        <v>595</v>
      </c>
      <c r="O368">
        <f ca="1"/>
        <v>48</v>
      </c>
      <c r="P368">
        <f ca="1"/>
        <v>0</v>
      </c>
      <c r="Q368">
        <f ca="1"/>
        <v>0</v>
      </c>
      <c r="R368">
        <f ca="1"/>
        <v>595</v>
      </c>
      <c r="S368">
        <f ca="1"/>
        <v>40</v>
      </c>
      <c r="T368">
        <f ca="1"/>
        <v>48</v>
      </c>
      <c r="U368">
        <f ca="1"/>
        <v>23800</v>
      </c>
      <c r="V368">
        <f ca="1"/>
        <v>0</v>
      </c>
      <c r="W368">
        <f ca="1"/>
        <v>23800</v>
      </c>
      <c r="X368">
        <f ca="1"/>
        <v>3104.3478260869565</v>
      </c>
      <c r="Y368">
        <f ca="1"/>
        <v>20695.652173913044</v>
      </c>
      <c r="Z368" t="str">
        <f ca="1"/>
        <v>Cash</v>
      </c>
      <c r="AA368" t="str">
        <f ca="1"/>
        <v/>
      </c>
      <c r="AB368" t="str">
        <f ca="1"/>
        <v>Custom</v>
      </c>
      <c r="AC368" t="str">
        <f ca="1"/>
        <v/>
      </c>
      <c r="AD368" t="str">
        <f ca="1"/>
        <v>Customized priced</v>
      </c>
      <c r="AE368" t="str">
        <f ca="1"/>
        <v>Central</v>
      </c>
      <c r="AF368" t="str">
        <f ca="1"/>
        <v>Mineral</v>
      </c>
      <c r="AG368" t="str">
        <f ca="1"/>
        <v>MCO</v>
      </c>
      <c r="AH368" t="str">
        <f ca="1"/>
        <v>20W50</v>
      </c>
      <c r="AI368" t="str">
        <f ca="1"/>
        <v>3000</v>
      </c>
      <c r="AJ368">
        <f ca="1"/>
        <v>0</v>
      </c>
      <c r="AK368" t="str">
        <f ca="1"/>
        <v>20x1.2L</v>
      </c>
      <c r="AL368">
        <f ca="1"/>
        <v>17384.400000000001</v>
      </c>
      <c r="AM368">
        <f ca="1"/>
        <v>3311.2521739130425</v>
      </c>
      <c r="AN368" t="str">
        <f ca="1"/>
        <v>O-47847-D-0006</v>
      </c>
      <c r="AO368" t="str">
        <f ca="1"/>
        <v>Pending</v>
      </c>
    </row>
    <row r="369" spans="1:41" x14ac:dyDescent="0.5">
      <c r="A369" t="str">
        <f ca="1"/>
        <v>F-202</v>
      </c>
      <c r="B369" s="1">
        <f ca="1"/>
        <v>45721</v>
      </c>
      <c r="C369" t="str">
        <f ca="1"/>
        <v>D-0003</v>
      </c>
      <c r="D369" t="str">
        <f ca="1"/>
        <v>Bike Fashion</v>
      </c>
      <c r="E369" t="str">
        <f ca="1"/>
        <v>Kodalipol, Moulvibazar</v>
      </c>
      <c r="F369" t="str">
        <f ca="1"/>
        <v>01784-667321</v>
      </c>
      <c r="G369" t="str">
        <f ca="1"/>
        <v>Md. Robin Sheikh</v>
      </c>
      <c r="H369" t="str">
        <f ca="1"/>
        <v>Razur Rahman (Bipul)</v>
      </c>
      <c r="I369" t="str">
        <f ca="1"/>
        <v>Bajaj Parts Center</v>
      </c>
      <c r="J369" t="str">
        <f ca="1"/>
        <v>Taltola</v>
      </c>
      <c r="K369" t="str">
        <f ca="1"/>
        <v>LO00041</v>
      </c>
      <c r="L369" t="str">
        <f ca="1"/>
        <v>3000 4T PLUS 10W30</v>
      </c>
      <c r="M369">
        <f ca="1"/>
        <v>20</v>
      </c>
      <c r="N369">
        <f ca="1"/>
        <v>535</v>
      </c>
      <c r="O369">
        <f ca="1"/>
        <v>20</v>
      </c>
      <c r="P369">
        <f ca="1"/>
        <v>0</v>
      </c>
      <c r="Q369">
        <f ca="1"/>
        <v>0</v>
      </c>
      <c r="R369">
        <f ca="1"/>
        <v>535</v>
      </c>
      <c r="S369">
        <f ca="1"/>
        <v>20</v>
      </c>
      <c r="T369">
        <f ca="1"/>
        <v>20</v>
      </c>
      <c r="U369">
        <f ca="1"/>
        <v>10700</v>
      </c>
      <c r="V369">
        <f ca="1"/>
        <v>0</v>
      </c>
      <c r="W369">
        <f ca="1"/>
        <v>10700</v>
      </c>
      <c r="X369">
        <f ca="1"/>
        <v>1395.6521739130435</v>
      </c>
      <c r="Y369">
        <f ca="1"/>
        <v>9304.347826086956</v>
      </c>
      <c r="Z369" t="str">
        <f ca="1"/>
        <v>Cash</v>
      </c>
      <c r="AA369">
        <f ca="1"/>
        <v>666</v>
      </c>
      <c r="AB369" t="str">
        <f ca="1"/>
        <v>Flat Discount</v>
      </c>
      <c r="AC369">
        <f ca="1"/>
        <v>45722</v>
      </c>
      <c r="AD369" t="str">
        <f ca="1"/>
        <v/>
      </c>
      <c r="AE369" t="str">
        <f ca="1"/>
        <v>Eastern</v>
      </c>
      <c r="AF369" t="str">
        <f ca="1"/>
        <v>Mineral</v>
      </c>
      <c r="AG369" t="str">
        <f ca="1"/>
        <v>MCO</v>
      </c>
      <c r="AH369" t="str">
        <f ca="1"/>
        <v>10W30</v>
      </c>
      <c r="AI369" t="str">
        <f ca="1"/>
        <v>3000</v>
      </c>
      <c r="AJ369">
        <f ca="1"/>
        <v>0</v>
      </c>
      <c r="AK369" t="str">
        <f ca="1"/>
        <v>20x1L</v>
      </c>
      <c r="AL369">
        <f ca="1"/>
        <v>7586.5999999999995</v>
      </c>
      <c r="AM369">
        <f ca="1"/>
        <v>1717.7478260869566</v>
      </c>
      <c r="AN369" t="str">
        <f ca="1"/>
        <v>O-45721-D-0003</v>
      </c>
      <c r="AO369" t="str">
        <f ca="1"/>
        <v>Delivered</v>
      </c>
    </row>
    <row r="370" spans="1:41" x14ac:dyDescent="0.5">
      <c r="A370" t="str">
        <f ca="1"/>
        <v>F-202</v>
      </c>
      <c r="B370" s="1">
        <f ca="1"/>
        <v>45721</v>
      </c>
      <c r="C370" t="str">
        <f ca="1"/>
        <v>D-0003</v>
      </c>
      <c r="D370" t="str">
        <f ca="1"/>
        <v>Bike Fashion</v>
      </c>
      <c r="E370" t="str">
        <f ca="1"/>
        <v>Kodalipol, Moulvibazar</v>
      </c>
      <c r="F370" t="str">
        <f ca="1"/>
        <v>01784-667321</v>
      </c>
      <c r="G370" t="str">
        <f ca="1"/>
        <v>Md. Robin Sheikh</v>
      </c>
      <c r="H370" t="str">
        <f ca="1"/>
        <v>Razur Rahman (Bipul)</v>
      </c>
      <c r="I370" t="str">
        <f ca="1"/>
        <v>Bajaj Parts Center</v>
      </c>
      <c r="J370" t="str">
        <f ca="1"/>
        <v>Taltola</v>
      </c>
      <c r="K370" t="str">
        <f ca="1"/>
        <v>LO00043</v>
      </c>
      <c r="L370" t="str">
        <f ca="1"/>
        <v>3000 4T PLUS 10W40</v>
      </c>
      <c r="M370">
        <f ca="1"/>
        <v>100</v>
      </c>
      <c r="N370">
        <f ca="1"/>
        <v>535</v>
      </c>
      <c r="O370">
        <f ca="1"/>
        <v>100</v>
      </c>
      <c r="P370">
        <f ca="1"/>
        <v>0</v>
      </c>
      <c r="Q370">
        <f ca="1"/>
        <v>0</v>
      </c>
      <c r="R370">
        <f ca="1"/>
        <v>535</v>
      </c>
      <c r="S370">
        <f ca="1"/>
        <v>100</v>
      </c>
      <c r="T370">
        <f ca="1"/>
        <v>100</v>
      </c>
      <c r="U370">
        <f ca="1"/>
        <v>53500</v>
      </c>
      <c r="V370">
        <f ca="1"/>
        <v>0</v>
      </c>
      <c r="W370">
        <f ca="1"/>
        <v>53500</v>
      </c>
      <c r="X370">
        <f ca="1"/>
        <v>6978.260869565217</v>
      </c>
      <c r="Y370">
        <f ca="1"/>
        <v>46521.739130434784</v>
      </c>
      <c r="Z370" t="str">
        <f ca="1"/>
        <v>Cash</v>
      </c>
      <c r="AA370">
        <f ca="1"/>
        <v>666</v>
      </c>
      <c r="AB370" t="str">
        <f ca="1"/>
        <v>Flat Discount</v>
      </c>
      <c r="AC370">
        <f ca="1"/>
        <v>45722</v>
      </c>
      <c r="AD370" t="str">
        <f ca="1"/>
        <v/>
      </c>
      <c r="AE370" t="str">
        <f ca="1"/>
        <v>Eastern</v>
      </c>
      <c r="AF370" t="str">
        <f ca="1"/>
        <v>Mineral</v>
      </c>
      <c r="AG370" t="str">
        <f ca="1"/>
        <v>MCO</v>
      </c>
      <c r="AH370" t="str">
        <f ca="1"/>
        <v>10W40</v>
      </c>
      <c r="AI370" t="str">
        <f ca="1"/>
        <v>3000</v>
      </c>
      <c r="AJ370">
        <f ca="1"/>
        <v>0</v>
      </c>
      <c r="AK370" t="str">
        <f ca="1"/>
        <v>20x1L</v>
      </c>
      <c r="AL370">
        <f ca="1"/>
        <v>38485</v>
      </c>
      <c r="AM370">
        <f ca="1"/>
        <v>8036.7391304347839</v>
      </c>
      <c r="AN370" t="str">
        <f ca="1"/>
        <v>O-45721-D-0003</v>
      </c>
      <c r="AO370" t="str">
        <f ca="1"/>
        <v>Delivered</v>
      </c>
    </row>
    <row r="371" spans="1:41" x14ac:dyDescent="0.5">
      <c r="A371" t="str">
        <f ca="1"/>
        <v>F-202</v>
      </c>
      <c r="B371" s="1">
        <f ca="1"/>
        <v>45721</v>
      </c>
      <c r="C371" t="str">
        <f ca="1"/>
        <v>D-0003</v>
      </c>
      <c r="D371" t="str">
        <f ca="1"/>
        <v>Bike Fashion</v>
      </c>
      <c r="E371" t="str">
        <f ca="1"/>
        <v>Kodalipol, Moulvibazar</v>
      </c>
      <c r="F371" t="str">
        <f ca="1"/>
        <v>01784-667321</v>
      </c>
      <c r="G371" t="str">
        <f ca="1"/>
        <v>Md. Robin Sheikh</v>
      </c>
      <c r="H371" t="str">
        <f ca="1"/>
        <v>Razur Rahman (Bipul)</v>
      </c>
      <c r="I371" t="str">
        <f ca="1"/>
        <v>Bajaj Parts Center</v>
      </c>
      <c r="J371" t="str">
        <f ca="1"/>
        <v>Taltola</v>
      </c>
      <c r="K371" t="str">
        <f ca="1"/>
        <v>LO00104</v>
      </c>
      <c r="L371" t="str">
        <f ca="1"/>
        <v>7100 4T 10W30 ESTER CORE®</v>
      </c>
      <c r="M371">
        <f ca="1"/>
        <v>20</v>
      </c>
      <c r="N371">
        <f ca="1"/>
        <v>1270</v>
      </c>
      <c r="O371">
        <f ca="1"/>
        <v>24</v>
      </c>
      <c r="P371">
        <f ca="1"/>
        <v>0</v>
      </c>
      <c r="Q371">
        <f ca="1"/>
        <v>0</v>
      </c>
      <c r="R371">
        <f ca="1"/>
        <v>1270</v>
      </c>
      <c r="S371">
        <f ca="1"/>
        <v>20</v>
      </c>
      <c r="T371">
        <f ca="1"/>
        <v>24</v>
      </c>
      <c r="U371">
        <f ca="1"/>
        <v>25400</v>
      </c>
      <c r="V371">
        <f ca="1"/>
        <v>0</v>
      </c>
      <c r="W371">
        <f ca="1"/>
        <v>25400</v>
      </c>
      <c r="X371">
        <f ca="1"/>
        <v>3313.0434782608695</v>
      </c>
      <c r="Y371">
        <f ca="1"/>
        <v>22086.956521739132</v>
      </c>
      <c r="Z371" t="str">
        <f ca="1"/>
        <v>Cash</v>
      </c>
      <c r="AA371">
        <f ca="1"/>
        <v>666</v>
      </c>
      <c r="AB371" t="str">
        <f ca="1"/>
        <v>Flat Discount</v>
      </c>
      <c r="AC371">
        <f ca="1"/>
        <v>45722</v>
      </c>
      <c r="AD371" t="str">
        <f ca="1"/>
        <v/>
      </c>
      <c r="AE371" t="str">
        <f ca="1"/>
        <v>Eastern</v>
      </c>
      <c r="AF371" t="str">
        <f ca="1"/>
        <v>Synthetic</v>
      </c>
      <c r="AG371" t="str">
        <f ca="1"/>
        <v>MCO</v>
      </c>
      <c r="AH371" t="str">
        <f ca="1"/>
        <v>10W30</v>
      </c>
      <c r="AI371" t="str">
        <f ca="1"/>
        <v>7100</v>
      </c>
      <c r="AJ371">
        <f ca="1"/>
        <v>0</v>
      </c>
      <c r="AK371" t="str">
        <f ca="1"/>
        <v>20x1.2L</v>
      </c>
      <c r="AL371">
        <f ca="1"/>
        <v>15546</v>
      </c>
      <c r="AM371">
        <f ca="1"/>
        <v>6540.9565217391319</v>
      </c>
      <c r="AN371" t="str">
        <f ca="1"/>
        <v>O-45721-D-0003</v>
      </c>
      <c r="AO371" t="str">
        <f ca="1"/>
        <v>Delivered</v>
      </c>
    </row>
    <row r="372" spans="1:41" x14ac:dyDescent="0.5">
      <c r="A372" t="str">
        <f ca="1"/>
        <v>F-201</v>
      </c>
      <c r="B372" s="1">
        <f ca="1"/>
        <v>45721</v>
      </c>
      <c r="C372" t="str">
        <f ca="1"/>
        <v>D-0003</v>
      </c>
      <c r="D372" t="str">
        <f ca="1"/>
        <v>Kushiara Auto</v>
      </c>
      <c r="E372" t="str">
        <f ca="1"/>
        <v>Naiorpol, Sylhet</v>
      </c>
      <c r="F372" t="str">
        <f ca="1"/>
        <v>01925-707502</v>
      </c>
      <c r="G372" t="str">
        <f ca="1"/>
        <v>Md. Robin Sheikh</v>
      </c>
      <c r="H372" t="str">
        <f ca="1"/>
        <v>Razur Rahman (Bipul)</v>
      </c>
      <c r="I372" t="str">
        <f ca="1"/>
        <v>Bajaj Parts Center</v>
      </c>
      <c r="J372" t="str">
        <f ca="1"/>
        <v>Taltola</v>
      </c>
      <c r="K372" t="str">
        <f ca="1"/>
        <v>LO00043</v>
      </c>
      <c r="L372" t="str">
        <f ca="1"/>
        <v>3000 4T PLUS 10W40</v>
      </c>
      <c r="M372">
        <f ca="1"/>
        <v>80</v>
      </c>
      <c r="N372">
        <f ca="1"/>
        <v>530</v>
      </c>
      <c r="O372">
        <f ca="1"/>
        <v>80</v>
      </c>
      <c r="P372">
        <f ca="1"/>
        <v>0</v>
      </c>
      <c r="Q372">
        <f ca="1"/>
        <v>0</v>
      </c>
      <c r="R372">
        <f ca="1"/>
        <v>530</v>
      </c>
      <c r="S372">
        <f ca="1"/>
        <v>80</v>
      </c>
      <c r="T372">
        <f ca="1"/>
        <v>80</v>
      </c>
      <c r="U372">
        <f ca="1"/>
        <v>42400</v>
      </c>
      <c r="V372">
        <f ca="1"/>
        <v>0</v>
      </c>
      <c r="W372">
        <f ca="1"/>
        <v>42400</v>
      </c>
      <c r="X372">
        <f ca="1"/>
        <v>5530.434782608696</v>
      </c>
      <c r="Y372">
        <f ca="1"/>
        <v>36869.565217391304</v>
      </c>
      <c r="Z372" t="str">
        <f ca="1"/>
        <v>Cash</v>
      </c>
      <c r="AA372">
        <f ca="1"/>
        <v>665</v>
      </c>
      <c r="AB372" t="str">
        <f ca="1"/>
        <v>Regular</v>
      </c>
      <c r="AC372">
        <f ca="1"/>
        <v>45722</v>
      </c>
      <c r="AD372" t="str">
        <f ca="1"/>
        <v/>
      </c>
      <c r="AE372" t="str">
        <f ca="1"/>
        <v>Eastern</v>
      </c>
      <c r="AF372" t="str">
        <f ca="1"/>
        <v>Mineral</v>
      </c>
      <c r="AG372" t="str">
        <f ca="1"/>
        <v>MCO</v>
      </c>
      <c r="AH372" t="str">
        <f ca="1"/>
        <v>10W40</v>
      </c>
      <c r="AI372" t="str">
        <f ca="1"/>
        <v>3000</v>
      </c>
      <c r="AJ372">
        <f ca="1"/>
        <v>0</v>
      </c>
      <c r="AK372" t="str">
        <f ca="1"/>
        <v>20x1L</v>
      </c>
      <c r="AL372">
        <f ca="1"/>
        <v>30788</v>
      </c>
      <c r="AM372">
        <f ca="1"/>
        <v>6081.565217391304</v>
      </c>
      <c r="AN372" t="str">
        <f ca="1"/>
        <v>O-45721-D-0003</v>
      </c>
      <c r="AO372" t="str">
        <f ca="1"/>
        <v>Delivered</v>
      </c>
    </row>
    <row r="373" spans="1:41" x14ac:dyDescent="0.5">
      <c r="A373" t="str">
        <f ca="1"/>
        <v>F-201</v>
      </c>
      <c r="B373" s="1">
        <f ca="1"/>
        <v>45721</v>
      </c>
      <c r="C373" t="str">
        <f ca="1"/>
        <v>D-0003</v>
      </c>
      <c r="D373" t="str">
        <f ca="1"/>
        <v>Kushiara Auto</v>
      </c>
      <c r="E373" t="str">
        <f ca="1"/>
        <v>Naiorpol, Sylhet</v>
      </c>
      <c r="F373" t="str">
        <f ca="1"/>
        <v>01925-707502</v>
      </c>
      <c r="G373" t="str">
        <f ca="1"/>
        <v>Md. Robin Sheikh</v>
      </c>
      <c r="H373" t="str">
        <f ca="1"/>
        <v>Razur Rahman (Bipul)</v>
      </c>
      <c r="I373" t="str">
        <f ca="1"/>
        <v>Bajaj Parts Center</v>
      </c>
      <c r="J373" t="str">
        <f ca="1"/>
        <v>Taltola</v>
      </c>
      <c r="K373" t="str">
        <f ca="1"/>
        <v>LO00119</v>
      </c>
      <c r="L373" t="str">
        <f ca="1"/>
        <v>3000 4T 20W50</v>
      </c>
      <c r="M373">
        <f ca="1"/>
        <v>20</v>
      </c>
      <c r="N373">
        <f ca="1"/>
        <v>470</v>
      </c>
      <c r="O373">
        <f ca="1"/>
        <v>20</v>
      </c>
      <c r="P373">
        <f ca="1"/>
        <v>0</v>
      </c>
      <c r="Q373">
        <f ca="1"/>
        <v>0</v>
      </c>
      <c r="R373">
        <f ca="1"/>
        <v>470</v>
      </c>
      <c r="S373">
        <f ca="1"/>
        <v>20</v>
      </c>
      <c r="T373">
        <f ca="1"/>
        <v>20</v>
      </c>
      <c r="U373">
        <f ca="1"/>
        <v>9400</v>
      </c>
      <c r="V373">
        <f ca="1"/>
        <v>0</v>
      </c>
      <c r="W373">
        <f ca="1"/>
        <v>9400</v>
      </c>
      <c r="X373">
        <f ca="1"/>
        <v>1226.0869565217392</v>
      </c>
      <c r="Y373">
        <f ca="1"/>
        <v>8173.913043478261</v>
      </c>
      <c r="Z373" t="str">
        <f ca="1"/>
        <v>Cash</v>
      </c>
      <c r="AA373">
        <f ca="1"/>
        <v>665</v>
      </c>
      <c r="AB373" t="str">
        <f ca="1"/>
        <v>Regular</v>
      </c>
      <c r="AC373">
        <f ca="1"/>
        <v>45722</v>
      </c>
      <c r="AD373" t="str">
        <f ca="1"/>
        <v/>
      </c>
      <c r="AE373" t="str">
        <f ca="1"/>
        <v>Eastern</v>
      </c>
      <c r="AF373" t="str">
        <f ca="1"/>
        <v>Mineral</v>
      </c>
      <c r="AG373" t="str">
        <f ca="1"/>
        <v>MCO</v>
      </c>
      <c r="AH373" t="str">
        <f ca="1"/>
        <v>20W50</v>
      </c>
      <c r="AI373" t="str">
        <f ca="1"/>
        <v>3000</v>
      </c>
      <c r="AJ373">
        <f ca="1"/>
        <v>0</v>
      </c>
      <c r="AK373" t="str">
        <f ca="1"/>
        <v>20x1L</v>
      </c>
      <c r="AL373">
        <f ca="1"/>
        <v>7298.4000000000005</v>
      </c>
      <c r="AM373">
        <f ca="1"/>
        <v>875.51304347826044</v>
      </c>
      <c r="AN373" t="str">
        <f ca="1"/>
        <v>O-45721-D-0003</v>
      </c>
      <c r="AO373" t="str">
        <f ca="1"/>
        <v>Delivered</v>
      </c>
    </row>
    <row r="374" spans="1:41" x14ac:dyDescent="0.5">
      <c r="A374" t="str">
        <f ca="1"/>
        <v>Fs-178</v>
      </c>
      <c r="B374" s="1">
        <f ca="1"/>
        <v>47848</v>
      </c>
      <c r="C374" t="str">
        <f ca="1"/>
        <v>D-0028</v>
      </c>
      <c r="D374" t="str">
        <f ca="1"/>
        <v>Rancon Agro Machinery Limited</v>
      </c>
      <c r="E374" t="str">
        <f ca="1"/>
        <v/>
      </c>
      <c r="F374" t="str">
        <f ca="1"/>
        <v/>
      </c>
      <c r="G374" t="str">
        <f ca="1"/>
        <v>Captive Sales</v>
      </c>
      <c r="H374" t="str">
        <f ca="1"/>
        <v>Captive Sales</v>
      </c>
      <c r="I374" t="str">
        <f ca="1"/>
        <v>Rancon Agro Machinery Limited</v>
      </c>
      <c r="J374" t="str">
        <f ca="1"/>
        <v>Dhaka</v>
      </c>
      <c r="K374" t="str">
        <f ca="1"/>
        <v>LO00123</v>
      </c>
      <c r="L374" t="str">
        <f ca="1"/>
        <v>Agri Super 15W40</v>
      </c>
      <c r="M374">
        <f ca="1"/>
        <v>214</v>
      </c>
      <c r="N374">
        <f ca="1"/>
        <v>660</v>
      </c>
      <c r="O374">
        <f ca="1"/>
        <v>214</v>
      </c>
      <c r="P374">
        <f ca="1"/>
        <v>0.22727272727272729</v>
      </c>
      <c r="Q374">
        <f ca="1"/>
        <v>0</v>
      </c>
      <c r="R374">
        <f ca="1"/>
        <v>510</v>
      </c>
      <c r="S374">
        <f ca="1"/>
        <v>214</v>
      </c>
      <c r="T374">
        <f ca="1"/>
        <v>214</v>
      </c>
      <c r="U374">
        <f ca="1"/>
        <v>141240</v>
      </c>
      <c r="V374">
        <f ca="1"/>
        <v>0</v>
      </c>
      <c r="W374">
        <f ca="1"/>
        <v>109140</v>
      </c>
      <c r="X374">
        <f ca="1"/>
        <v>14235.652173913044</v>
      </c>
      <c r="Y374">
        <f ca="1"/>
        <v>94904.34782608696</v>
      </c>
      <c r="Z374" t="str">
        <f ca="1"/>
        <v>Cash</v>
      </c>
      <c r="AA374" t="str">
        <f ca="1"/>
        <v/>
      </c>
      <c r="AB374" t="str">
        <f ca="1"/>
        <v>Custom</v>
      </c>
      <c r="AC374" t="str">
        <f ca="1"/>
        <v/>
      </c>
      <c r="AD374" t="str">
        <f ca="1"/>
        <v>Customized price</v>
      </c>
      <c r="AE374" t="str">
        <f ca="1"/>
        <v>Captive Sales</v>
      </c>
      <c r="AF374" t="str">
        <f ca="1"/>
        <v>Mineral</v>
      </c>
      <c r="AG374" t="str">
        <f ca="1"/>
        <v>Agri</v>
      </c>
      <c r="AH374" t="str">
        <f ca="1"/>
        <v>15W40</v>
      </c>
      <c r="AI374" t="str">
        <f ca="1"/>
        <v>Agri</v>
      </c>
      <c r="AJ374">
        <f ca="1"/>
        <v>0</v>
      </c>
      <c r="AK374" t="str">
        <f ca="1"/>
        <v>20x1L</v>
      </c>
      <c r="AL374">
        <f ca="1"/>
        <v>85219.08</v>
      </c>
      <c r="AM374">
        <f ca="1"/>
        <v>9685.2678260869579</v>
      </c>
      <c r="AN374" t="str">
        <f ca="1"/>
        <v>O-47848-D-0028</v>
      </c>
      <c r="AO374" t="str">
        <f ca="1"/>
        <v>Pending</v>
      </c>
    </row>
    <row r="375" spans="1:41" x14ac:dyDescent="0.5">
      <c r="A375" t="str">
        <f ca="1"/>
        <v>Fs-179</v>
      </c>
      <c r="B375" s="1">
        <f ca="1"/>
        <v>47848</v>
      </c>
      <c r="C375" t="str">
        <f ca="1"/>
        <v>D-0028</v>
      </c>
      <c r="D375" t="str">
        <f ca="1"/>
        <v>Rancon Agro Machinery Limited</v>
      </c>
      <c r="E375" t="str">
        <f ca="1"/>
        <v/>
      </c>
      <c r="F375" t="str">
        <f ca="1"/>
        <v/>
      </c>
      <c r="G375" t="str">
        <f ca="1"/>
        <v>Captive Sales</v>
      </c>
      <c r="H375" t="str">
        <f ca="1"/>
        <v>Captive Sales</v>
      </c>
      <c r="I375" t="str">
        <f ca="1"/>
        <v>Rancon Agro Machinery Limited</v>
      </c>
      <c r="J375" t="str">
        <f ca="1"/>
        <v>Dhaka</v>
      </c>
      <c r="K375" t="str">
        <f ca="1"/>
        <v>LO00123</v>
      </c>
      <c r="L375" t="str">
        <f ca="1"/>
        <v>Agri Super 15W40</v>
      </c>
      <c r="M375">
        <f ca="1"/>
        <v>227</v>
      </c>
      <c r="N375">
        <f ca="1"/>
        <v>660</v>
      </c>
      <c r="O375">
        <f ca="1"/>
        <v>227</v>
      </c>
      <c r="P375">
        <f ca="1"/>
        <v>0.22727272727272729</v>
      </c>
      <c r="Q375">
        <f ca="1"/>
        <v>0</v>
      </c>
      <c r="R375">
        <f ca="1"/>
        <v>510</v>
      </c>
      <c r="S375">
        <f ca="1"/>
        <v>227</v>
      </c>
      <c r="T375">
        <f ca="1"/>
        <v>227</v>
      </c>
      <c r="U375">
        <f ca="1"/>
        <v>149820</v>
      </c>
      <c r="V375">
        <f ca="1"/>
        <v>0</v>
      </c>
      <c r="W375">
        <f ca="1"/>
        <v>115770</v>
      </c>
      <c r="X375">
        <f ca="1"/>
        <v>15100.434782608696</v>
      </c>
      <c r="Y375">
        <f ca="1"/>
        <v>100669.56521739131</v>
      </c>
      <c r="Z375" t="str">
        <f ca="1"/>
        <v>Cash</v>
      </c>
      <c r="AA375" t="str">
        <f ca="1"/>
        <v/>
      </c>
      <c r="AB375" t="str">
        <f ca="1"/>
        <v>Custom</v>
      </c>
      <c r="AC375" t="str">
        <f ca="1"/>
        <v/>
      </c>
      <c r="AD375" t="str">
        <f ca="1"/>
        <v>Customized price</v>
      </c>
      <c r="AE375" t="str">
        <f ca="1"/>
        <v>Captive Sales</v>
      </c>
      <c r="AF375" t="str">
        <f ca="1"/>
        <v>Mineral</v>
      </c>
      <c r="AG375" t="str">
        <f ca="1"/>
        <v>Agri</v>
      </c>
      <c r="AH375" t="str">
        <f ca="1"/>
        <v>15W40</v>
      </c>
      <c r="AI375" t="str">
        <f ca="1"/>
        <v>Agri</v>
      </c>
      <c r="AJ375">
        <f ca="1"/>
        <v>0</v>
      </c>
      <c r="AK375" t="str">
        <f ca="1"/>
        <v>20x1L</v>
      </c>
      <c r="AL375">
        <f ca="1"/>
        <v>90395.94</v>
      </c>
      <c r="AM375">
        <f ca="1"/>
        <v>10273.625217391309</v>
      </c>
      <c r="AN375" t="str">
        <f ca="1"/>
        <v>O-47848-D-0028</v>
      </c>
      <c r="AO375" t="str">
        <f ca="1"/>
        <v>Pending</v>
      </c>
    </row>
    <row r="376" spans="1:41" x14ac:dyDescent="0.5">
      <c r="A376" t="str">
        <f ca="1"/>
        <v>Fs-179</v>
      </c>
      <c r="B376" s="1">
        <f ca="1"/>
        <v>47848</v>
      </c>
      <c r="C376" t="str">
        <f ca="1"/>
        <v>D-0028</v>
      </c>
      <c r="D376" t="str">
        <f ca="1"/>
        <v>Rancon Agro Machinery Limited</v>
      </c>
      <c r="E376" t="str">
        <f ca="1"/>
        <v/>
      </c>
      <c r="F376" t="str">
        <f ca="1"/>
        <v/>
      </c>
      <c r="G376" t="str">
        <f ca="1"/>
        <v>Captive Sales</v>
      </c>
      <c r="H376" t="str">
        <f ca="1"/>
        <v>Captive Sales</v>
      </c>
      <c r="I376" t="str">
        <f ca="1"/>
        <v>Rancon Agro Machinery Limited</v>
      </c>
      <c r="J376" t="str">
        <f ca="1"/>
        <v>Dhaka</v>
      </c>
      <c r="K376" t="str">
        <f ca="1"/>
        <v>LO00124</v>
      </c>
      <c r="L376" t="str">
        <f ca="1"/>
        <v>Agri Super 15W40</v>
      </c>
      <c r="M376">
        <f ca="1"/>
        <v>2</v>
      </c>
      <c r="N376">
        <f ca="1"/>
        <v>3100</v>
      </c>
      <c r="O376">
        <f ca="1"/>
        <v>10</v>
      </c>
      <c r="P376">
        <f ca="1"/>
        <v>0.1806451612903226</v>
      </c>
      <c r="Q376">
        <f ca="1"/>
        <v>0</v>
      </c>
      <c r="R376">
        <f ca="1"/>
        <v>2540</v>
      </c>
      <c r="S376">
        <f ca="1"/>
        <v>2</v>
      </c>
      <c r="T376">
        <f ca="1"/>
        <v>10</v>
      </c>
      <c r="U376">
        <f ca="1"/>
        <v>6200</v>
      </c>
      <c r="V376">
        <f ca="1"/>
        <v>0</v>
      </c>
      <c r="W376">
        <f ca="1"/>
        <v>5080</v>
      </c>
      <c r="X376">
        <f ca="1"/>
        <v>662.60869565217388</v>
      </c>
      <c r="Y376">
        <f ca="1"/>
        <v>4417.391304347826</v>
      </c>
      <c r="Z376" t="str">
        <f ca="1"/>
        <v>Cash</v>
      </c>
      <c r="AA376" t="str">
        <f ca="1"/>
        <v/>
      </c>
      <c r="AB376" t="str">
        <f ca="1"/>
        <v>Custom</v>
      </c>
      <c r="AC376" t="str">
        <f ca="1"/>
        <v/>
      </c>
      <c r="AD376" t="str">
        <f ca="1"/>
        <v>Customized price</v>
      </c>
      <c r="AE376" t="str">
        <f ca="1"/>
        <v>Captive Sales</v>
      </c>
      <c r="AF376" t="str">
        <f ca="1"/>
        <v>Mineral</v>
      </c>
      <c r="AG376" t="str">
        <f ca="1"/>
        <v>Agri</v>
      </c>
      <c r="AH376" t="str">
        <f ca="1"/>
        <v>15W40</v>
      </c>
      <c r="AI376" t="str">
        <f ca="1"/>
        <v>Agri</v>
      </c>
      <c r="AJ376">
        <f ca="1"/>
        <v>0</v>
      </c>
      <c r="AK376" t="str">
        <f ca="1"/>
        <v>4x5L</v>
      </c>
      <c r="AL376">
        <f ca="1"/>
        <v>3917.38</v>
      </c>
      <c r="AM376">
        <f ca="1"/>
        <v>500.0113043478259</v>
      </c>
      <c r="AN376" t="str">
        <f ca="1"/>
        <v>O-47848-D-0028</v>
      </c>
      <c r="AO376" t="str">
        <f ca="1"/>
        <v>Pending</v>
      </c>
    </row>
    <row r="377" spans="1:41" x14ac:dyDescent="0.5">
      <c r="A377" t="str">
        <f ca="1"/>
        <v>F-204</v>
      </c>
      <c r="B377" s="1">
        <f ca="1"/>
        <v>45726</v>
      </c>
      <c r="C377" t="str">
        <f ca="1"/>
        <v>D-0013</v>
      </c>
      <c r="D377" t="str">
        <f ca="1"/>
        <v>Bhuiyan Corporation</v>
      </c>
      <c r="E377" t="str">
        <f ca="1"/>
        <v>Doyagannj</v>
      </c>
      <c r="F377" t="str">
        <f ca="1"/>
        <v>+88001914870347</v>
      </c>
      <c r="G377" t="str">
        <f ca="1"/>
        <v>Mahamudul Hasan Milon</v>
      </c>
      <c r="H377" t="str">
        <f ca="1"/>
        <v>Abdul Matin</v>
      </c>
      <c r="I377" t="str">
        <f ca="1"/>
        <v>Bhuiyan Corporation</v>
      </c>
      <c r="J377" t="str">
        <f ca="1"/>
        <v xml:space="preserve">Wari </v>
      </c>
      <c r="K377" t="str">
        <f ca="1"/>
        <v>LO00041</v>
      </c>
      <c r="L377" t="str">
        <f ca="1"/>
        <v>3000 4T PLUS 10W30</v>
      </c>
      <c r="M377">
        <f ca="1"/>
        <v>300</v>
      </c>
      <c r="N377">
        <f ca="1"/>
        <v>540</v>
      </c>
      <c r="O377">
        <f ca="1"/>
        <v>300</v>
      </c>
      <c r="P377">
        <f ca="1"/>
        <v>3.7518195050946224E-2</v>
      </c>
      <c r="Q377">
        <f ca="1"/>
        <v>0</v>
      </c>
      <c r="R377">
        <f ca="1"/>
        <v>519.74017467248905</v>
      </c>
      <c r="S377">
        <f ca="1"/>
        <v>300</v>
      </c>
      <c r="T377">
        <f ca="1"/>
        <v>300</v>
      </c>
      <c r="U377">
        <f ca="1"/>
        <v>162000</v>
      </c>
      <c r="V377">
        <f ca="1"/>
        <v>0</v>
      </c>
      <c r="W377">
        <f ca="1"/>
        <v>155922.05240174671</v>
      </c>
      <c r="X377">
        <f ca="1"/>
        <v>20337.659008923485</v>
      </c>
      <c r="Y377">
        <f ca="1"/>
        <v>135584.39339282323</v>
      </c>
      <c r="Z377" t="str">
        <f ca="1"/>
        <v>Cash</v>
      </c>
      <c r="AA377">
        <f ca="1"/>
        <v>668</v>
      </c>
      <c r="AB377" t="str">
        <f ca="1"/>
        <v>Flat Discount</v>
      </c>
      <c r="AC377">
        <f ca="1"/>
        <v>45727</v>
      </c>
      <c r="AD377" t="str">
        <f ca="1"/>
        <v>Special Flat Discount 46,365tk on Regular price</v>
      </c>
      <c r="AE377" t="str">
        <f ca="1"/>
        <v>Central</v>
      </c>
      <c r="AF377" t="str">
        <f ca="1"/>
        <v>Mineral</v>
      </c>
      <c r="AG377" t="str">
        <f ca="1"/>
        <v>MCO</v>
      </c>
      <c r="AH377" t="str">
        <f ca="1"/>
        <v>10W30</v>
      </c>
      <c r="AI377" t="str">
        <f ca="1"/>
        <v>3000</v>
      </c>
      <c r="AJ377">
        <f ca="1"/>
        <v>0</v>
      </c>
      <c r="AK377" t="str">
        <f ca="1"/>
        <v>20x1L</v>
      </c>
      <c r="AL377">
        <f ca="1"/>
        <v>113799</v>
      </c>
      <c r="AM377">
        <f ca="1"/>
        <v>21785.393392823229</v>
      </c>
      <c r="AN377" t="str">
        <f ca="1"/>
        <v>O-45726-D-0013</v>
      </c>
      <c r="AO377" t="str">
        <f ca="1"/>
        <v>Delivered</v>
      </c>
    </row>
    <row r="378" spans="1:41" x14ac:dyDescent="0.5">
      <c r="A378" t="str">
        <f ca="1"/>
        <v>F-204</v>
      </c>
      <c r="B378" s="1">
        <f ca="1"/>
        <v>45726</v>
      </c>
      <c r="C378" t="str">
        <f ca="1"/>
        <v>D-0013</v>
      </c>
      <c r="D378" t="str">
        <f ca="1"/>
        <v>Bhuiyan Corporation</v>
      </c>
      <c r="E378" t="str">
        <f ca="1"/>
        <v>Doyagannj</v>
      </c>
      <c r="F378" t="str">
        <f ca="1"/>
        <v>+88001914870347</v>
      </c>
      <c r="G378" t="str">
        <f ca="1"/>
        <v>Mahamudul Hasan Milon</v>
      </c>
      <c r="H378" t="str">
        <f ca="1"/>
        <v>Abdul Matin</v>
      </c>
      <c r="I378" t="str">
        <f ca="1"/>
        <v>Bhuiyan Corporation</v>
      </c>
      <c r="J378" t="str">
        <f ca="1"/>
        <v xml:space="preserve">Wari </v>
      </c>
      <c r="K378" t="str">
        <f ca="1"/>
        <v>LO00042</v>
      </c>
      <c r="L378" t="str">
        <f ca="1"/>
        <v>3000 4T PLUS 20W40</v>
      </c>
      <c r="M378">
        <f ca="1"/>
        <v>500</v>
      </c>
      <c r="N378">
        <f ca="1"/>
        <v>535</v>
      </c>
      <c r="O378">
        <f ca="1"/>
        <v>500</v>
      </c>
      <c r="P378">
        <f ca="1"/>
        <v>3.7868832387870976E-2</v>
      </c>
      <c r="Q378">
        <f ca="1"/>
        <v>0</v>
      </c>
      <c r="R378">
        <f ca="1"/>
        <v>514.74017467248905</v>
      </c>
      <c r="S378">
        <f ca="1"/>
        <v>500</v>
      </c>
      <c r="T378">
        <f ca="1"/>
        <v>500</v>
      </c>
      <c r="U378">
        <f ca="1"/>
        <v>267500</v>
      </c>
      <c r="V378">
        <f ca="1"/>
        <v>0</v>
      </c>
      <c r="W378">
        <f ca="1"/>
        <v>257370.08733624453</v>
      </c>
      <c r="X378">
        <f ca="1"/>
        <v>33570.011391684071</v>
      </c>
      <c r="Y378">
        <f ca="1"/>
        <v>223800.07594456043</v>
      </c>
      <c r="Z378" t="str">
        <f ca="1"/>
        <v>Cash</v>
      </c>
      <c r="AA378">
        <f ca="1"/>
        <v>668</v>
      </c>
      <c r="AB378" t="str">
        <f ca="1"/>
        <v>Flat Discount</v>
      </c>
      <c r="AC378">
        <f ca="1"/>
        <v>45727</v>
      </c>
      <c r="AD378" t="str">
        <f ca="1"/>
        <v>Special Flat Discount 46,365tk on Regular price</v>
      </c>
      <c r="AE378" t="str">
        <f ca="1"/>
        <v>Central</v>
      </c>
      <c r="AF378" t="str">
        <f ca="1"/>
        <v>Mineral</v>
      </c>
      <c r="AG378" t="str">
        <f ca="1"/>
        <v>MCO</v>
      </c>
      <c r="AH378" t="str">
        <f ca="1"/>
        <v>20W40</v>
      </c>
      <c r="AI378" t="str">
        <f ca="1"/>
        <v>3000</v>
      </c>
      <c r="AJ378">
        <f ca="1"/>
        <v>0</v>
      </c>
      <c r="AK378" t="str">
        <f ca="1"/>
        <v>20x1L</v>
      </c>
      <c r="AL378">
        <f ca="1"/>
        <v>206380</v>
      </c>
      <c r="AM378">
        <f ca="1"/>
        <v>17420.075944560434</v>
      </c>
      <c r="AN378" t="str">
        <f ca="1"/>
        <v>O-45726-D-0013</v>
      </c>
      <c r="AO378" t="str">
        <f ca="1"/>
        <v>Delivered</v>
      </c>
    </row>
    <row r="379" spans="1:41" x14ac:dyDescent="0.5">
      <c r="A379" t="str">
        <f ca="1"/>
        <v>F-204</v>
      </c>
      <c r="B379" s="1">
        <f ca="1"/>
        <v>45726</v>
      </c>
      <c r="C379" t="str">
        <f ca="1"/>
        <v>D-0013</v>
      </c>
      <c r="D379" t="str">
        <f ca="1"/>
        <v>Bhuiyan Corporation</v>
      </c>
      <c r="E379" t="str">
        <f ca="1"/>
        <v>Doyagannj</v>
      </c>
      <c r="F379" t="str">
        <f ca="1"/>
        <v>+88001914870347</v>
      </c>
      <c r="G379" t="str">
        <f ca="1"/>
        <v>Mahamudul Hasan Milon</v>
      </c>
      <c r="H379" t="str">
        <f ca="1"/>
        <v>Abdul Matin</v>
      </c>
      <c r="I379" t="str">
        <f ca="1"/>
        <v>Bhuiyan Corporation</v>
      </c>
      <c r="J379" t="str">
        <f ca="1"/>
        <v xml:space="preserve">Wari </v>
      </c>
      <c r="K379" t="str">
        <f ca="1"/>
        <v>LO00043</v>
      </c>
      <c r="L379" t="str">
        <f ca="1"/>
        <v>3000 4T PLUS 10W40</v>
      </c>
      <c r="M379">
        <f ca="1"/>
        <v>400</v>
      </c>
      <c r="N379">
        <f ca="1"/>
        <v>550</v>
      </c>
      <c r="O379">
        <f ca="1"/>
        <v>400</v>
      </c>
      <c r="P379">
        <f ca="1"/>
        <v>3.6836046050019888E-2</v>
      </c>
      <c r="Q379">
        <f ca="1"/>
        <v>0</v>
      </c>
      <c r="R379">
        <f ca="1"/>
        <v>529.74017467248905</v>
      </c>
      <c r="S379">
        <f ca="1"/>
        <v>400</v>
      </c>
      <c r="T379">
        <f ca="1"/>
        <v>400</v>
      </c>
      <c r="U379">
        <f ca="1"/>
        <v>220000</v>
      </c>
      <c r="V379">
        <f ca="1"/>
        <v>0</v>
      </c>
      <c r="W379">
        <f ca="1"/>
        <v>211896.06986899563</v>
      </c>
      <c r="X379">
        <f ca="1"/>
        <v>27638.617808999428</v>
      </c>
      <c r="Y379">
        <f ca="1"/>
        <v>184257.4520599962</v>
      </c>
      <c r="Z379" t="str">
        <f ca="1"/>
        <v>Cash</v>
      </c>
      <c r="AA379">
        <f ca="1"/>
        <v>668</v>
      </c>
      <c r="AB379" t="str">
        <f ca="1"/>
        <v>Flat Discount</v>
      </c>
      <c r="AC379">
        <f ca="1"/>
        <v>45727</v>
      </c>
      <c r="AD379" t="str">
        <f ca="1"/>
        <v>Special Flat Discount 46,365tk on Regular price</v>
      </c>
      <c r="AE379" t="str">
        <f ca="1"/>
        <v>Central</v>
      </c>
      <c r="AF379" t="str">
        <f ca="1"/>
        <v>Mineral</v>
      </c>
      <c r="AG379" t="str">
        <f ca="1"/>
        <v>MCO</v>
      </c>
      <c r="AH379" t="str">
        <f ca="1"/>
        <v>10W40</v>
      </c>
      <c r="AI379" t="str">
        <f ca="1"/>
        <v>3000</v>
      </c>
      <c r="AJ379">
        <f ca="1"/>
        <v>0</v>
      </c>
      <c r="AK379" t="str">
        <f ca="1"/>
        <v>20x1L</v>
      </c>
      <c r="AL379">
        <f ca="1"/>
        <v>153940</v>
      </c>
      <c r="AM379">
        <f ca="1"/>
        <v>30317.452059996198</v>
      </c>
      <c r="AN379" t="str">
        <f ca="1"/>
        <v>O-45726-D-0013</v>
      </c>
      <c r="AO379" t="str">
        <f ca="1"/>
        <v>Delivered</v>
      </c>
    </row>
    <row r="380" spans="1:41" x14ac:dyDescent="0.5">
      <c r="A380" t="str">
        <f ca="1"/>
        <v>F-204</v>
      </c>
      <c r="B380" s="1">
        <f ca="1"/>
        <v>45726</v>
      </c>
      <c r="C380" t="str">
        <f ca="1"/>
        <v>D-0013</v>
      </c>
      <c r="D380" t="str">
        <f ca="1"/>
        <v>Bhuiyan Corporation</v>
      </c>
      <c r="E380" t="str">
        <f ca="1"/>
        <v>Doyagannj</v>
      </c>
      <c r="F380" t="str">
        <f ca="1"/>
        <v>+88001914870347</v>
      </c>
      <c r="G380" t="str">
        <f ca="1"/>
        <v>Mahamudul Hasan Milon</v>
      </c>
      <c r="H380" t="str">
        <f ca="1"/>
        <v>Abdul Matin</v>
      </c>
      <c r="I380" t="str">
        <f ca="1"/>
        <v>Bhuiyan Corporation</v>
      </c>
      <c r="J380" t="str">
        <f ca="1"/>
        <v xml:space="preserve">Wari </v>
      </c>
      <c r="K380" t="str">
        <f ca="1"/>
        <v>LO00096</v>
      </c>
      <c r="L380" t="str">
        <f ca="1"/>
        <v>3000 4T PLUS 20W40</v>
      </c>
      <c r="M380">
        <f ca="1"/>
        <v>200</v>
      </c>
      <c r="N380">
        <f ca="1"/>
        <v>645</v>
      </c>
      <c r="O380">
        <f ca="1"/>
        <v>240</v>
      </c>
      <c r="P380">
        <f ca="1"/>
        <v>3.141058190311774E-2</v>
      </c>
      <c r="Q380">
        <f ca="1"/>
        <v>0</v>
      </c>
      <c r="R380">
        <f ca="1"/>
        <v>624.74017467248905</v>
      </c>
      <c r="S380">
        <f ca="1"/>
        <v>200</v>
      </c>
      <c r="T380">
        <f ca="1"/>
        <v>240</v>
      </c>
      <c r="U380">
        <f ca="1"/>
        <v>129000</v>
      </c>
      <c r="V380">
        <f ca="1"/>
        <v>0</v>
      </c>
      <c r="W380">
        <f ca="1"/>
        <v>124948.03493449782</v>
      </c>
      <c r="X380">
        <f ca="1"/>
        <v>16297.569774064932</v>
      </c>
      <c r="Y380">
        <f ca="1"/>
        <v>108650.46516043288</v>
      </c>
      <c r="Z380" t="str">
        <f ca="1"/>
        <v>Cash</v>
      </c>
      <c r="AA380">
        <f ca="1"/>
        <v>668</v>
      </c>
      <c r="AB380" t="str">
        <f ca="1"/>
        <v>Flat Discount</v>
      </c>
      <c r="AC380">
        <f ca="1"/>
        <v>45727</v>
      </c>
      <c r="AD380" t="str">
        <f ca="1"/>
        <v>Special Flat Discount 46,365tk on Regular price</v>
      </c>
      <c r="AE380" t="str">
        <f ca="1"/>
        <v>Central</v>
      </c>
      <c r="AF380" t="str">
        <f ca="1"/>
        <v>Mineral</v>
      </c>
      <c r="AG380" t="str">
        <f ca="1"/>
        <v>MCO</v>
      </c>
      <c r="AH380" t="str">
        <f ca="1"/>
        <v>20W40</v>
      </c>
      <c r="AI380" t="str">
        <f ca="1"/>
        <v>3000</v>
      </c>
      <c r="AJ380">
        <f ca="1"/>
        <v>0</v>
      </c>
      <c r="AK380" t="str">
        <f ca="1"/>
        <v>20x1.2L</v>
      </c>
      <c r="AL380">
        <f ca="1"/>
        <v>93979.559070121948</v>
      </c>
      <c r="AM380">
        <f ca="1"/>
        <v>14670.906090310935</v>
      </c>
      <c r="AN380" t="str">
        <f ca="1"/>
        <v>O-45726-D-0013</v>
      </c>
      <c r="AO380" t="str">
        <f ca="1"/>
        <v>Delivered</v>
      </c>
    </row>
    <row r="381" spans="1:41" x14ac:dyDescent="0.5">
      <c r="A381" t="str">
        <f ca="1"/>
        <v>F-204</v>
      </c>
      <c r="B381" s="1">
        <f ca="1"/>
        <v>45726</v>
      </c>
      <c r="C381" t="str">
        <f ca="1"/>
        <v>D-0013</v>
      </c>
      <c r="D381" t="str">
        <f ca="1"/>
        <v>Bhuiyan Corporation</v>
      </c>
      <c r="E381" t="str">
        <f ca="1"/>
        <v>Doyagannj</v>
      </c>
      <c r="F381" t="str">
        <f ca="1"/>
        <v>+88001914870347</v>
      </c>
      <c r="G381" t="str">
        <f ca="1"/>
        <v>Mahamudul Hasan Milon</v>
      </c>
      <c r="H381" t="str">
        <f ca="1"/>
        <v>Abdul Matin</v>
      </c>
      <c r="I381" t="str">
        <f ca="1"/>
        <v>Bhuiyan Corporation</v>
      </c>
      <c r="J381" t="str">
        <f ca="1"/>
        <v xml:space="preserve">Wari </v>
      </c>
      <c r="K381" t="str">
        <f ca="1"/>
        <v>LO00044</v>
      </c>
      <c r="L381" t="str">
        <f ca="1"/>
        <v>31004T GOLD 20W50</v>
      </c>
      <c r="M381">
        <f ca="1"/>
        <v>100</v>
      </c>
      <c r="N381">
        <f ca="1"/>
        <v>600</v>
      </c>
      <c r="O381">
        <f ca="1"/>
        <v>100</v>
      </c>
      <c r="P381">
        <f ca="1"/>
        <v>3.376637554585149E-2</v>
      </c>
      <c r="Q381">
        <f ca="1"/>
        <v>0</v>
      </c>
      <c r="R381">
        <f ca="1"/>
        <v>579.74017467248905</v>
      </c>
      <c r="S381">
        <f ca="1"/>
        <v>100</v>
      </c>
      <c r="T381">
        <f ca="1"/>
        <v>100</v>
      </c>
      <c r="U381">
        <f ca="1"/>
        <v>60000</v>
      </c>
      <c r="V381">
        <f ca="1"/>
        <v>0</v>
      </c>
      <c r="W381">
        <f ca="1"/>
        <v>57974.017467248908</v>
      </c>
      <c r="X381">
        <f ca="1"/>
        <v>7561.8283652933351</v>
      </c>
      <c r="Y381">
        <f ca="1"/>
        <v>50412.18910195557</v>
      </c>
      <c r="Z381" t="str">
        <f ca="1"/>
        <v>Cash</v>
      </c>
      <c r="AA381">
        <f ca="1"/>
        <v>668</v>
      </c>
      <c r="AB381" t="str">
        <f ca="1"/>
        <v>Flat Discount</v>
      </c>
      <c r="AC381">
        <f ca="1"/>
        <v>45727</v>
      </c>
      <c r="AD381" t="str">
        <f ca="1"/>
        <v>Special Flat Discount 46,365tk on Regular price</v>
      </c>
      <c r="AE381" t="str">
        <f ca="1"/>
        <v>Central</v>
      </c>
      <c r="AF381" t="str">
        <f ca="1"/>
        <v>Technosynthese</v>
      </c>
      <c r="AG381" t="str">
        <f ca="1"/>
        <v>MCO</v>
      </c>
      <c r="AH381" t="str">
        <f ca="1"/>
        <v>20W50</v>
      </c>
      <c r="AI381" t="str">
        <f ca="1"/>
        <v>3100</v>
      </c>
      <c r="AJ381">
        <f ca="1"/>
        <v>0</v>
      </c>
      <c r="AK381" t="str">
        <f ca="1"/>
        <v>20x1L</v>
      </c>
      <c r="AL381">
        <f ca="1"/>
        <v>46939</v>
      </c>
      <c r="AM381">
        <f ca="1"/>
        <v>3473.1891019555696</v>
      </c>
      <c r="AN381" t="str">
        <f ca="1"/>
        <v>O-45726-D-0013</v>
      </c>
      <c r="AO381" t="str">
        <f ca="1"/>
        <v>Delivered</v>
      </c>
    </row>
    <row r="382" spans="1:41" x14ac:dyDescent="0.5">
      <c r="A382" t="str">
        <f ca="1"/>
        <v>F-204</v>
      </c>
      <c r="B382" s="1">
        <f ca="1"/>
        <v>45726</v>
      </c>
      <c r="C382" t="str">
        <f ca="1"/>
        <v>D-0013</v>
      </c>
      <c r="D382" t="str">
        <f ca="1"/>
        <v>Bhuiyan Corporation</v>
      </c>
      <c r="E382" t="str">
        <f ca="1"/>
        <v>Doyagannj</v>
      </c>
      <c r="F382" t="str">
        <f ca="1"/>
        <v>+88001914870347</v>
      </c>
      <c r="G382" t="str">
        <f ca="1"/>
        <v>Mahamudul Hasan Milon</v>
      </c>
      <c r="H382" t="str">
        <f ca="1"/>
        <v>Abdul Matin</v>
      </c>
      <c r="I382" t="str">
        <f ca="1"/>
        <v>Bhuiyan Corporation</v>
      </c>
      <c r="J382" t="str">
        <f ca="1"/>
        <v xml:space="preserve">Wari </v>
      </c>
      <c r="K382" t="str">
        <f ca="1"/>
        <v>LO00071</v>
      </c>
      <c r="L382" t="str">
        <f ca="1"/>
        <v>31004T GOLD 10W30</v>
      </c>
      <c r="M382">
        <f ca="1"/>
        <v>60</v>
      </c>
      <c r="N382">
        <f ca="1"/>
        <v>600</v>
      </c>
      <c r="O382">
        <f ca="1"/>
        <v>60</v>
      </c>
      <c r="P382">
        <f ca="1"/>
        <v>3.3766375545851712E-2</v>
      </c>
      <c r="Q382">
        <f ca="1"/>
        <v>0</v>
      </c>
      <c r="R382">
        <f ca="1"/>
        <v>579.74017467248905</v>
      </c>
      <c r="S382">
        <f ca="1"/>
        <v>60</v>
      </c>
      <c r="T382">
        <f ca="1"/>
        <v>60</v>
      </c>
      <c r="U382">
        <f ca="1"/>
        <v>36000</v>
      </c>
      <c r="V382">
        <f ca="1"/>
        <v>0</v>
      </c>
      <c r="W382">
        <f ca="1"/>
        <v>34784.410480349339</v>
      </c>
      <c r="X382">
        <f ca="1"/>
        <v>4537.0970191760007</v>
      </c>
      <c r="Y382">
        <f ca="1"/>
        <v>30247.313461173337</v>
      </c>
      <c r="Z382" t="str">
        <f ca="1"/>
        <v>Cash</v>
      </c>
      <c r="AA382">
        <f ca="1"/>
        <v>668</v>
      </c>
      <c r="AB382" t="str">
        <f ca="1"/>
        <v>Flat Discount</v>
      </c>
      <c r="AC382">
        <f ca="1"/>
        <v>45727</v>
      </c>
      <c r="AD382" t="str">
        <f ca="1"/>
        <v>Special Flat Discount 46,365tk on Regular price</v>
      </c>
      <c r="AE382" t="str">
        <f ca="1"/>
        <v>Central</v>
      </c>
      <c r="AF382" t="str">
        <f ca="1"/>
        <v>Technosynthese</v>
      </c>
      <c r="AG382" t="str">
        <f ca="1"/>
        <v>MCO</v>
      </c>
      <c r="AH382" t="str">
        <f ca="1"/>
        <v>10W30</v>
      </c>
      <c r="AI382" t="str">
        <f ca="1"/>
        <v>3100</v>
      </c>
      <c r="AJ382">
        <f ca="1"/>
        <v>0</v>
      </c>
      <c r="AK382" t="str">
        <f ca="1"/>
        <v>20x1L</v>
      </c>
      <c r="AL382">
        <f ca="1"/>
        <v>25506</v>
      </c>
      <c r="AM382">
        <f ca="1"/>
        <v>4741.3134611733367</v>
      </c>
      <c r="AN382" t="str">
        <f ca="1"/>
        <v>O-45726-D-0013</v>
      </c>
      <c r="AO382" t="str">
        <f ca="1"/>
        <v>Delivered</v>
      </c>
    </row>
    <row r="383" spans="1:41" x14ac:dyDescent="0.5">
      <c r="A383" t="str">
        <f ca="1"/>
        <v>F-204</v>
      </c>
      <c r="B383" s="1">
        <f ca="1"/>
        <v>45726</v>
      </c>
      <c r="C383" t="str">
        <f ca="1"/>
        <v>D-0013</v>
      </c>
      <c r="D383" t="str">
        <f ca="1"/>
        <v>Bhuiyan Corporation</v>
      </c>
      <c r="E383" t="str">
        <f ca="1"/>
        <v>Doyagannj</v>
      </c>
      <c r="F383" t="str">
        <f ca="1"/>
        <v>+88001914870347</v>
      </c>
      <c r="G383" t="str">
        <f ca="1"/>
        <v>Mahamudul Hasan Milon</v>
      </c>
      <c r="H383" t="str">
        <f ca="1"/>
        <v>Abdul Matin</v>
      </c>
      <c r="I383" t="str">
        <f ca="1"/>
        <v>Bhuiyan Corporation</v>
      </c>
      <c r="J383" t="str">
        <f ca="1"/>
        <v xml:space="preserve">Wari </v>
      </c>
      <c r="K383" t="str">
        <f ca="1"/>
        <v>LO00045</v>
      </c>
      <c r="L383" t="str">
        <f ca="1"/>
        <v>51004T 10W30 ESTER</v>
      </c>
      <c r="M383">
        <f ca="1"/>
        <v>36</v>
      </c>
      <c r="N383">
        <f ca="1"/>
        <v>860</v>
      </c>
      <c r="O383">
        <f ca="1"/>
        <v>36</v>
      </c>
      <c r="P383">
        <f ca="1"/>
        <v>2.3557936427338277E-2</v>
      </c>
      <c r="Q383">
        <f ca="1"/>
        <v>0</v>
      </c>
      <c r="R383">
        <f ca="1"/>
        <v>839.74017467248905</v>
      </c>
      <c r="S383">
        <f ca="1"/>
        <v>36</v>
      </c>
      <c r="T383">
        <f ca="1"/>
        <v>36</v>
      </c>
      <c r="U383">
        <f ca="1"/>
        <v>30960</v>
      </c>
      <c r="V383">
        <f ca="1"/>
        <v>0</v>
      </c>
      <c r="W383">
        <f ca="1"/>
        <v>30230.646288209606</v>
      </c>
      <c r="X383">
        <f ca="1"/>
        <v>3943.1277767229922</v>
      </c>
      <c r="Y383">
        <f ca="1"/>
        <v>26287.518511486611</v>
      </c>
      <c r="Z383" t="str">
        <f ca="1"/>
        <v>Cash</v>
      </c>
      <c r="AA383">
        <f ca="1"/>
        <v>668</v>
      </c>
      <c r="AB383" t="str">
        <f ca="1"/>
        <v>Flat Discount</v>
      </c>
      <c r="AC383">
        <f ca="1"/>
        <v>45727</v>
      </c>
      <c r="AD383" t="str">
        <f ca="1"/>
        <v>Special Flat Discount 46,365tk on Regular price</v>
      </c>
      <c r="AE383" t="str">
        <f ca="1"/>
        <v>Central</v>
      </c>
      <c r="AF383" t="str">
        <f ca="1"/>
        <v>Technosynthese</v>
      </c>
      <c r="AG383" t="str">
        <f ca="1"/>
        <v>MCO</v>
      </c>
      <c r="AH383" t="str">
        <f ca="1"/>
        <v>10W30</v>
      </c>
      <c r="AI383" t="str">
        <f ca="1"/>
        <v>5100</v>
      </c>
      <c r="AJ383">
        <f ca="1"/>
        <v>0</v>
      </c>
      <c r="AK383" t="str">
        <f ca="1"/>
        <v>12x1L</v>
      </c>
      <c r="AL383">
        <f ca="1"/>
        <v>21695.040000000001</v>
      </c>
      <c r="AM383">
        <f ca="1"/>
        <v>4592.4785114866099</v>
      </c>
      <c r="AN383" t="str">
        <f ca="1"/>
        <v>O-45726-D-0013</v>
      </c>
      <c r="AO383" t="str">
        <f ca="1"/>
        <v>Delivered</v>
      </c>
    </row>
    <row r="384" spans="1:41" x14ac:dyDescent="0.5">
      <c r="A384" t="str">
        <f ca="1"/>
        <v>F-204</v>
      </c>
      <c r="B384" s="1">
        <f ca="1"/>
        <v>45726</v>
      </c>
      <c r="C384" t="str">
        <f ca="1"/>
        <v>D-0013</v>
      </c>
      <c r="D384" t="str">
        <f ca="1"/>
        <v>Bhuiyan Corporation</v>
      </c>
      <c r="E384" t="str">
        <f ca="1"/>
        <v>Doyagannj</v>
      </c>
      <c r="F384" t="str">
        <f ca="1"/>
        <v>+88001914870347</v>
      </c>
      <c r="G384" t="str">
        <f ca="1"/>
        <v>Mahamudul Hasan Milon</v>
      </c>
      <c r="H384" t="str">
        <f ca="1"/>
        <v>Abdul Matin</v>
      </c>
      <c r="I384" t="str">
        <f ca="1"/>
        <v>Bhuiyan Corporation</v>
      </c>
      <c r="J384" t="str">
        <f ca="1"/>
        <v xml:space="preserve">Wari </v>
      </c>
      <c r="K384" t="str">
        <f ca="1"/>
        <v>LO00046</v>
      </c>
      <c r="L384" t="str">
        <f ca="1"/>
        <v>51004T 10W40 ESTER</v>
      </c>
      <c r="M384">
        <f ca="1"/>
        <v>120</v>
      </c>
      <c r="N384">
        <f ca="1"/>
        <v>860</v>
      </c>
      <c r="O384">
        <f ca="1"/>
        <v>120</v>
      </c>
      <c r="P384">
        <f ca="1"/>
        <v>2.3557936427338388E-2</v>
      </c>
      <c r="Q384">
        <f ca="1"/>
        <v>0</v>
      </c>
      <c r="R384">
        <f ca="1"/>
        <v>839.74017467248905</v>
      </c>
      <c r="S384">
        <f ca="1"/>
        <v>120</v>
      </c>
      <c r="T384">
        <f ca="1"/>
        <v>120</v>
      </c>
      <c r="U384">
        <f ca="1"/>
        <v>103200</v>
      </c>
      <c r="V384">
        <f ca="1"/>
        <v>0</v>
      </c>
      <c r="W384">
        <f ca="1"/>
        <v>100768.82096069868</v>
      </c>
      <c r="X384">
        <f ca="1"/>
        <v>13143.759255743305</v>
      </c>
      <c r="Y384">
        <f ca="1"/>
        <v>87625.061704955384</v>
      </c>
      <c r="Z384" t="str">
        <f ca="1"/>
        <v>Cash</v>
      </c>
      <c r="AA384">
        <f ca="1"/>
        <v>668</v>
      </c>
      <c r="AB384" t="str">
        <f ca="1"/>
        <v>Flat Discount</v>
      </c>
      <c r="AC384">
        <f ca="1"/>
        <v>45727</v>
      </c>
      <c r="AD384" t="str">
        <f ca="1"/>
        <v>Special Flat Discount 46,365tk on Regular price</v>
      </c>
      <c r="AE384" t="str">
        <f ca="1"/>
        <v>Central</v>
      </c>
      <c r="AF384" t="str">
        <f ca="1"/>
        <v>Technosynthese</v>
      </c>
      <c r="AG384" t="str">
        <f ca="1"/>
        <v>MCO</v>
      </c>
      <c r="AH384" t="str">
        <f ca="1"/>
        <v>10W40</v>
      </c>
      <c r="AI384" t="str">
        <f ca="1"/>
        <v>5100</v>
      </c>
      <c r="AJ384">
        <f ca="1"/>
        <v>0</v>
      </c>
      <c r="AK384" t="str">
        <f ca="1"/>
        <v>12x1L</v>
      </c>
      <c r="AL384">
        <f ca="1"/>
        <v>72999.600000000006</v>
      </c>
      <c r="AM384">
        <f ca="1"/>
        <v>14625.461704955378</v>
      </c>
      <c r="AN384" t="str">
        <f ca="1"/>
        <v>O-45726-D-0013</v>
      </c>
      <c r="AO384" t="str">
        <f ca="1"/>
        <v>Delivered</v>
      </c>
    </row>
    <row r="385" spans="1:41" x14ac:dyDescent="0.5">
      <c r="A385" t="str">
        <f ca="1"/>
        <v>F-204</v>
      </c>
      <c r="B385" s="1">
        <f ca="1"/>
        <v>45726</v>
      </c>
      <c r="C385" t="str">
        <f ca="1"/>
        <v>D-0013</v>
      </c>
      <c r="D385" t="str">
        <f ca="1"/>
        <v>Bhuiyan Corporation</v>
      </c>
      <c r="E385" t="str">
        <f ca="1"/>
        <v>Doyagannj</v>
      </c>
      <c r="F385" t="str">
        <f ca="1"/>
        <v>+88001914870347</v>
      </c>
      <c r="G385" t="str">
        <f ca="1"/>
        <v>Mahamudul Hasan Milon</v>
      </c>
      <c r="H385" t="str">
        <f ca="1"/>
        <v>Abdul Matin</v>
      </c>
      <c r="I385" t="str">
        <f ca="1"/>
        <v>Bhuiyan Corporation</v>
      </c>
      <c r="J385" t="str">
        <f ca="1"/>
        <v xml:space="preserve">Wari </v>
      </c>
      <c r="K385" t="str">
        <f ca="1"/>
        <v>LO00074</v>
      </c>
      <c r="L385" t="str">
        <f ca="1"/>
        <v>7100 4T 10W30 ESTER CORE®</v>
      </c>
      <c r="M385">
        <f ca="1"/>
        <v>120</v>
      </c>
      <c r="N385">
        <f ca="1"/>
        <v>1080</v>
      </c>
      <c r="O385">
        <f ca="1"/>
        <v>120</v>
      </c>
      <c r="P385">
        <f ca="1"/>
        <v>1.8759097525473112E-2</v>
      </c>
      <c r="Q385">
        <f ca="1"/>
        <v>0</v>
      </c>
      <c r="R385">
        <f ca="1"/>
        <v>1059.740174672489</v>
      </c>
      <c r="S385">
        <f ca="1"/>
        <v>120</v>
      </c>
      <c r="T385">
        <f ca="1"/>
        <v>120</v>
      </c>
      <c r="U385">
        <f ca="1"/>
        <v>129600</v>
      </c>
      <c r="V385">
        <f ca="1"/>
        <v>0</v>
      </c>
      <c r="W385">
        <f ca="1"/>
        <v>127168.82096069868</v>
      </c>
      <c r="X385">
        <f ca="1"/>
        <v>16587.237516612873</v>
      </c>
      <c r="Y385">
        <f ca="1"/>
        <v>110581.58344408582</v>
      </c>
      <c r="Z385" t="str">
        <f ca="1"/>
        <v>Cash</v>
      </c>
      <c r="AA385">
        <f ca="1"/>
        <v>668</v>
      </c>
      <c r="AB385" t="str">
        <f ca="1"/>
        <v>Flat Discount</v>
      </c>
      <c r="AC385">
        <f ca="1"/>
        <v>45727</v>
      </c>
      <c r="AD385" t="str">
        <f ca="1"/>
        <v>Special Flat Discount 46,365tk on Regular price</v>
      </c>
      <c r="AE385" t="str">
        <f ca="1"/>
        <v>Central</v>
      </c>
      <c r="AF385" t="str">
        <f ca="1"/>
        <v>Synthetic</v>
      </c>
      <c r="AG385" t="str">
        <f ca="1"/>
        <v>MCO</v>
      </c>
      <c r="AH385" t="str">
        <f ca="1"/>
        <v>10W30</v>
      </c>
      <c r="AI385" t="str">
        <f ca="1"/>
        <v>7100</v>
      </c>
      <c r="AJ385">
        <f ca="1"/>
        <v>0</v>
      </c>
      <c r="AK385" t="str">
        <f ca="1"/>
        <v>12x1L</v>
      </c>
      <c r="AL385">
        <f ca="1"/>
        <v>82783.199999999997</v>
      </c>
      <c r="AM385">
        <f ca="1"/>
        <v>27798.383444085819</v>
      </c>
      <c r="AN385" t="str">
        <f ca="1"/>
        <v>O-45726-D-0013</v>
      </c>
      <c r="AO385" t="str">
        <f ca="1"/>
        <v>Delivered</v>
      </c>
    </row>
    <row r="386" spans="1:41" x14ac:dyDescent="0.5">
      <c r="A386" t="str">
        <f ca="1"/>
        <v>F-204</v>
      </c>
      <c r="B386" s="1">
        <f ca="1"/>
        <v>45726</v>
      </c>
      <c r="C386" t="str">
        <f ca="1"/>
        <v>D-0013</v>
      </c>
      <c r="D386" t="str">
        <f ca="1"/>
        <v>Bhuiyan Corporation</v>
      </c>
      <c r="E386" t="str">
        <f ca="1"/>
        <v>Doyagannj</v>
      </c>
      <c r="F386" t="str">
        <f ca="1"/>
        <v>+88001914870347</v>
      </c>
      <c r="G386" t="str">
        <f ca="1"/>
        <v>Mahamudul Hasan Milon</v>
      </c>
      <c r="H386" t="str">
        <f ca="1"/>
        <v>Abdul Matin</v>
      </c>
      <c r="I386" t="str">
        <f ca="1"/>
        <v>Bhuiyan Corporation</v>
      </c>
      <c r="J386" t="str">
        <f ca="1"/>
        <v xml:space="preserve">Wari </v>
      </c>
      <c r="K386" t="str">
        <f ca="1"/>
        <v>LO00104</v>
      </c>
      <c r="L386" t="str">
        <f ca="1"/>
        <v>7100 4T 10W30 ESTER CORE®</v>
      </c>
      <c r="M386">
        <f ca="1"/>
        <v>100</v>
      </c>
      <c r="N386">
        <f ca="1"/>
        <v>1295</v>
      </c>
      <c r="O386">
        <f ca="1"/>
        <v>120</v>
      </c>
      <c r="P386">
        <f ca="1"/>
        <v>1.5644652762556666E-2</v>
      </c>
      <c r="Q386">
        <f ca="1"/>
        <v>0</v>
      </c>
      <c r="R386">
        <f ca="1"/>
        <v>1274.740174672489</v>
      </c>
      <c r="S386">
        <f ca="1"/>
        <v>100</v>
      </c>
      <c r="T386">
        <f ca="1"/>
        <v>120</v>
      </c>
      <c r="U386">
        <f ca="1"/>
        <v>129500</v>
      </c>
      <c r="V386">
        <f ca="1"/>
        <v>0</v>
      </c>
      <c r="W386">
        <f ca="1"/>
        <v>127474.01746724891</v>
      </c>
      <c r="X386">
        <f ca="1"/>
        <v>16627.045756597683</v>
      </c>
      <c r="Y386">
        <f ca="1"/>
        <v>110846.97171065123</v>
      </c>
      <c r="Z386" t="str">
        <f ca="1"/>
        <v>Cash</v>
      </c>
      <c r="AA386">
        <f ca="1"/>
        <v>668</v>
      </c>
      <c r="AB386" t="str">
        <f ca="1"/>
        <v>Flat Discount</v>
      </c>
      <c r="AC386">
        <f ca="1"/>
        <v>45727</v>
      </c>
      <c r="AD386" t="str">
        <f ca="1"/>
        <v>Special Flat Discount 46,365tk on Regular price</v>
      </c>
      <c r="AE386" t="str">
        <f ca="1"/>
        <v>Central</v>
      </c>
      <c r="AF386" t="str">
        <f ca="1"/>
        <v>Synthetic</v>
      </c>
      <c r="AG386" t="str">
        <f ca="1"/>
        <v>MCO</v>
      </c>
      <c r="AH386" t="str">
        <f ca="1"/>
        <v>10W30</v>
      </c>
      <c r="AI386" t="str">
        <f ca="1"/>
        <v>7100</v>
      </c>
      <c r="AJ386">
        <f ca="1"/>
        <v>0</v>
      </c>
      <c r="AK386" t="str">
        <f ca="1"/>
        <v>20x1.2L</v>
      </c>
      <c r="AL386">
        <f ca="1"/>
        <v>77730</v>
      </c>
      <c r="AM386">
        <f ca="1"/>
        <v>33116.971710651225</v>
      </c>
      <c r="AN386" t="str">
        <f ca="1"/>
        <v>O-45726-D-0013</v>
      </c>
      <c r="AO386" t="str">
        <f ca="1"/>
        <v>Delivered</v>
      </c>
    </row>
    <row r="387" spans="1:41" x14ac:dyDescent="0.5">
      <c r="A387" t="str">
        <f ca="1"/>
        <v>F-204</v>
      </c>
      <c r="B387" s="1">
        <f ca="1"/>
        <v>45726</v>
      </c>
      <c r="C387" t="str">
        <f ca="1"/>
        <v>D-0013</v>
      </c>
      <c r="D387" t="str">
        <f ca="1"/>
        <v>Bhuiyan Corporation</v>
      </c>
      <c r="E387" t="str">
        <f ca="1"/>
        <v>Doyagannj</v>
      </c>
      <c r="F387" t="str">
        <f ca="1"/>
        <v>+88001914870347</v>
      </c>
      <c r="G387" t="str">
        <f ca="1"/>
        <v>Mahamudul Hasan Milon</v>
      </c>
      <c r="H387" t="str">
        <f ca="1"/>
        <v>Abdul Matin</v>
      </c>
      <c r="I387" t="str">
        <f ca="1"/>
        <v>Bhuiyan Corporation</v>
      </c>
      <c r="J387" t="str">
        <f ca="1"/>
        <v xml:space="preserve">Wari </v>
      </c>
      <c r="K387" t="str">
        <f ca="1"/>
        <v>LO00117</v>
      </c>
      <c r="L387" t="str">
        <f ca="1"/>
        <v>Brake Fluid DOT 4</v>
      </c>
      <c r="M387">
        <f ca="1"/>
        <v>154</v>
      </c>
      <c r="N387">
        <f ca="1"/>
        <v>127.5</v>
      </c>
      <c r="O387">
        <f ca="1"/>
        <v>15.4</v>
      </c>
      <c r="P387">
        <f ca="1"/>
        <v>0.1589005908040072</v>
      </c>
      <c r="Q387">
        <f ca="1"/>
        <v>0</v>
      </c>
      <c r="R387">
        <f ca="1"/>
        <v>107.24017467248908</v>
      </c>
      <c r="S387">
        <f ca="1"/>
        <v>154</v>
      </c>
      <c r="T387">
        <f ca="1"/>
        <v>15.4</v>
      </c>
      <c r="U387">
        <f ca="1"/>
        <v>19635</v>
      </c>
      <c r="V387">
        <f ca="1"/>
        <v>0</v>
      </c>
      <c r="W387">
        <f ca="1"/>
        <v>16514.986899563319</v>
      </c>
      <c r="X387">
        <f ca="1"/>
        <v>2154.1287260299982</v>
      </c>
      <c r="Y387">
        <f ca="1"/>
        <v>14360.858173533321</v>
      </c>
      <c r="Z387" t="str">
        <f ca="1"/>
        <v>Cash</v>
      </c>
      <c r="AA387">
        <f ca="1"/>
        <v>668</v>
      </c>
      <c r="AB387" t="str">
        <f ca="1"/>
        <v>Flat Discount</v>
      </c>
      <c r="AC387">
        <f ca="1"/>
        <v>45727</v>
      </c>
      <c r="AD387" t="str">
        <f ca="1"/>
        <v>Special Flat Discount 46,365tk on Regular price</v>
      </c>
      <c r="AE387" t="str">
        <f ca="1"/>
        <v>Central</v>
      </c>
      <c r="AF387" t="str">
        <f ca="1"/>
        <v>Care Products</v>
      </c>
      <c r="AG387" t="str">
        <f ca="1"/>
        <v>Care Products</v>
      </c>
      <c r="AH387" t="str">
        <f ca="1"/>
        <v>Care Products</v>
      </c>
      <c r="AI387" t="str">
        <f ca="1"/>
        <v>Brake</v>
      </c>
      <c r="AJ387">
        <f ca="1"/>
        <v>0</v>
      </c>
      <c r="AK387" t="str">
        <f ca="1"/>
        <v>40x0.1L</v>
      </c>
      <c r="AL387">
        <f ca="1"/>
        <v>11141.9</v>
      </c>
      <c r="AM387">
        <f ca="1"/>
        <v>3218.9581735333213</v>
      </c>
      <c r="AN387" t="str">
        <f ca="1"/>
        <v>O-45726-D-0013</v>
      </c>
      <c r="AO387" t="str">
        <f ca="1"/>
        <v>Delivered</v>
      </c>
    </row>
    <row r="388" spans="1:41" x14ac:dyDescent="0.5">
      <c r="A388" t="str">
        <f ca="1"/>
        <v>F-204</v>
      </c>
      <c r="B388" s="1">
        <f ca="1"/>
        <v>45726</v>
      </c>
      <c r="C388" t="str">
        <f ca="1"/>
        <v>D-0013</v>
      </c>
      <c r="D388" t="str">
        <f ca="1"/>
        <v>Bhuiyan Corporation</v>
      </c>
      <c r="E388" t="str">
        <f ca="1"/>
        <v>Doyagannj</v>
      </c>
      <c r="F388" t="str">
        <f ca="1"/>
        <v>+88001914870347</v>
      </c>
      <c r="G388" t="str">
        <f ca="1"/>
        <v>Mahamudul Hasan Milon</v>
      </c>
      <c r="H388" t="str">
        <f ca="1"/>
        <v>Abdul Matin</v>
      </c>
      <c r="I388" t="str">
        <f ca="1"/>
        <v>Bhuiyan Corporation</v>
      </c>
      <c r="J388" t="str">
        <f ca="1"/>
        <v xml:space="preserve">Wari </v>
      </c>
      <c r="K388" t="str">
        <f ca="1"/>
        <v>LO00119</v>
      </c>
      <c r="L388" t="str">
        <f ca="1"/>
        <v>3000 4T 20W50</v>
      </c>
      <c r="M388">
        <f ca="1"/>
        <v>100</v>
      </c>
      <c r="N388">
        <f ca="1"/>
        <v>495</v>
      </c>
      <c r="O388">
        <f ca="1"/>
        <v>100</v>
      </c>
      <c r="P388">
        <f ca="1"/>
        <v>4.0928940055577567E-2</v>
      </c>
      <c r="Q388">
        <f ca="1"/>
        <v>0</v>
      </c>
      <c r="R388">
        <f ca="1"/>
        <v>474.7401746724891</v>
      </c>
      <c r="S388">
        <f ca="1"/>
        <v>100</v>
      </c>
      <c r="T388">
        <f ca="1"/>
        <v>100</v>
      </c>
      <c r="U388">
        <f ca="1"/>
        <v>49500</v>
      </c>
      <c r="V388">
        <f ca="1"/>
        <v>0</v>
      </c>
      <c r="W388">
        <f ca="1"/>
        <v>47474.017467248908</v>
      </c>
      <c r="X388">
        <f ca="1"/>
        <v>6192.2631479020311</v>
      </c>
      <c r="Y388">
        <f ca="1"/>
        <v>41281.754319346874</v>
      </c>
      <c r="Z388" t="str">
        <f ca="1"/>
        <v>Cash</v>
      </c>
      <c r="AA388">
        <f ca="1"/>
        <v>668</v>
      </c>
      <c r="AB388" t="str">
        <f ca="1"/>
        <v>Flat Discount</v>
      </c>
      <c r="AC388">
        <f ca="1"/>
        <v>45727</v>
      </c>
      <c r="AD388" t="str">
        <f ca="1"/>
        <v>Special Flat Discount 46,365tk on Regular price</v>
      </c>
      <c r="AE388" t="str">
        <f ca="1"/>
        <v>Central</v>
      </c>
      <c r="AF388" t="str">
        <f ca="1"/>
        <v>Mineral</v>
      </c>
      <c r="AG388" t="str">
        <f ca="1"/>
        <v>MCO</v>
      </c>
      <c r="AH388" t="str">
        <f ca="1"/>
        <v>20W50</v>
      </c>
      <c r="AI388" t="str">
        <f ca="1"/>
        <v>3000</v>
      </c>
      <c r="AJ388">
        <f ca="1"/>
        <v>0</v>
      </c>
      <c r="AK388" t="str">
        <f ca="1"/>
        <v>20x1L</v>
      </c>
      <c r="AL388">
        <f ca="1"/>
        <v>36492</v>
      </c>
      <c r="AM388">
        <f ca="1"/>
        <v>4789.7543193468737</v>
      </c>
      <c r="AN388" t="str">
        <f ca="1"/>
        <v>O-45726-D-0013</v>
      </c>
      <c r="AO388" t="str">
        <f ca="1"/>
        <v>Delivered</v>
      </c>
    </row>
    <row r="389" spans="1:41" x14ac:dyDescent="0.5">
      <c r="A389" t="str">
        <f ca="1"/>
        <v>F-204</v>
      </c>
      <c r="B389" s="1">
        <f ca="1"/>
        <v>45726</v>
      </c>
      <c r="C389" t="str">
        <f ca="1"/>
        <v>D-0013</v>
      </c>
      <c r="D389" t="str">
        <f ca="1"/>
        <v>Bhuiyan Corporation</v>
      </c>
      <c r="E389" t="str">
        <f ca="1"/>
        <v>Doyagannj</v>
      </c>
      <c r="F389" t="str">
        <f ca="1"/>
        <v>+88001914870347</v>
      </c>
      <c r="G389" t="str">
        <f ca="1"/>
        <v>Mahamudul Hasan Milon</v>
      </c>
      <c r="H389" t="str">
        <f ca="1"/>
        <v>Abdul Matin</v>
      </c>
      <c r="I389" t="str">
        <f ca="1"/>
        <v>Bhuiyan Corporation</v>
      </c>
      <c r="J389" t="str">
        <f ca="1"/>
        <v xml:space="preserve">Wari </v>
      </c>
      <c r="K389" t="str">
        <f ca="1"/>
        <v>LO00120</v>
      </c>
      <c r="L389" t="str">
        <f ca="1"/>
        <v>3000 4T 20W50</v>
      </c>
      <c r="M389">
        <f ca="1"/>
        <v>100</v>
      </c>
      <c r="N389">
        <f ca="1"/>
        <v>595</v>
      </c>
      <c r="O389">
        <f ca="1"/>
        <v>120</v>
      </c>
      <c r="P389">
        <f ca="1"/>
        <v>3.405012660085871E-2</v>
      </c>
      <c r="Q389">
        <f ca="1"/>
        <v>0</v>
      </c>
      <c r="R389">
        <f ca="1"/>
        <v>574.74017467248905</v>
      </c>
      <c r="S389">
        <f ca="1"/>
        <v>100</v>
      </c>
      <c r="T389">
        <f ca="1"/>
        <v>120</v>
      </c>
      <c r="U389">
        <f ca="1"/>
        <v>59500</v>
      </c>
      <c r="V389">
        <f ca="1"/>
        <v>0</v>
      </c>
      <c r="W389">
        <f ca="1"/>
        <v>57474.017467248908</v>
      </c>
      <c r="X389">
        <f ca="1"/>
        <v>7496.610973988988</v>
      </c>
      <c r="Y389">
        <f ca="1"/>
        <v>49977.406493259921</v>
      </c>
      <c r="Z389" t="str">
        <f ca="1"/>
        <v>Cash</v>
      </c>
      <c r="AA389">
        <f ca="1"/>
        <v>668</v>
      </c>
      <c r="AB389" t="str">
        <f ca="1"/>
        <v>Flat Discount</v>
      </c>
      <c r="AC389">
        <f ca="1"/>
        <v>45727</v>
      </c>
      <c r="AD389" t="str">
        <f ca="1"/>
        <v>Special Flat Discount 46,365tk on Regular price</v>
      </c>
      <c r="AE389" t="str">
        <f ca="1"/>
        <v>Central</v>
      </c>
      <c r="AF389" t="str">
        <f ca="1"/>
        <v>Mineral</v>
      </c>
      <c r="AG389" t="str">
        <f ca="1"/>
        <v>MCO</v>
      </c>
      <c r="AH389" t="str">
        <f ca="1"/>
        <v>20W50</v>
      </c>
      <c r="AI389" t="str">
        <f ca="1"/>
        <v>3000</v>
      </c>
      <c r="AJ389">
        <f ca="1"/>
        <v>0</v>
      </c>
      <c r="AK389" t="str">
        <f ca="1"/>
        <v>20x1.2L</v>
      </c>
      <c r="AL389">
        <f ca="1"/>
        <v>43461</v>
      </c>
      <c r="AM389">
        <f ca="1"/>
        <v>6516.4064932599213</v>
      </c>
      <c r="AN389" t="str">
        <f ca="1"/>
        <v>O-45726-D-0013</v>
      </c>
      <c r="AO389" t="str">
        <f ca="1"/>
        <v>Delivered</v>
      </c>
    </row>
    <row r="390" spans="1:41" x14ac:dyDescent="0.5">
      <c r="A390" t="str">
        <f ca="1"/>
        <v>F-203</v>
      </c>
      <c r="B390" s="1">
        <f ca="1"/>
        <v>45722</v>
      </c>
      <c r="C390" t="str">
        <f ca="1"/>
        <v>D-0023</v>
      </c>
      <c r="D390" t="str">
        <f ca="1"/>
        <v>Ashik Motors</v>
      </c>
      <c r="E390" t="str">
        <f ca="1"/>
        <v>Rangpur Sadar</v>
      </c>
      <c r="F390">
        <f ca="1"/>
        <v>1732538253</v>
      </c>
      <c r="G390" t="str">
        <f ca="1"/>
        <v>Monirul Islam</v>
      </c>
      <c r="H390" t="str">
        <f ca="1"/>
        <v>Raihan Siddiqui</v>
      </c>
      <c r="I390" t="str">
        <f ca="1"/>
        <v>Bondhu Motors</v>
      </c>
      <c r="J390" t="str">
        <f ca="1"/>
        <v>Rangpur</v>
      </c>
      <c r="K390" t="str">
        <f ca="1"/>
        <v>LO00041</v>
      </c>
      <c r="L390" t="str">
        <f ca="1"/>
        <v>3000 4T PLUS 10W30</v>
      </c>
      <c r="M390">
        <f ca="1"/>
        <v>60</v>
      </c>
      <c r="N390">
        <f ca="1"/>
        <v>540</v>
      </c>
      <c r="O390">
        <f ca="1"/>
        <v>60</v>
      </c>
      <c r="P390">
        <f ca="1"/>
        <v>0</v>
      </c>
      <c r="Q390">
        <f ca="1"/>
        <v>0</v>
      </c>
      <c r="R390">
        <f ca="1"/>
        <v>540</v>
      </c>
      <c r="S390">
        <f ca="1"/>
        <v>60</v>
      </c>
      <c r="T390">
        <f ca="1"/>
        <v>60</v>
      </c>
      <c r="U390">
        <f ca="1"/>
        <v>32400</v>
      </c>
      <c r="V390">
        <f ca="1"/>
        <v>0</v>
      </c>
      <c r="W390">
        <f ca="1"/>
        <v>32400</v>
      </c>
      <c r="X390">
        <f ca="1"/>
        <v>4226.086956521739</v>
      </c>
      <c r="Y390">
        <f ca="1"/>
        <v>28173.91304347826</v>
      </c>
      <c r="Z390" t="str">
        <f ca="1"/>
        <v>Cash</v>
      </c>
      <c r="AA390">
        <f ca="1"/>
        <v>667</v>
      </c>
      <c r="AB390" t="str">
        <f ca="1"/>
        <v>Regular</v>
      </c>
      <c r="AC390">
        <f ca="1"/>
        <v>45727</v>
      </c>
      <c r="AD390" t="str">
        <f ca="1"/>
        <v/>
      </c>
      <c r="AE390" t="str">
        <f ca="1"/>
        <v>Northern</v>
      </c>
      <c r="AF390" t="str">
        <f ca="1"/>
        <v>Mineral</v>
      </c>
      <c r="AG390" t="str">
        <f ca="1"/>
        <v>MCO</v>
      </c>
      <c r="AH390" t="str">
        <f ca="1"/>
        <v>10W30</v>
      </c>
      <c r="AI390" t="str">
        <f ca="1"/>
        <v>3000</v>
      </c>
      <c r="AJ390">
        <f ca="1"/>
        <v>0</v>
      </c>
      <c r="AK390" t="str">
        <f ca="1"/>
        <v>20x1L</v>
      </c>
      <c r="AL390">
        <f ca="1"/>
        <v>22759.8</v>
      </c>
      <c r="AM390">
        <f ca="1"/>
        <v>5414.1130434782608</v>
      </c>
      <c r="AN390" t="str">
        <f ca="1"/>
        <v>O-45722-D-0023</v>
      </c>
      <c r="AO390" t="str">
        <f ca="1"/>
        <v>Delivered</v>
      </c>
    </row>
    <row r="391" spans="1:41" x14ac:dyDescent="0.5">
      <c r="A391" t="str">
        <f ca="1"/>
        <v>F-203</v>
      </c>
      <c r="B391" s="1">
        <f ca="1"/>
        <v>45722</v>
      </c>
      <c r="C391" t="str">
        <f ca="1"/>
        <v>D-0023</v>
      </c>
      <c r="D391" t="str">
        <f ca="1"/>
        <v>Ashik Motors</v>
      </c>
      <c r="E391" t="str">
        <f ca="1"/>
        <v>Rangpur Sadar</v>
      </c>
      <c r="F391">
        <f ca="1"/>
        <v>1732538253</v>
      </c>
      <c r="G391" t="str">
        <f ca="1"/>
        <v>Monirul Islam</v>
      </c>
      <c r="H391" t="str">
        <f ca="1"/>
        <v>Raihan Siddiqui</v>
      </c>
      <c r="I391" t="str">
        <f ca="1"/>
        <v>Bondhu Motors</v>
      </c>
      <c r="J391" t="str">
        <f ca="1"/>
        <v>Rangpur</v>
      </c>
      <c r="K391" t="str">
        <f ca="1"/>
        <v>LO00043</v>
      </c>
      <c r="L391" t="str">
        <f ca="1"/>
        <v>3000 4T PLUS 10W40</v>
      </c>
      <c r="M391">
        <f ca="1"/>
        <v>60</v>
      </c>
      <c r="N391">
        <f ca="1"/>
        <v>540</v>
      </c>
      <c r="O391">
        <f ca="1"/>
        <v>60</v>
      </c>
      <c r="P391">
        <f ca="1"/>
        <v>0</v>
      </c>
      <c r="Q391">
        <f ca="1"/>
        <v>0</v>
      </c>
      <c r="R391">
        <f ca="1"/>
        <v>540</v>
      </c>
      <c r="S391">
        <f ca="1"/>
        <v>60</v>
      </c>
      <c r="T391">
        <f ca="1"/>
        <v>60</v>
      </c>
      <c r="U391">
        <f ca="1"/>
        <v>32400</v>
      </c>
      <c r="V391">
        <f ca="1"/>
        <v>0</v>
      </c>
      <c r="W391">
        <f ca="1"/>
        <v>32400</v>
      </c>
      <c r="X391">
        <f ca="1"/>
        <v>4226.086956521739</v>
      </c>
      <c r="Y391">
        <f ca="1"/>
        <v>28173.91304347826</v>
      </c>
      <c r="Z391" t="str">
        <f ca="1"/>
        <v>Cash</v>
      </c>
      <c r="AA391">
        <f ca="1"/>
        <v>667</v>
      </c>
      <c r="AB391" t="str">
        <f ca="1"/>
        <v>Regular</v>
      </c>
      <c r="AC391">
        <f ca="1"/>
        <v>45727</v>
      </c>
      <c r="AD391" t="str">
        <f ca="1"/>
        <v/>
      </c>
      <c r="AE391" t="str">
        <f ca="1"/>
        <v>Northern</v>
      </c>
      <c r="AF391" t="str">
        <f ca="1"/>
        <v>Mineral</v>
      </c>
      <c r="AG391" t="str">
        <f ca="1"/>
        <v>MCO</v>
      </c>
      <c r="AH391" t="str">
        <f ca="1"/>
        <v>10W40</v>
      </c>
      <c r="AI391" t="str">
        <f ca="1"/>
        <v>3000</v>
      </c>
      <c r="AJ391">
        <f ca="1"/>
        <v>0</v>
      </c>
      <c r="AK391" t="str">
        <f ca="1"/>
        <v>20x1L</v>
      </c>
      <c r="AL391">
        <f ca="1"/>
        <v>23091</v>
      </c>
      <c r="AM391">
        <f ca="1"/>
        <v>5082.9130434782601</v>
      </c>
      <c r="AN391" t="str">
        <f ca="1"/>
        <v>O-45722-D-0023</v>
      </c>
      <c r="AO391" t="str">
        <f ca="1"/>
        <v>Delivered</v>
      </c>
    </row>
    <row r="392" spans="1:41" x14ac:dyDescent="0.5">
      <c r="A392" t="str">
        <f ca="1"/>
        <v>F-203</v>
      </c>
      <c r="B392" s="1">
        <f ca="1"/>
        <v>45722</v>
      </c>
      <c r="C392" t="str">
        <f ca="1"/>
        <v>D-0023</v>
      </c>
      <c r="D392" t="str">
        <f ca="1"/>
        <v>Ashik Motors</v>
      </c>
      <c r="E392" t="str">
        <f ca="1"/>
        <v>Rangpur Sadar</v>
      </c>
      <c r="F392">
        <f ca="1"/>
        <v>1732538253</v>
      </c>
      <c r="G392" t="str">
        <f ca="1"/>
        <v>Monirul Islam</v>
      </c>
      <c r="H392" t="str">
        <f ca="1"/>
        <v>Raihan Siddiqui</v>
      </c>
      <c r="I392" t="str">
        <f ca="1"/>
        <v>Bondhu Motors</v>
      </c>
      <c r="J392" t="str">
        <f ca="1"/>
        <v>Rangpur</v>
      </c>
      <c r="K392" t="str">
        <f ca="1"/>
        <v>LO00074</v>
      </c>
      <c r="L392" t="str">
        <f ca="1"/>
        <v>7100 4T 10W30 ESTER CORE®</v>
      </c>
      <c r="M392">
        <f ca="1"/>
        <v>12</v>
      </c>
      <c r="N392">
        <f ca="1"/>
        <v>1080</v>
      </c>
      <c r="O392">
        <f ca="1"/>
        <v>12</v>
      </c>
      <c r="P392">
        <f ca="1"/>
        <v>0</v>
      </c>
      <c r="Q392">
        <f ca="1"/>
        <v>0</v>
      </c>
      <c r="R392">
        <f ca="1"/>
        <v>1080</v>
      </c>
      <c r="S392">
        <f ca="1"/>
        <v>12</v>
      </c>
      <c r="T392">
        <f ca="1"/>
        <v>12</v>
      </c>
      <c r="U392">
        <f ca="1"/>
        <v>12960</v>
      </c>
      <c r="V392">
        <f ca="1"/>
        <v>0</v>
      </c>
      <c r="W392">
        <f ca="1"/>
        <v>12960</v>
      </c>
      <c r="X392">
        <f ca="1"/>
        <v>1690.4347826086957</v>
      </c>
      <c r="Y392">
        <f ca="1"/>
        <v>11269.565217391304</v>
      </c>
      <c r="Z392" t="str">
        <f ca="1"/>
        <v>Cash</v>
      </c>
      <c r="AA392">
        <f ca="1"/>
        <v>667</v>
      </c>
      <c r="AB392" t="str">
        <f ca="1"/>
        <v>Regular</v>
      </c>
      <c r="AC392">
        <f ca="1"/>
        <v>45727</v>
      </c>
      <c r="AD392" t="str">
        <f ca="1"/>
        <v/>
      </c>
      <c r="AE392" t="str">
        <f ca="1"/>
        <v>Northern</v>
      </c>
      <c r="AF392" t="str">
        <f ca="1"/>
        <v>Synthetic</v>
      </c>
      <c r="AG392" t="str">
        <f ca="1"/>
        <v>MCO</v>
      </c>
      <c r="AH392" t="str">
        <f ca="1"/>
        <v>10W30</v>
      </c>
      <c r="AI392" t="str">
        <f ca="1"/>
        <v>7100</v>
      </c>
      <c r="AJ392">
        <f ca="1"/>
        <v>0</v>
      </c>
      <c r="AK392" t="str">
        <f ca="1"/>
        <v>12x1L</v>
      </c>
      <c r="AL392">
        <f ca="1"/>
        <v>8278.32</v>
      </c>
      <c r="AM392">
        <f ca="1"/>
        <v>2991.2452173913043</v>
      </c>
      <c r="AN392" t="str">
        <f ca="1"/>
        <v>O-45722-D-0023</v>
      </c>
      <c r="AO392" t="str">
        <f ca="1"/>
        <v>Delivered</v>
      </c>
    </row>
    <row r="393" spans="1:41" x14ac:dyDescent="0.5">
      <c r="A393" t="str">
        <f ca="1"/>
        <v>F-205</v>
      </c>
      <c r="B393" s="1">
        <f ca="1"/>
        <v>45721</v>
      </c>
      <c r="C393" t="str">
        <f ca="1"/>
        <v>D-0021</v>
      </c>
      <c r="D393" t="str">
        <f ca="1"/>
        <v>Global trading</v>
      </c>
      <c r="E393" t="str">
        <f ca="1"/>
        <v>Jashore road</v>
      </c>
      <c r="F393" t="str">
        <f ca="1"/>
        <v>+8801712772877</v>
      </c>
      <c r="G393" t="str">
        <f ca="1"/>
        <v>Md. Mafsidul Haque(Rana)</v>
      </c>
      <c r="H393" t="str">
        <f ca="1"/>
        <v>Abdul Matin</v>
      </c>
      <c r="I393" t="str">
        <f ca="1"/>
        <v>Global Trading</v>
      </c>
      <c r="J393" t="str">
        <f ca="1"/>
        <v>Jashore Road</v>
      </c>
      <c r="K393" t="str">
        <f ca="1"/>
        <v>LO00041</v>
      </c>
      <c r="L393" t="str">
        <f ca="1"/>
        <v>3000 4T PLUS 10W30</v>
      </c>
      <c r="M393">
        <f ca="1"/>
        <v>40</v>
      </c>
      <c r="N393">
        <f ca="1"/>
        <v>540</v>
      </c>
      <c r="O393">
        <f ca="1"/>
        <v>40</v>
      </c>
      <c r="P393">
        <f ca="1"/>
        <v>3.240740740740744E-2</v>
      </c>
      <c r="Q393">
        <f ca="1"/>
        <v>0</v>
      </c>
      <c r="R393">
        <f ca="1"/>
        <v>522.5</v>
      </c>
      <c r="S393">
        <f ca="1"/>
        <v>40</v>
      </c>
      <c r="T393">
        <f ca="1"/>
        <v>40</v>
      </c>
      <c r="U393">
        <f ca="1"/>
        <v>21600</v>
      </c>
      <c r="V393">
        <f ca="1"/>
        <v>0</v>
      </c>
      <c r="W393">
        <f ca="1"/>
        <v>20900</v>
      </c>
      <c r="X393">
        <f ca="1"/>
        <v>2726.086956521739</v>
      </c>
      <c r="Y393">
        <f ca="1"/>
        <v>18173.91304347826</v>
      </c>
      <c r="Z393" t="str">
        <f ca="1"/>
        <v>Cash</v>
      </c>
      <c r="AA393">
        <f ca="1"/>
        <v>669</v>
      </c>
      <c r="AB393" t="str">
        <f ca="1"/>
        <v>Flat Discount</v>
      </c>
      <c r="AC393">
        <f ca="1"/>
        <v>45727</v>
      </c>
      <c r="AD393" t="str">
        <f ca="1"/>
        <v>2500 tk discount for "tekma turbo 20w50 18L =10pcs in previous delivery.</v>
      </c>
      <c r="AE393" t="str">
        <f ca="1"/>
        <v>Central</v>
      </c>
      <c r="AF393" t="str">
        <f ca="1"/>
        <v>Mineral</v>
      </c>
      <c r="AG393" t="str">
        <f ca="1"/>
        <v>MCO</v>
      </c>
      <c r="AH393" t="str">
        <f ca="1"/>
        <v>10W30</v>
      </c>
      <c r="AI393" t="str">
        <f ca="1"/>
        <v>3000</v>
      </c>
      <c r="AJ393">
        <f ca="1"/>
        <v>0</v>
      </c>
      <c r="AK393" t="str">
        <f ca="1"/>
        <v>20x1L</v>
      </c>
      <c r="AL393">
        <f ca="1"/>
        <v>15173.199999999999</v>
      </c>
      <c r="AM393">
        <f ca="1"/>
        <v>3000.7130434782612</v>
      </c>
      <c r="AN393" t="str">
        <f ca="1"/>
        <v>O-45721-D-0021</v>
      </c>
      <c r="AO393" t="str">
        <f ca="1"/>
        <v>Delivered</v>
      </c>
    </row>
    <row r="394" spans="1:41" x14ac:dyDescent="0.5">
      <c r="A394" t="str">
        <f ca="1"/>
        <v>F-205</v>
      </c>
      <c r="B394" s="1">
        <f ca="1"/>
        <v>45721</v>
      </c>
      <c r="C394" t="str">
        <f ca="1"/>
        <v>D-0021</v>
      </c>
      <c r="D394" t="str">
        <f ca="1"/>
        <v>Global trading</v>
      </c>
      <c r="E394" t="str">
        <f ca="1"/>
        <v>Jashore road</v>
      </c>
      <c r="F394" t="str">
        <f ca="1"/>
        <v>+8801712772877</v>
      </c>
      <c r="G394" t="str">
        <f ca="1"/>
        <v>Md. Mafsidul Haque(Rana)</v>
      </c>
      <c r="H394" t="str">
        <f ca="1"/>
        <v>Abdul Matin</v>
      </c>
      <c r="I394" t="str">
        <f ca="1"/>
        <v>Global Trading</v>
      </c>
      <c r="J394" t="str">
        <f ca="1"/>
        <v>Jashore Road</v>
      </c>
      <c r="K394" t="str">
        <f ca="1"/>
        <v>LO00042</v>
      </c>
      <c r="L394" t="str">
        <f ca="1"/>
        <v>3000 4T PLUS 20W40</v>
      </c>
      <c r="M394">
        <f ca="1"/>
        <v>40</v>
      </c>
      <c r="N394">
        <f ca="1"/>
        <v>535</v>
      </c>
      <c r="O394">
        <f ca="1"/>
        <v>40</v>
      </c>
      <c r="P394">
        <f ca="1"/>
        <v>3.2710280373831724E-2</v>
      </c>
      <c r="Q394">
        <f ca="1"/>
        <v>0</v>
      </c>
      <c r="R394">
        <f ca="1"/>
        <v>517.5</v>
      </c>
      <c r="S394">
        <f ca="1"/>
        <v>40</v>
      </c>
      <c r="T394">
        <f ca="1"/>
        <v>40</v>
      </c>
      <c r="U394">
        <f ca="1"/>
        <v>21400</v>
      </c>
      <c r="V394">
        <f ca="1"/>
        <v>0</v>
      </c>
      <c r="W394">
        <f ca="1"/>
        <v>20700</v>
      </c>
      <c r="X394">
        <f ca="1"/>
        <v>2700</v>
      </c>
      <c r="Y394">
        <f ca="1"/>
        <v>18000</v>
      </c>
      <c r="Z394" t="str">
        <f ca="1"/>
        <v>Cash</v>
      </c>
      <c r="AA394">
        <f ca="1"/>
        <v>669</v>
      </c>
      <c r="AB394" t="str">
        <f ca="1"/>
        <v>Flat Discount</v>
      </c>
      <c r="AC394">
        <f ca="1"/>
        <v>45727</v>
      </c>
      <c r="AD394" t="str">
        <f ca="1"/>
        <v>2500 tk discount for "tekma turbo 20w50 18L =10pcs in previous delivery.</v>
      </c>
      <c r="AE394" t="str">
        <f ca="1"/>
        <v>Central</v>
      </c>
      <c r="AF394" t="str">
        <f ca="1"/>
        <v>Mineral</v>
      </c>
      <c r="AG394" t="str">
        <f ca="1"/>
        <v>MCO</v>
      </c>
      <c r="AH394" t="str">
        <f ca="1"/>
        <v>20W40</v>
      </c>
      <c r="AI394" t="str">
        <f ca="1"/>
        <v>3000</v>
      </c>
      <c r="AJ394">
        <f ca="1"/>
        <v>0</v>
      </c>
      <c r="AK394" t="str">
        <f ca="1"/>
        <v>20x1L</v>
      </c>
      <c r="AL394">
        <f ca="1"/>
        <v>16510.400000000001</v>
      </c>
      <c r="AM394">
        <f ca="1"/>
        <v>1489.5999999999985</v>
      </c>
      <c r="AN394" t="str">
        <f ca="1"/>
        <v>O-45721-D-0021</v>
      </c>
      <c r="AO394" t="str">
        <f ca="1"/>
        <v>Delivered</v>
      </c>
    </row>
    <row r="395" spans="1:41" x14ac:dyDescent="0.5">
      <c r="A395" t="str">
        <f ca="1"/>
        <v>F-205</v>
      </c>
      <c r="B395" s="1">
        <f ca="1"/>
        <v>45721</v>
      </c>
      <c r="C395" t="str">
        <f ca="1"/>
        <v>D-0021</v>
      </c>
      <c r="D395" t="str">
        <f ca="1"/>
        <v>Global trading</v>
      </c>
      <c r="E395" t="str">
        <f ca="1"/>
        <v>Jashore road</v>
      </c>
      <c r="F395" t="str">
        <f ca="1"/>
        <v>+8801712772877</v>
      </c>
      <c r="G395" t="str">
        <f ca="1"/>
        <v>Md. Mafsidul Haque(Rana)</v>
      </c>
      <c r="H395" t="str">
        <f ca="1"/>
        <v>Abdul Matin</v>
      </c>
      <c r="I395" t="str">
        <f ca="1"/>
        <v>Global Trading</v>
      </c>
      <c r="J395" t="str">
        <f ca="1"/>
        <v>Jashore Road</v>
      </c>
      <c r="K395" t="str">
        <f ca="1"/>
        <v>LO00043</v>
      </c>
      <c r="L395" t="str">
        <f ca="1"/>
        <v>3000 4T PLUS 10W40</v>
      </c>
      <c r="M395">
        <f ca="1"/>
        <v>120</v>
      </c>
      <c r="N395">
        <f ca="1"/>
        <v>550</v>
      </c>
      <c r="O395">
        <f ca="1"/>
        <v>120</v>
      </c>
      <c r="P395">
        <f ca="1"/>
        <v>3.1818181818181857E-2</v>
      </c>
      <c r="Q395">
        <f ca="1"/>
        <v>0</v>
      </c>
      <c r="R395">
        <f ca="1"/>
        <v>532.5</v>
      </c>
      <c r="S395">
        <f ca="1"/>
        <v>120</v>
      </c>
      <c r="T395">
        <f ca="1"/>
        <v>120</v>
      </c>
      <c r="U395">
        <f ca="1"/>
        <v>66000</v>
      </c>
      <c r="V395">
        <f ca="1"/>
        <v>0</v>
      </c>
      <c r="W395">
        <f ca="1"/>
        <v>63900</v>
      </c>
      <c r="X395">
        <f ca="1"/>
        <v>8334.782608695652</v>
      </c>
      <c r="Y395">
        <f ca="1"/>
        <v>55565.217391304344</v>
      </c>
      <c r="Z395" t="str">
        <f ca="1"/>
        <v>Cash</v>
      </c>
      <c r="AA395">
        <f ca="1"/>
        <v>669</v>
      </c>
      <c r="AB395" t="str">
        <f ca="1"/>
        <v>Flat Discount</v>
      </c>
      <c r="AC395">
        <f ca="1"/>
        <v>45727</v>
      </c>
      <c r="AD395" t="str">
        <f ca="1"/>
        <v>2500 tk discount for "tekma turbo 20w50 18L =10pcs in previous delivery.</v>
      </c>
      <c r="AE395" t="str">
        <f ca="1"/>
        <v>Central</v>
      </c>
      <c r="AF395" t="str">
        <f ca="1"/>
        <v>Mineral</v>
      </c>
      <c r="AG395" t="str">
        <f ca="1"/>
        <v>MCO</v>
      </c>
      <c r="AH395" t="str">
        <f ca="1"/>
        <v>10W40</v>
      </c>
      <c r="AI395" t="str">
        <f ca="1"/>
        <v>3000</v>
      </c>
      <c r="AJ395">
        <f ca="1"/>
        <v>0</v>
      </c>
      <c r="AK395" t="str">
        <f ca="1"/>
        <v>20x1L</v>
      </c>
      <c r="AL395">
        <f ca="1"/>
        <v>46182</v>
      </c>
      <c r="AM395">
        <f ca="1"/>
        <v>9383.2173913043443</v>
      </c>
      <c r="AN395" t="str">
        <f ca="1"/>
        <v>O-45721-D-0021</v>
      </c>
      <c r="AO395" t="str">
        <f ca="1"/>
        <v>Delivered</v>
      </c>
    </row>
    <row r="396" spans="1:41" x14ac:dyDescent="0.5">
      <c r="A396" t="str">
        <f ca="1"/>
        <v>F-208</v>
      </c>
      <c r="B396" s="1">
        <f ca="1"/>
        <v>45727</v>
      </c>
      <c r="C396" t="str">
        <f ca="1"/>
        <v>D-0003</v>
      </c>
      <c r="D396" t="str">
        <f ca="1"/>
        <v>Parts Gallery</v>
      </c>
      <c r="E396" t="str">
        <f ca="1"/>
        <v>Sheikhpara, Temokhi, Sylhet</v>
      </c>
      <c r="F396" t="str">
        <f ca="1"/>
        <v>01776-500709</v>
      </c>
      <c r="G396" t="str">
        <f ca="1"/>
        <v>Md. Robin Sheikh</v>
      </c>
      <c r="H396" t="str">
        <f ca="1"/>
        <v>Razur Rahman (Bipul)</v>
      </c>
      <c r="I396" t="str">
        <f ca="1"/>
        <v>Bajaj Parts Center</v>
      </c>
      <c r="J396" t="str">
        <f ca="1"/>
        <v>Taltola</v>
      </c>
      <c r="K396" t="str">
        <f ca="1"/>
        <v>LO00041</v>
      </c>
      <c r="L396" t="str">
        <f ca="1"/>
        <v>3000 4T PLUS 10W30</v>
      </c>
      <c r="M396">
        <f ca="1"/>
        <v>20</v>
      </c>
      <c r="N396">
        <f ca="1"/>
        <v>540</v>
      </c>
      <c r="O396">
        <f ca="1"/>
        <v>20</v>
      </c>
      <c r="P396">
        <f ca="1"/>
        <v>0</v>
      </c>
      <c r="Q396">
        <f ca="1"/>
        <v>0</v>
      </c>
      <c r="R396">
        <f ca="1"/>
        <v>540</v>
      </c>
      <c r="S396">
        <f ca="1"/>
        <v>20</v>
      </c>
      <c r="T396">
        <f ca="1"/>
        <v>20</v>
      </c>
      <c r="U396">
        <f ca="1"/>
        <v>10800</v>
      </c>
      <c r="V396">
        <f ca="1"/>
        <v>0</v>
      </c>
      <c r="W396">
        <f ca="1"/>
        <v>10800</v>
      </c>
      <c r="X396">
        <f ca="1"/>
        <v>1408.695652173913</v>
      </c>
      <c r="Y396">
        <f ca="1"/>
        <v>9391.3043478260861</v>
      </c>
      <c r="Z396" t="str">
        <f ca="1"/>
        <v>Cash</v>
      </c>
      <c r="AA396">
        <f ca="1"/>
        <v>672</v>
      </c>
      <c r="AB396" t="str">
        <f ca="1"/>
        <v>Regular</v>
      </c>
      <c r="AC396">
        <f ca="1"/>
        <v>45728</v>
      </c>
      <c r="AD396" t="str">
        <f ca="1"/>
        <v>Home Delivey by Shodagor/Sundarban Courrier</v>
      </c>
      <c r="AE396" t="str">
        <f ca="1"/>
        <v>Eastern</v>
      </c>
      <c r="AF396" t="str">
        <f ca="1"/>
        <v>Mineral</v>
      </c>
      <c r="AG396" t="str">
        <f ca="1"/>
        <v>MCO</v>
      </c>
      <c r="AH396" t="str">
        <f ca="1"/>
        <v>10W30</v>
      </c>
      <c r="AI396" t="str">
        <f ca="1"/>
        <v>3000</v>
      </c>
      <c r="AJ396">
        <f ca="1"/>
        <v>0</v>
      </c>
      <c r="AK396" t="str">
        <f ca="1"/>
        <v>20x1L</v>
      </c>
      <c r="AL396">
        <f ca="1"/>
        <v>7586.5999999999995</v>
      </c>
      <c r="AM396">
        <f ca="1"/>
        <v>1804.7043478260866</v>
      </c>
      <c r="AN396" t="str">
        <f ca="1"/>
        <v>O-45727-D-0003</v>
      </c>
      <c r="AO396" t="str">
        <f ca="1"/>
        <v>Delivered</v>
      </c>
    </row>
    <row r="397" spans="1:41" x14ac:dyDescent="0.5">
      <c r="A397" t="str">
        <f ca="1"/>
        <v>F-208</v>
      </c>
      <c r="B397" s="1">
        <f ca="1"/>
        <v>45727</v>
      </c>
      <c r="C397" t="str">
        <f ca="1"/>
        <v>D-0003</v>
      </c>
      <c r="D397" t="str">
        <f ca="1"/>
        <v>Parts Gallery</v>
      </c>
      <c r="E397" t="str">
        <f ca="1"/>
        <v>Sheikhpara, Temokhi, Sylhet</v>
      </c>
      <c r="F397" t="str">
        <f ca="1"/>
        <v>01776-500709</v>
      </c>
      <c r="G397" t="str">
        <f ca="1"/>
        <v>Md. Robin Sheikh</v>
      </c>
      <c r="H397" t="str">
        <f ca="1"/>
        <v>Razur Rahman (Bipul)</v>
      </c>
      <c r="I397" t="str">
        <f ca="1"/>
        <v>Bajaj Parts Center</v>
      </c>
      <c r="J397" t="str">
        <f ca="1"/>
        <v>Taltola</v>
      </c>
      <c r="K397" t="str">
        <f ca="1"/>
        <v>LO00043</v>
      </c>
      <c r="L397" t="str">
        <f ca="1"/>
        <v>3000 4T PLUS 10W40</v>
      </c>
      <c r="M397">
        <f ca="1"/>
        <v>20</v>
      </c>
      <c r="N397">
        <f ca="1"/>
        <v>540</v>
      </c>
      <c r="O397">
        <f ca="1"/>
        <v>20</v>
      </c>
      <c r="P397">
        <f ca="1"/>
        <v>0</v>
      </c>
      <c r="Q397">
        <f ca="1"/>
        <v>0</v>
      </c>
      <c r="R397">
        <f ca="1"/>
        <v>540</v>
      </c>
      <c r="S397">
        <f ca="1"/>
        <v>20</v>
      </c>
      <c r="T397">
        <f ca="1"/>
        <v>20</v>
      </c>
      <c r="U397">
        <f ca="1"/>
        <v>10800</v>
      </c>
      <c r="V397">
        <f ca="1"/>
        <v>0</v>
      </c>
      <c r="W397">
        <f ca="1"/>
        <v>10800</v>
      </c>
      <c r="X397">
        <f ca="1"/>
        <v>1408.695652173913</v>
      </c>
      <c r="Y397">
        <f ca="1"/>
        <v>9391.3043478260861</v>
      </c>
      <c r="Z397" t="str">
        <f ca="1"/>
        <v>Cash</v>
      </c>
      <c r="AA397">
        <f ca="1"/>
        <v>672</v>
      </c>
      <c r="AB397" t="str">
        <f ca="1"/>
        <v>Regular</v>
      </c>
      <c r="AC397">
        <f ca="1"/>
        <v>45728</v>
      </c>
      <c r="AD397" t="str">
        <f ca="1"/>
        <v>Home Delivey by Shodagor/Sundarban Courrier</v>
      </c>
      <c r="AE397" t="str">
        <f ca="1"/>
        <v>Eastern</v>
      </c>
      <c r="AF397" t="str">
        <f ca="1"/>
        <v>Mineral</v>
      </c>
      <c r="AG397" t="str">
        <f ca="1"/>
        <v>MCO</v>
      </c>
      <c r="AH397" t="str">
        <f ca="1"/>
        <v>10W40</v>
      </c>
      <c r="AI397" t="str">
        <f ca="1"/>
        <v>3000</v>
      </c>
      <c r="AJ397">
        <f ca="1"/>
        <v>0</v>
      </c>
      <c r="AK397" t="str">
        <f ca="1"/>
        <v>20x1L</v>
      </c>
      <c r="AL397">
        <f ca="1"/>
        <v>7697</v>
      </c>
      <c r="AM397">
        <f ca="1"/>
        <v>1694.3043478260861</v>
      </c>
      <c r="AN397" t="str">
        <f ca="1"/>
        <v>O-45727-D-0003</v>
      </c>
      <c r="AO397" t="str">
        <f ca="1"/>
        <v>Delivered</v>
      </c>
    </row>
    <row r="398" spans="1:41" x14ac:dyDescent="0.5">
      <c r="A398" t="str">
        <f ca="1"/>
        <v>F-208</v>
      </c>
      <c r="B398" s="1">
        <f ca="1"/>
        <v>45727</v>
      </c>
      <c r="C398" t="str">
        <f ca="1"/>
        <v>D-0003</v>
      </c>
      <c r="D398" t="str">
        <f ca="1"/>
        <v>Parts Gallery</v>
      </c>
      <c r="E398" t="str">
        <f ca="1"/>
        <v>Sheikhpara, Temokhi, Sylhet</v>
      </c>
      <c r="F398" t="str">
        <f ca="1"/>
        <v>01776-500709</v>
      </c>
      <c r="G398" t="str">
        <f ca="1"/>
        <v>Md. Robin Sheikh</v>
      </c>
      <c r="H398" t="str">
        <f ca="1"/>
        <v>Razur Rahman (Bipul)</v>
      </c>
      <c r="I398" t="str">
        <f ca="1"/>
        <v>Bajaj Parts Center</v>
      </c>
      <c r="J398" t="str">
        <f ca="1"/>
        <v>Taltola</v>
      </c>
      <c r="K398" t="str">
        <f ca="1"/>
        <v>LO00045</v>
      </c>
      <c r="L398" t="str">
        <f ca="1"/>
        <v>51004T 10W30 ESTER</v>
      </c>
      <c r="M398">
        <f ca="1"/>
        <v>24</v>
      </c>
      <c r="N398">
        <f ca="1"/>
        <v>860</v>
      </c>
      <c r="O398">
        <f ca="1"/>
        <v>24</v>
      </c>
      <c r="P398">
        <f ca="1"/>
        <v>0</v>
      </c>
      <c r="Q398">
        <f ca="1"/>
        <v>0</v>
      </c>
      <c r="R398">
        <f ca="1"/>
        <v>860</v>
      </c>
      <c r="S398">
        <f ca="1"/>
        <v>24</v>
      </c>
      <c r="T398">
        <f ca="1"/>
        <v>24</v>
      </c>
      <c r="U398">
        <f ca="1"/>
        <v>20640</v>
      </c>
      <c r="V398">
        <f ca="1"/>
        <v>0</v>
      </c>
      <c r="W398">
        <f ca="1"/>
        <v>20640</v>
      </c>
      <c r="X398">
        <f ca="1"/>
        <v>2692.1739130434785</v>
      </c>
      <c r="Y398">
        <f ca="1"/>
        <v>17947.82608695652</v>
      </c>
      <c r="Z398" t="str">
        <f ca="1"/>
        <v>Cash</v>
      </c>
      <c r="AA398">
        <f ca="1"/>
        <v>672</v>
      </c>
      <c r="AB398" t="str">
        <f ca="1"/>
        <v>Regular</v>
      </c>
      <c r="AC398">
        <f ca="1"/>
        <v>45728</v>
      </c>
      <c r="AD398" t="str">
        <f ca="1"/>
        <v>Home Delivey by Shodagor/Sundarban Courrier</v>
      </c>
      <c r="AE398" t="str">
        <f ca="1"/>
        <v>Eastern</v>
      </c>
      <c r="AF398" t="str">
        <f ca="1"/>
        <v>Technosynthese</v>
      </c>
      <c r="AG398" t="str">
        <f ca="1"/>
        <v>MCO</v>
      </c>
      <c r="AH398" t="str">
        <f ca="1"/>
        <v>10W30</v>
      </c>
      <c r="AI398" t="str">
        <f ca="1"/>
        <v>5100</v>
      </c>
      <c r="AJ398">
        <f ca="1"/>
        <v>0</v>
      </c>
      <c r="AK398" t="str">
        <f ca="1"/>
        <v>12x1L</v>
      </c>
      <c r="AL398">
        <f ca="1"/>
        <v>14463.36</v>
      </c>
      <c r="AM398">
        <f ca="1"/>
        <v>3484.4660869565196</v>
      </c>
      <c r="AN398" t="str">
        <f ca="1"/>
        <v>O-45727-D-0003</v>
      </c>
      <c r="AO398" t="str">
        <f ca="1"/>
        <v>Delivered</v>
      </c>
    </row>
    <row r="399" spans="1:41" x14ac:dyDescent="0.5">
      <c r="A399" t="str">
        <f ca="1"/>
        <v>F-208</v>
      </c>
      <c r="B399" s="1">
        <f ca="1"/>
        <v>45727</v>
      </c>
      <c r="C399" t="str">
        <f ca="1"/>
        <v>D-0003</v>
      </c>
      <c r="D399" t="str">
        <f ca="1"/>
        <v>Parts Gallery</v>
      </c>
      <c r="E399" t="str">
        <f ca="1"/>
        <v>Sheikhpara, Temokhi, Sylhet</v>
      </c>
      <c r="F399" t="str">
        <f ca="1"/>
        <v>01776-500709</v>
      </c>
      <c r="G399" t="str">
        <f ca="1"/>
        <v>Md. Robin Sheikh</v>
      </c>
      <c r="H399" t="str">
        <f ca="1"/>
        <v>Razur Rahman (Bipul)</v>
      </c>
      <c r="I399" t="str">
        <f ca="1"/>
        <v>Bajaj Parts Center</v>
      </c>
      <c r="J399" t="str">
        <f ca="1"/>
        <v>Taltola</v>
      </c>
      <c r="K399" t="str">
        <f ca="1"/>
        <v>LO00074</v>
      </c>
      <c r="L399" t="str">
        <f ca="1"/>
        <v>7100 4T 10W30 ESTER CORE®</v>
      </c>
      <c r="M399">
        <f ca="1"/>
        <v>24</v>
      </c>
      <c r="N399">
        <f ca="1"/>
        <v>1080</v>
      </c>
      <c r="O399">
        <f ca="1"/>
        <v>24</v>
      </c>
      <c r="P399">
        <f ca="1"/>
        <v>0</v>
      </c>
      <c r="Q399">
        <f ca="1"/>
        <v>0</v>
      </c>
      <c r="R399">
        <f ca="1"/>
        <v>1080</v>
      </c>
      <c r="S399">
        <f ca="1"/>
        <v>24</v>
      </c>
      <c r="T399">
        <f ca="1"/>
        <v>24</v>
      </c>
      <c r="U399">
        <f ca="1"/>
        <v>25920</v>
      </c>
      <c r="V399">
        <f ca="1"/>
        <v>0</v>
      </c>
      <c r="W399">
        <f ca="1"/>
        <v>25920</v>
      </c>
      <c r="X399">
        <f ca="1"/>
        <v>3380.8695652173915</v>
      </c>
      <c r="Y399">
        <f ca="1"/>
        <v>22539.130434782608</v>
      </c>
      <c r="Z399" t="str">
        <f ca="1"/>
        <v>Cash</v>
      </c>
      <c r="AA399">
        <f ca="1"/>
        <v>672</v>
      </c>
      <c r="AB399" t="str">
        <f ca="1"/>
        <v>Regular</v>
      </c>
      <c r="AC399">
        <f ca="1"/>
        <v>45728</v>
      </c>
      <c r="AD399" t="str">
        <f ca="1"/>
        <v>Home Delivey by Shodagor/Sundarban Courrier</v>
      </c>
      <c r="AE399" t="str">
        <f ca="1"/>
        <v>Eastern</v>
      </c>
      <c r="AF399" t="str">
        <f ca="1"/>
        <v>Synthetic</v>
      </c>
      <c r="AG399" t="str">
        <f ca="1"/>
        <v>MCO</v>
      </c>
      <c r="AH399" t="str">
        <f ca="1"/>
        <v>10W30</v>
      </c>
      <c r="AI399" t="str">
        <f ca="1"/>
        <v>7100</v>
      </c>
      <c r="AJ399">
        <f ca="1"/>
        <v>0</v>
      </c>
      <c r="AK399" t="str">
        <f ca="1"/>
        <v>12x1L</v>
      </c>
      <c r="AL399">
        <f ca="1"/>
        <v>16556.64</v>
      </c>
      <c r="AM399">
        <f ca="1"/>
        <v>5982.4904347826086</v>
      </c>
      <c r="AN399" t="str">
        <f ca="1"/>
        <v>O-45727-D-0003</v>
      </c>
      <c r="AO399" t="str">
        <f ca="1"/>
        <v>Delivered</v>
      </c>
    </row>
    <row r="400" spans="1:41" x14ac:dyDescent="0.5">
      <c r="A400" t="str">
        <f ca="1"/>
        <v>F-209</v>
      </c>
      <c r="B400" s="1">
        <f ca="1"/>
        <v>45727</v>
      </c>
      <c r="C400" t="str">
        <f ca="1"/>
        <v>D-0023</v>
      </c>
      <c r="D400" t="str">
        <f ca="1"/>
        <v xml:space="preserve">Bondhu Motors and Mobil Ghor </v>
      </c>
      <c r="E400" t="str">
        <f ca="1"/>
        <v>Salo Market, Rangpur</v>
      </c>
      <c r="F400">
        <f ca="1"/>
        <v>1737144950</v>
      </c>
      <c r="G400" t="str">
        <f ca="1"/>
        <v>Monirul Islam</v>
      </c>
      <c r="H400" t="str">
        <f ca="1"/>
        <v>Raihan Siddiqui</v>
      </c>
      <c r="I400" t="str">
        <f ca="1"/>
        <v>Bondhu Motors</v>
      </c>
      <c r="J400" t="str">
        <f ca="1"/>
        <v>Rangpur</v>
      </c>
      <c r="K400" t="str">
        <f ca="1"/>
        <v>LO00041</v>
      </c>
      <c r="L400" t="str">
        <f ca="1"/>
        <v>3000 4T PLUS 10W30</v>
      </c>
      <c r="M400">
        <f ca="1"/>
        <v>80</v>
      </c>
      <c r="N400">
        <f ca="1"/>
        <v>540</v>
      </c>
      <c r="O400">
        <f ca="1"/>
        <v>80</v>
      </c>
      <c r="P400">
        <f ca="1"/>
        <v>9.2592592592593004E-3</v>
      </c>
      <c r="Q400">
        <f ca="1"/>
        <v>0</v>
      </c>
      <c r="R400">
        <f ca="1"/>
        <v>535</v>
      </c>
      <c r="S400">
        <f ca="1"/>
        <v>80</v>
      </c>
      <c r="T400">
        <f ca="1"/>
        <v>80</v>
      </c>
      <c r="U400">
        <f ca="1"/>
        <v>43200</v>
      </c>
      <c r="V400">
        <f ca="1"/>
        <v>0</v>
      </c>
      <c r="W400">
        <f ca="1"/>
        <v>42800</v>
      </c>
      <c r="X400">
        <f ca="1"/>
        <v>5582.608695652174</v>
      </c>
      <c r="Y400">
        <f ca="1"/>
        <v>37217.391304347824</v>
      </c>
      <c r="Z400" t="str">
        <f ca="1"/>
        <v>Cash</v>
      </c>
      <c r="AA400">
        <f ca="1"/>
        <v>673</v>
      </c>
      <c r="AB400" t="str">
        <f ca="1"/>
        <v>Regular</v>
      </c>
      <c r="AC400">
        <f ca="1"/>
        <v>45728</v>
      </c>
      <c r="AD400" t="str">
        <f ca="1"/>
        <v/>
      </c>
      <c r="AE400" t="str">
        <f ca="1"/>
        <v>Northern</v>
      </c>
      <c r="AF400" t="str">
        <f ca="1"/>
        <v>Mineral</v>
      </c>
      <c r="AG400" t="str">
        <f ca="1"/>
        <v>MCO</v>
      </c>
      <c r="AH400" t="str">
        <f ca="1"/>
        <v>10W30</v>
      </c>
      <c r="AI400" t="str">
        <f ca="1"/>
        <v>3000</v>
      </c>
      <c r="AJ400">
        <f ca="1"/>
        <v>0</v>
      </c>
      <c r="AK400" t="str">
        <f ca="1"/>
        <v>20x1L</v>
      </c>
      <c r="AL400">
        <f ca="1"/>
        <v>30346.399999999998</v>
      </c>
      <c r="AM400">
        <f ca="1"/>
        <v>6870.9913043478264</v>
      </c>
      <c r="AN400" t="str">
        <f ca="1"/>
        <v>O-45727-D-0023</v>
      </c>
      <c r="AO400" t="str">
        <f ca="1"/>
        <v>Delivered</v>
      </c>
    </row>
    <row r="401" spans="1:41" x14ac:dyDescent="0.5">
      <c r="A401" t="str">
        <f ca="1"/>
        <v>F-209</v>
      </c>
      <c r="B401" s="1">
        <f ca="1"/>
        <v>45727</v>
      </c>
      <c r="C401" t="str">
        <f ca="1"/>
        <v>D-0023</v>
      </c>
      <c r="D401" t="str">
        <f ca="1"/>
        <v xml:space="preserve">Bondhu Motors and Mobil Ghor </v>
      </c>
      <c r="E401" t="str">
        <f ca="1"/>
        <v>Salo Market, Rangpur</v>
      </c>
      <c r="F401">
        <f ca="1"/>
        <v>1737144950</v>
      </c>
      <c r="G401" t="str">
        <f ca="1"/>
        <v>Monirul Islam</v>
      </c>
      <c r="H401" t="str">
        <f ca="1"/>
        <v>Raihan Siddiqui</v>
      </c>
      <c r="I401" t="str">
        <f ca="1"/>
        <v>Bondhu Motors</v>
      </c>
      <c r="J401" t="str">
        <f ca="1"/>
        <v>Rangpur</v>
      </c>
      <c r="K401" t="str">
        <f ca="1"/>
        <v>LO00043</v>
      </c>
      <c r="L401" t="str">
        <f ca="1"/>
        <v>3000 4T PLUS 10W40</v>
      </c>
      <c r="M401">
        <f ca="1"/>
        <v>260</v>
      </c>
      <c r="N401">
        <f ca="1"/>
        <v>540</v>
      </c>
      <c r="O401">
        <f ca="1"/>
        <v>260</v>
      </c>
      <c r="P401">
        <f ca="1"/>
        <v>9.2592592592593004E-3</v>
      </c>
      <c r="Q401">
        <f ca="1"/>
        <v>0</v>
      </c>
      <c r="R401">
        <f ca="1"/>
        <v>535</v>
      </c>
      <c r="S401">
        <f ca="1"/>
        <v>260</v>
      </c>
      <c r="T401">
        <f ca="1"/>
        <v>260</v>
      </c>
      <c r="U401">
        <f ca="1"/>
        <v>140400</v>
      </c>
      <c r="V401">
        <f ca="1"/>
        <v>0</v>
      </c>
      <c r="W401">
        <f ca="1"/>
        <v>139100</v>
      </c>
      <c r="X401">
        <f ca="1"/>
        <v>18143.478260869564</v>
      </c>
      <c r="Y401">
        <f ca="1"/>
        <v>120956.52173913043</v>
      </c>
      <c r="Z401" t="str">
        <f ca="1"/>
        <v>Cash</v>
      </c>
      <c r="AA401">
        <f ca="1"/>
        <v>673</v>
      </c>
      <c r="AB401" t="str">
        <f ca="1"/>
        <v>Regular</v>
      </c>
      <c r="AC401">
        <f ca="1"/>
        <v>45728</v>
      </c>
      <c r="AD401" t="str">
        <f ca="1"/>
        <v/>
      </c>
      <c r="AE401" t="str">
        <f ca="1"/>
        <v>Northern</v>
      </c>
      <c r="AF401" t="str">
        <f ca="1"/>
        <v>Mineral</v>
      </c>
      <c r="AG401" t="str">
        <f ca="1"/>
        <v>MCO</v>
      </c>
      <c r="AH401" t="str">
        <f ca="1"/>
        <v>10W40</v>
      </c>
      <c r="AI401" t="str">
        <f ca="1"/>
        <v>3000</v>
      </c>
      <c r="AJ401">
        <f ca="1"/>
        <v>0</v>
      </c>
      <c r="AK401" t="str">
        <f ca="1"/>
        <v>20x1L</v>
      </c>
      <c r="AL401">
        <f ca="1"/>
        <v>100061</v>
      </c>
      <c r="AM401">
        <f ca="1"/>
        <v>20895.521739130432</v>
      </c>
      <c r="AN401" t="str">
        <f ca="1"/>
        <v>O-45727-D-0023</v>
      </c>
      <c r="AO401" t="str">
        <f ca="1"/>
        <v>Delivered</v>
      </c>
    </row>
    <row r="402" spans="1:41" x14ac:dyDescent="0.5">
      <c r="A402" t="str">
        <f ca="1"/>
        <v>F-209</v>
      </c>
      <c r="B402" s="1">
        <f ca="1"/>
        <v>45727</v>
      </c>
      <c r="C402" t="str">
        <f ca="1"/>
        <v>D-0023</v>
      </c>
      <c r="D402" t="str">
        <f ca="1"/>
        <v xml:space="preserve">Bondhu Motors and Mobil Ghor </v>
      </c>
      <c r="E402" t="str">
        <f ca="1"/>
        <v>Salo Market, Rangpur</v>
      </c>
      <c r="F402">
        <f ca="1"/>
        <v>1737144950</v>
      </c>
      <c r="G402" t="str">
        <f ca="1"/>
        <v>Monirul Islam</v>
      </c>
      <c r="H402" t="str">
        <f ca="1"/>
        <v>Raihan Siddiqui</v>
      </c>
      <c r="I402" t="str">
        <f ca="1"/>
        <v>Bondhu Motors</v>
      </c>
      <c r="J402" t="str">
        <f ca="1"/>
        <v>Rangpur</v>
      </c>
      <c r="K402" t="str">
        <f ca="1"/>
        <v>LO00074</v>
      </c>
      <c r="L402" t="str">
        <f ca="1"/>
        <v>7100 4T 10W30 ESTER CORE®</v>
      </c>
      <c r="M402">
        <f ca="1"/>
        <v>24</v>
      </c>
      <c r="N402">
        <f ca="1"/>
        <v>1075</v>
      </c>
      <c r="O402">
        <f ca="1"/>
        <v>24</v>
      </c>
      <c r="P402">
        <f ca="1"/>
        <v>4.6511627906976605E-3</v>
      </c>
      <c r="Q402">
        <f ca="1"/>
        <v>0</v>
      </c>
      <c r="R402">
        <f ca="1"/>
        <v>1070</v>
      </c>
      <c r="S402">
        <f ca="1"/>
        <v>24</v>
      </c>
      <c r="T402">
        <f ca="1"/>
        <v>24</v>
      </c>
      <c r="U402">
        <f ca="1"/>
        <v>25800</v>
      </c>
      <c r="V402">
        <f ca="1"/>
        <v>0</v>
      </c>
      <c r="W402">
        <f ca="1"/>
        <v>25680</v>
      </c>
      <c r="X402">
        <f ca="1"/>
        <v>3349.5652173913045</v>
      </c>
      <c r="Y402">
        <f ca="1"/>
        <v>22330.434782608696</v>
      </c>
      <c r="Z402" t="str">
        <f ca="1"/>
        <v>Cash</v>
      </c>
      <c r="AA402">
        <f ca="1"/>
        <v>673</v>
      </c>
      <c r="AB402" t="str">
        <f ca="1"/>
        <v>Regular</v>
      </c>
      <c r="AC402">
        <f ca="1"/>
        <v>45728</v>
      </c>
      <c r="AD402" t="str">
        <f ca="1"/>
        <v/>
      </c>
      <c r="AE402" t="str">
        <f ca="1"/>
        <v>Northern</v>
      </c>
      <c r="AF402" t="str">
        <f ca="1"/>
        <v>Synthetic</v>
      </c>
      <c r="AG402" t="str">
        <f ca="1"/>
        <v>MCO</v>
      </c>
      <c r="AH402" t="str">
        <f ca="1"/>
        <v>10W30</v>
      </c>
      <c r="AI402" t="str">
        <f ca="1"/>
        <v>7100</v>
      </c>
      <c r="AJ402">
        <f ca="1"/>
        <v>0</v>
      </c>
      <c r="AK402" t="str">
        <f ca="1"/>
        <v>12x1L</v>
      </c>
      <c r="AL402">
        <f ca="1"/>
        <v>16556.64</v>
      </c>
      <c r="AM402">
        <f ca="1"/>
        <v>5773.7947826086966</v>
      </c>
      <c r="AN402" t="str">
        <f ca="1"/>
        <v>O-45727-D-0023</v>
      </c>
      <c r="AO402" t="str">
        <f ca="1"/>
        <v>Delivered</v>
      </c>
    </row>
    <row r="403" spans="1:41" x14ac:dyDescent="0.5">
      <c r="A403" t="str">
        <f ca="1"/>
        <v>F-209</v>
      </c>
      <c r="B403" s="1">
        <f ca="1"/>
        <v>45727</v>
      </c>
      <c r="C403" t="str">
        <f ca="1"/>
        <v>D-0023</v>
      </c>
      <c r="D403" t="str">
        <f ca="1"/>
        <v xml:space="preserve">Bondhu Motors and Mobil Ghor </v>
      </c>
      <c r="E403" t="str">
        <f ca="1"/>
        <v>Salo Market, Rangpur</v>
      </c>
      <c r="F403">
        <f ca="1"/>
        <v>1737144950</v>
      </c>
      <c r="G403" t="str">
        <f ca="1"/>
        <v>Monirul Islam</v>
      </c>
      <c r="H403" t="str">
        <f ca="1"/>
        <v>Raihan Siddiqui</v>
      </c>
      <c r="I403" t="str">
        <f ca="1"/>
        <v>Bondhu Motors</v>
      </c>
      <c r="J403" t="str">
        <f ca="1"/>
        <v>Rangpur</v>
      </c>
      <c r="K403" t="str">
        <f ca="1"/>
        <v>LO00048</v>
      </c>
      <c r="L403" t="str">
        <f ca="1"/>
        <v>7100 4T 20W50 ESTER CORE®</v>
      </c>
      <c r="M403">
        <f ca="1"/>
        <v>12</v>
      </c>
      <c r="N403">
        <f ca="1"/>
        <v>1075</v>
      </c>
      <c r="O403">
        <f ca="1"/>
        <v>12</v>
      </c>
      <c r="P403">
        <f ca="1"/>
        <v>4.6511627906976605E-3</v>
      </c>
      <c r="Q403">
        <f ca="1"/>
        <v>0</v>
      </c>
      <c r="R403">
        <f ca="1"/>
        <v>1070</v>
      </c>
      <c r="S403">
        <f ca="1"/>
        <v>12</v>
      </c>
      <c r="T403">
        <f ca="1"/>
        <v>12</v>
      </c>
      <c r="U403">
        <f ca="1"/>
        <v>12900</v>
      </c>
      <c r="V403">
        <f ca="1"/>
        <v>0</v>
      </c>
      <c r="W403">
        <f ca="1"/>
        <v>12840</v>
      </c>
      <c r="X403">
        <f ca="1"/>
        <v>1674.7826086956522</v>
      </c>
      <c r="Y403">
        <f ca="1"/>
        <v>11165.217391304348</v>
      </c>
      <c r="Z403" t="str">
        <f ca="1"/>
        <v>Cash</v>
      </c>
      <c r="AA403">
        <f ca="1"/>
        <v>673</v>
      </c>
      <c r="AB403" t="str">
        <f ca="1"/>
        <v>Regular</v>
      </c>
      <c r="AC403">
        <f ca="1"/>
        <v>45728</v>
      </c>
      <c r="AD403" t="str">
        <f ca="1"/>
        <v/>
      </c>
      <c r="AE403" t="str">
        <f ca="1"/>
        <v>Northern</v>
      </c>
      <c r="AF403" t="str">
        <f ca="1"/>
        <v>Synthetic</v>
      </c>
      <c r="AG403" t="str">
        <f ca="1"/>
        <v>MCO</v>
      </c>
      <c r="AH403" t="str">
        <f ca="1"/>
        <v>20W50</v>
      </c>
      <c r="AI403" t="str">
        <f ca="1"/>
        <v>7100</v>
      </c>
      <c r="AJ403">
        <f ca="1"/>
        <v>0</v>
      </c>
      <c r="AK403" t="str">
        <f ca="1"/>
        <v>12x1L</v>
      </c>
      <c r="AL403">
        <f ca="1"/>
        <v>9164.380799999999</v>
      </c>
      <c r="AM403">
        <f ca="1"/>
        <v>2000.836591304349</v>
      </c>
      <c r="AN403" t="str">
        <f ca="1"/>
        <v>O-45727-D-0023</v>
      </c>
      <c r="AO403" t="str">
        <f ca="1"/>
        <v>Delivered</v>
      </c>
    </row>
    <row r="404" spans="1:41" x14ac:dyDescent="0.5">
      <c r="A404" t="str">
        <f ca="1"/>
        <v>F-209</v>
      </c>
      <c r="B404" s="1">
        <f ca="1"/>
        <v>45727</v>
      </c>
      <c r="C404" t="str">
        <f ca="1"/>
        <v>D-0023</v>
      </c>
      <c r="D404" t="str">
        <f ca="1"/>
        <v xml:space="preserve">Bondhu Motors and Mobil Ghor </v>
      </c>
      <c r="E404" t="str">
        <f ca="1"/>
        <v>Salo Market, Rangpur</v>
      </c>
      <c r="F404">
        <f ca="1"/>
        <v>1737144950</v>
      </c>
      <c r="G404" t="str">
        <f ca="1"/>
        <v>Monirul Islam</v>
      </c>
      <c r="H404" t="str">
        <f ca="1"/>
        <v>Raihan Siddiqui</v>
      </c>
      <c r="I404" t="str">
        <f ca="1"/>
        <v>Bondhu Motors</v>
      </c>
      <c r="J404" t="str">
        <f ca="1"/>
        <v>Rangpur</v>
      </c>
      <c r="K404" t="str">
        <f ca="1"/>
        <v>LO00119</v>
      </c>
      <c r="L404" t="str">
        <f ca="1"/>
        <v>3000 4T 20W50</v>
      </c>
      <c r="M404">
        <f ca="1"/>
        <v>80</v>
      </c>
      <c r="N404">
        <f ca="1"/>
        <v>482</v>
      </c>
      <c r="O404">
        <f ca="1"/>
        <v>80</v>
      </c>
      <c r="P404">
        <f ca="1"/>
        <v>2.4896265560165998E-2</v>
      </c>
      <c r="Q404">
        <f ca="1"/>
        <v>0</v>
      </c>
      <c r="R404">
        <f ca="1"/>
        <v>470</v>
      </c>
      <c r="S404">
        <f ca="1"/>
        <v>80</v>
      </c>
      <c r="T404">
        <f ca="1"/>
        <v>80</v>
      </c>
      <c r="U404">
        <f ca="1"/>
        <v>38560</v>
      </c>
      <c r="V404">
        <f ca="1"/>
        <v>0</v>
      </c>
      <c r="W404">
        <f ca="1"/>
        <v>37600</v>
      </c>
      <c r="X404">
        <f ca="1"/>
        <v>4904.347826086957</v>
      </c>
      <c r="Y404">
        <f ca="1"/>
        <v>32695.652173913044</v>
      </c>
      <c r="Z404" t="str">
        <f ca="1"/>
        <v>Cash</v>
      </c>
      <c r="AA404">
        <f ca="1"/>
        <v>673</v>
      </c>
      <c r="AB404" t="str">
        <f ca="1"/>
        <v>Regular</v>
      </c>
      <c r="AC404">
        <f ca="1"/>
        <v>45728</v>
      </c>
      <c r="AD404" t="str">
        <f ca="1"/>
        <v/>
      </c>
      <c r="AE404" t="str">
        <f ca="1"/>
        <v>Northern</v>
      </c>
      <c r="AF404" t="str">
        <f ca="1"/>
        <v>Mineral</v>
      </c>
      <c r="AG404" t="str">
        <f ca="1"/>
        <v>MCO</v>
      </c>
      <c r="AH404" t="str">
        <f ca="1"/>
        <v>20W50</v>
      </c>
      <c r="AI404" t="str">
        <f ca="1"/>
        <v>3000</v>
      </c>
      <c r="AJ404">
        <f ca="1"/>
        <v>0</v>
      </c>
      <c r="AK404" t="str">
        <f ca="1"/>
        <v>20x1L</v>
      </c>
      <c r="AL404">
        <f ca="1"/>
        <v>29193.600000000002</v>
      </c>
      <c r="AM404">
        <f ca="1"/>
        <v>3502.0521739130418</v>
      </c>
      <c r="AN404" t="str">
        <f ca="1"/>
        <v>O-45727-D-0023</v>
      </c>
      <c r="AO404" t="str">
        <f ca="1"/>
        <v>Delivered</v>
      </c>
    </row>
    <row r="405" spans="1:41" x14ac:dyDescent="0.5">
      <c r="A405" t="str">
        <f ca="1"/>
        <v>F-209</v>
      </c>
      <c r="B405" s="1">
        <f ca="1"/>
        <v>45727</v>
      </c>
      <c r="C405" t="str">
        <f ca="1"/>
        <v>D-0023</v>
      </c>
      <c r="D405" t="str">
        <f ca="1"/>
        <v xml:space="preserve">Bondhu Motors and Mobil Ghor </v>
      </c>
      <c r="E405" t="str">
        <f ca="1"/>
        <v>Salo Market, Rangpur</v>
      </c>
      <c r="F405">
        <f ca="1"/>
        <v>1737144950</v>
      </c>
      <c r="G405" t="str">
        <f ca="1"/>
        <v>Monirul Islam</v>
      </c>
      <c r="H405" t="str">
        <f ca="1"/>
        <v>Raihan Siddiqui</v>
      </c>
      <c r="I405" t="str">
        <f ca="1"/>
        <v>Bondhu Motors</v>
      </c>
      <c r="J405" t="str">
        <f ca="1"/>
        <v>Rangpur</v>
      </c>
      <c r="K405" t="str">
        <f ca="1"/>
        <v>LO00120</v>
      </c>
      <c r="L405" t="str">
        <f ca="1"/>
        <v>3000 4T 20W50</v>
      </c>
      <c r="M405">
        <f ca="1"/>
        <v>20</v>
      </c>
      <c r="N405">
        <f ca="1"/>
        <v>583</v>
      </c>
      <c r="O405">
        <f ca="1"/>
        <v>24</v>
      </c>
      <c r="P405">
        <f ca="1"/>
        <v>2.2984562607204162E-2</v>
      </c>
      <c r="Q405">
        <f ca="1"/>
        <v>0</v>
      </c>
      <c r="R405">
        <f ca="1"/>
        <v>569.6</v>
      </c>
      <c r="S405">
        <f ca="1"/>
        <v>20</v>
      </c>
      <c r="T405">
        <f ca="1"/>
        <v>24</v>
      </c>
      <c r="U405">
        <f ca="1"/>
        <v>11660</v>
      </c>
      <c r="V405">
        <f ca="1"/>
        <v>0</v>
      </c>
      <c r="W405">
        <f ca="1"/>
        <v>11392</v>
      </c>
      <c r="X405">
        <f ca="1"/>
        <v>1485.9130434782608</v>
      </c>
      <c r="Y405">
        <f ca="1"/>
        <v>9906.0869565217399</v>
      </c>
      <c r="Z405" t="str">
        <f ca="1"/>
        <v>Cash</v>
      </c>
      <c r="AA405">
        <f ca="1"/>
        <v>673</v>
      </c>
      <c r="AB405" t="str">
        <f ca="1"/>
        <v>Regular</v>
      </c>
      <c r="AC405">
        <f ca="1"/>
        <v>45728</v>
      </c>
      <c r="AD405" t="str">
        <f ca="1"/>
        <v/>
      </c>
      <c r="AE405" t="str">
        <f ca="1"/>
        <v>Northern</v>
      </c>
      <c r="AF405" t="str">
        <f ca="1"/>
        <v>Mineral</v>
      </c>
      <c r="AG405" t="str">
        <f ca="1"/>
        <v>MCO</v>
      </c>
      <c r="AH405" t="str">
        <f ca="1"/>
        <v>20W50</v>
      </c>
      <c r="AI405" t="str">
        <f ca="1"/>
        <v>3000</v>
      </c>
      <c r="AJ405">
        <f ca="1"/>
        <v>0</v>
      </c>
      <c r="AK405" t="str">
        <f ca="1"/>
        <v>20x1.2L</v>
      </c>
      <c r="AL405">
        <f ca="1"/>
        <v>8692.2000000000007</v>
      </c>
      <c r="AM405">
        <f ca="1"/>
        <v>1213.8869565217392</v>
      </c>
      <c r="AN405" t="str">
        <f ca="1"/>
        <v>O-45727-D-0023</v>
      </c>
      <c r="AO405" t="str">
        <f ca="1"/>
        <v>Delivered</v>
      </c>
    </row>
    <row r="406" spans="1:41" x14ac:dyDescent="0.5">
      <c r="A406" t="str">
        <f ca="1"/>
        <v>F-206</v>
      </c>
      <c r="B406" s="1">
        <f ca="1"/>
        <v>45728</v>
      </c>
      <c r="C406" t="str">
        <f ca="1"/>
        <v>D-0056</v>
      </c>
      <c r="D406" t="str">
        <f ca="1"/>
        <v>Rangs Workshop Limited</v>
      </c>
      <c r="E406" t="str">
        <f ca="1"/>
        <v>Dhaka</v>
      </c>
      <c r="F406" t="str">
        <f ca="1"/>
        <v/>
      </c>
      <c r="G406" t="str">
        <f ca="1"/>
        <v>Captive Sales</v>
      </c>
      <c r="H406" t="str">
        <f ca="1"/>
        <v>Captive Sales</v>
      </c>
      <c r="I406" t="str">
        <f ca="1"/>
        <v>Rangs Workshop Limited</v>
      </c>
      <c r="J406" t="str">
        <f ca="1"/>
        <v>Dhaka</v>
      </c>
      <c r="K406" t="str">
        <f ca="1"/>
        <v>LO00103</v>
      </c>
      <c r="L406" t="str">
        <f ca="1"/>
        <v>ECO TEC Plus 5W30</v>
      </c>
      <c r="M406">
        <f ca="1"/>
        <v>300</v>
      </c>
      <c r="N406">
        <f ca="1"/>
        <v>5000</v>
      </c>
      <c r="O406">
        <f ca="1"/>
        <v>1200</v>
      </c>
      <c r="P406">
        <f ca="1"/>
        <v>0.52800000000000002</v>
      </c>
      <c r="Q406">
        <f ca="1"/>
        <v>0</v>
      </c>
      <c r="R406">
        <f ca="1"/>
        <v>2360</v>
      </c>
      <c r="S406">
        <f ca="1"/>
        <v>300</v>
      </c>
      <c r="T406">
        <f ca="1"/>
        <v>1200</v>
      </c>
      <c r="U406">
        <f ca="1"/>
        <v>1500000</v>
      </c>
      <c r="V406">
        <f ca="1"/>
        <v>0</v>
      </c>
      <c r="W406">
        <f ca="1"/>
        <v>708000</v>
      </c>
      <c r="X406">
        <f ca="1"/>
        <v>92347.826086956527</v>
      </c>
      <c r="Y406">
        <f ca="1"/>
        <v>615652.17391304346</v>
      </c>
      <c r="Z406" t="str">
        <f ca="1"/>
        <v>Cash</v>
      </c>
      <c r="AA406">
        <f ca="1"/>
        <v>670</v>
      </c>
      <c r="AB406" t="str">
        <f ca="1"/>
        <v>Custom</v>
      </c>
      <c r="AC406">
        <f ca="1"/>
        <v>45728</v>
      </c>
      <c r="AD406" t="str">
        <f ca="1"/>
        <v>Custom Price</v>
      </c>
      <c r="AE406" t="str">
        <f ca="1"/>
        <v>Captive Sales</v>
      </c>
      <c r="AF406" t="str">
        <f ca="1"/>
        <v>Synthetic</v>
      </c>
      <c r="AG406" t="str">
        <f ca="1"/>
        <v>PCMO</v>
      </c>
      <c r="AH406" t="str">
        <f ca="1"/>
        <v>5W30</v>
      </c>
      <c r="AI406" t="str">
        <f ca="1"/>
        <v xml:space="preserve">ECO </v>
      </c>
      <c r="AJ406">
        <f ca="1"/>
        <v>0</v>
      </c>
      <c r="AK406" t="str">
        <f ca="1"/>
        <v>4x4L</v>
      </c>
      <c r="AL406">
        <f ca="1"/>
        <v>567681</v>
      </c>
      <c r="AM406">
        <f ca="1"/>
        <v>47971.173913043458</v>
      </c>
      <c r="AN406" t="str">
        <f ca="1"/>
        <v>O-45728-D-0056</v>
      </c>
      <c r="AO406" t="str">
        <f ca="1"/>
        <v>Delivered</v>
      </c>
    </row>
    <row r="407" spans="1:41" x14ac:dyDescent="0.5">
      <c r="A407" t="str">
        <f ca="1"/>
        <v>F-207</v>
      </c>
      <c r="B407" s="1">
        <f ca="1"/>
        <v>45726</v>
      </c>
      <c r="C407" t="str">
        <f ca="1"/>
        <v>D-0023</v>
      </c>
      <c r="D407" t="str">
        <f ca="1"/>
        <v xml:space="preserve">New Bishass Enterprises </v>
      </c>
      <c r="E407" t="str">
        <f ca="1"/>
        <v xml:space="preserve">Mymensingh </v>
      </c>
      <c r="F407" t="str">
        <f ca="1"/>
        <v>01779-090991</v>
      </c>
      <c r="G407" t="str">
        <f ca="1"/>
        <v>Monirul Islam</v>
      </c>
      <c r="H407" t="str">
        <f ca="1"/>
        <v>Raihan Siddiqui</v>
      </c>
      <c r="I407" t="str">
        <f ca="1"/>
        <v>Bondhu Motors</v>
      </c>
      <c r="J407" t="str">
        <f ca="1"/>
        <v>Rangpur</v>
      </c>
      <c r="K407" t="str">
        <f ca="1"/>
        <v>LO00041</v>
      </c>
      <c r="L407" t="str">
        <f ca="1"/>
        <v>3000 4T PLUS 10W30</v>
      </c>
      <c r="M407">
        <f ca="1"/>
        <v>20</v>
      </c>
      <c r="N407">
        <f ca="1"/>
        <v>540</v>
      </c>
      <c r="O407">
        <f ca="1"/>
        <v>20</v>
      </c>
      <c r="P407">
        <f ca="1"/>
        <v>9.2592592592593004E-3</v>
      </c>
      <c r="Q407">
        <f ca="1"/>
        <v>0</v>
      </c>
      <c r="R407">
        <f ca="1"/>
        <v>535</v>
      </c>
      <c r="S407">
        <f ca="1"/>
        <v>20</v>
      </c>
      <c r="T407">
        <f ca="1"/>
        <v>20</v>
      </c>
      <c r="U407">
        <f ca="1"/>
        <v>10800</v>
      </c>
      <c r="V407">
        <f ca="1"/>
        <v>0</v>
      </c>
      <c r="W407">
        <f ca="1"/>
        <v>10700</v>
      </c>
      <c r="X407">
        <f ca="1"/>
        <v>1395.6521739130435</v>
      </c>
      <c r="Y407">
        <f ca="1"/>
        <v>9304.347826086956</v>
      </c>
      <c r="Z407" t="str">
        <f ca="1"/>
        <v>Cash</v>
      </c>
      <c r="AA407">
        <f ca="1"/>
        <v>671</v>
      </c>
      <c r="AB407" t="str">
        <f ca="1"/>
        <v>Regular</v>
      </c>
      <c r="AC407">
        <f ca="1"/>
        <v>45728</v>
      </c>
      <c r="AD407" t="str">
        <f ca="1"/>
        <v/>
      </c>
      <c r="AE407" t="str">
        <f ca="1"/>
        <v>Northern</v>
      </c>
      <c r="AF407" t="str">
        <f ca="1"/>
        <v>Mineral</v>
      </c>
      <c r="AG407" t="str">
        <f ca="1"/>
        <v>MCO</v>
      </c>
      <c r="AH407" t="str">
        <f ca="1"/>
        <v>10W30</v>
      </c>
      <c r="AI407" t="str">
        <f ca="1"/>
        <v>3000</v>
      </c>
      <c r="AJ407">
        <f ca="1"/>
        <v>0</v>
      </c>
      <c r="AK407" t="str">
        <f ca="1"/>
        <v>20x1L</v>
      </c>
      <c r="AL407">
        <f ca="1"/>
        <v>7586.5999999999995</v>
      </c>
      <c r="AM407">
        <f ca="1"/>
        <v>1717.7478260869566</v>
      </c>
      <c r="AN407" t="str">
        <f ca="1"/>
        <v>O-45726-D-0023</v>
      </c>
      <c r="AO407" t="str">
        <f ca="1"/>
        <v>Delivered</v>
      </c>
    </row>
    <row r="408" spans="1:41" x14ac:dyDescent="0.5">
      <c r="A408" t="str">
        <f ca="1"/>
        <v>F-207</v>
      </c>
      <c r="B408" s="1">
        <f ca="1"/>
        <v>45726</v>
      </c>
      <c r="C408" t="str">
        <f ca="1"/>
        <v>D-0023</v>
      </c>
      <c r="D408" t="str">
        <f ca="1"/>
        <v xml:space="preserve">New Bishass Enterprises </v>
      </c>
      <c r="E408" t="str">
        <f ca="1"/>
        <v xml:space="preserve">Mymensingh </v>
      </c>
      <c r="F408" t="str">
        <f ca="1"/>
        <v>01779-090991</v>
      </c>
      <c r="G408" t="str">
        <f ca="1"/>
        <v>Monirul Islam</v>
      </c>
      <c r="H408" t="str">
        <f ca="1"/>
        <v>Raihan Siddiqui</v>
      </c>
      <c r="I408" t="str">
        <f ca="1"/>
        <v>Bondhu Motors</v>
      </c>
      <c r="J408" t="str">
        <f ca="1"/>
        <v>Rangpur</v>
      </c>
      <c r="K408" t="str">
        <f ca="1"/>
        <v>LO00043</v>
      </c>
      <c r="L408" t="str">
        <f ca="1"/>
        <v>3000 4T PLUS 10W40</v>
      </c>
      <c r="M408">
        <f ca="1"/>
        <v>60</v>
      </c>
      <c r="N408">
        <f ca="1"/>
        <v>540</v>
      </c>
      <c r="O408">
        <f ca="1"/>
        <v>60</v>
      </c>
      <c r="P408">
        <f ca="1"/>
        <v>9.2592592592593004E-3</v>
      </c>
      <c r="Q408">
        <f ca="1"/>
        <v>0</v>
      </c>
      <c r="R408">
        <f ca="1"/>
        <v>535</v>
      </c>
      <c r="S408">
        <f ca="1"/>
        <v>60</v>
      </c>
      <c r="T408">
        <f ca="1"/>
        <v>60</v>
      </c>
      <c r="U408">
        <f ca="1"/>
        <v>32400</v>
      </c>
      <c r="V408">
        <f ca="1"/>
        <v>0</v>
      </c>
      <c r="W408">
        <f ca="1"/>
        <v>32100</v>
      </c>
      <c r="X408">
        <f ca="1"/>
        <v>4186.95652173913</v>
      </c>
      <c r="Y408">
        <f ca="1"/>
        <v>27913.043478260868</v>
      </c>
      <c r="Z408" t="str">
        <f ca="1"/>
        <v>Cash</v>
      </c>
      <c r="AA408">
        <f ca="1"/>
        <v>671</v>
      </c>
      <c r="AB408" t="str">
        <f ca="1"/>
        <v>Regular</v>
      </c>
      <c r="AC408">
        <f ca="1"/>
        <v>45728</v>
      </c>
      <c r="AD408" t="str">
        <f ca="1"/>
        <v/>
      </c>
      <c r="AE408" t="str">
        <f ca="1"/>
        <v>Northern</v>
      </c>
      <c r="AF408" t="str">
        <f ca="1"/>
        <v>Mineral</v>
      </c>
      <c r="AG408" t="str">
        <f ca="1"/>
        <v>MCO</v>
      </c>
      <c r="AH408" t="str">
        <f ca="1"/>
        <v>10W40</v>
      </c>
      <c r="AI408" t="str">
        <f ca="1"/>
        <v>3000</v>
      </c>
      <c r="AJ408">
        <f ca="1"/>
        <v>0</v>
      </c>
      <c r="AK408" t="str">
        <f ca="1"/>
        <v>20x1L</v>
      </c>
      <c r="AL408">
        <f ca="1"/>
        <v>23091</v>
      </c>
      <c r="AM408">
        <f ca="1"/>
        <v>4822.0434782608681</v>
      </c>
      <c r="AN408" t="str">
        <f ca="1"/>
        <v>O-45726-D-0023</v>
      </c>
      <c r="AO408" t="str">
        <f ca="1"/>
        <v>Delivered</v>
      </c>
    </row>
    <row r="409" spans="1:41" x14ac:dyDescent="0.5">
      <c r="A409" t="str">
        <f ca="1"/>
        <v>F-207</v>
      </c>
      <c r="B409" s="1">
        <f ca="1"/>
        <v>45726</v>
      </c>
      <c r="C409" t="str">
        <f ca="1"/>
        <v>D-0023</v>
      </c>
      <c r="D409" t="str">
        <f ca="1"/>
        <v xml:space="preserve">New Bishass Enterprises </v>
      </c>
      <c r="E409" t="str">
        <f ca="1"/>
        <v xml:space="preserve">Mymensingh </v>
      </c>
      <c r="F409" t="str">
        <f ca="1"/>
        <v>01779-090991</v>
      </c>
      <c r="G409" t="str">
        <f ca="1"/>
        <v>Monirul Islam</v>
      </c>
      <c r="H409" t="str">
        <f ca="1"/>
        <v>Raihan Siddiqui</v>
      </c>
      <c r="I409" t="str">
        <f ca="1"/>
        <v>Bondhu Motors</v>
      </c>
      <c r="J409" t="str">
        <f ca="1"/>
        <v>Rangpur</v>
      </c>
      <c r="K409" t="str">
        <f ca="1"/>
        <v>LO00074</v>
      </c>
      <c r="L409" t="str">
        <f ca="1"/>
        <v>7100 4T 10W30 ESTER CORE®</v>
      </c>
      <c r="M409">
        <f ca="1"/>
        <v>12</v>
      </c>
      <c r="N409">
        <f ca="1"/>
        <v>1075</v>
      </c>
      <c r="O409">
        <f ca="1"/>
        <v>12</v>
      </c>
      <c r="P409">
        <f ca="1"/>
        <v>4.6511627906976605E-3</v>
      </c>
      <c r="Q409">
        <f ca="1"/>
        <v>0</v>
      </c>
      <c r="R409">
        <f ca="1"/>
        <v>1070</v>
      </c>
      <c r="S409">
        <f ca="1"/>
        <v>12</v>
      </c>
      <c r="T409">
        <f ca="1"/>
        <v>12</v>
      </c>
      <c r="U409">
        <f ca="1"/>
        <v>12900</v>
      </c>
      <c r="V409">
        <f ca="1"/>
        <v>0</v>
      </c>
      <c r="W409">
        <f ca="1"/>
        <v>12840</v>
      </c>
      <c r="X409">
        <f ca="1"/>
        <v>1674.7826086956522</v>
      </c>
      <c r="Y409">
        <f ca="1"/>
        <v>11165.217391304348</v>
      </c>
      <c r="Z409" t="str">
        <f ca="1"/>
        <v>Cash</v>
      </c>
      <c r="AA409">
        <f ca="1"/>
        <v>671</v>
      </c>
      <c r="AB409" t="str">
        <f ca="1"/>
        <v>Regular</v>
      </c>
      <c r="AC409">
        <f ca="1"/>
        <v>45728</v>
      </c>
      <c r="AD409" t="str">
        <f ca="1"/>
        <v/>
      </c>
      <c r="AE409" t="str">
        <f ca="1"/>
        <v>Northern</v>
      </c>
      <c r="AF409" t="str">
        <f ca="1"/>
        <v>Synthetic</v>
      </c>
      <c r="AG409" t="str">
        <f ca="1"/>
        <v>MCO</v>
      </c>
      <c r="AH409" t="str">
        <f ca="1"/>
        <v>10W30</v>
      </c>
      <c r="AI409" t="str">
        <f ca="1"/>
        <v>7100</v>
      </c>
      <c r="AJ409">
        <f ca="1"/>
        <v>0</v>
      </c>
      <c r="AK409" t="str">
        <f ca="1"/>
        <v>12x1L</v>
      </c>
      <c r="AL409">
        <f ca="1"/>
        <v>8278.32</v>
      </c>
      <c r="AM409">
        <f ca="1"/>
        <v>2886.8973913043483</v>
      </c>
      <c r="AN409" t="str">
        <f ca="1"/>
        <v>O-45726-D-0023</v>
      </c>
      <c r="AO409" t="str">
        <f ca="1"/>
        <v>Delivered</v>
      </c>
    </row>
    <row r="410" spans="1:41" x14ac:dyDescent="0.5">
      <c r="A410" t="str">
        <f ca="1"/>
        <v>F-207</v>
      </c>
      <c r="B410" s="1">
        <f ca="1"/>
        <v>45726</v>
      </c>
      <c r="C410" t="str">
        <f ca="1"/>
        <v>D-0023</v>
      </c>
      <c r="D410" t="str">
        <f ca="1"/>
        <v xml:space="preserve">New Bishass Enterprises </v>
      </c>
      <c r="E410" t="str">
        <f ca="1"/>
        <v xml:space="preserve">Mymensingh </v>
      </c>
      <c r="F410" t="str">
        <f ca="1"/>
        <v>01779-090991</v>
      </c>
      <c r="G410" t="str">
        <f ca="1"/>
        <v>Monirul Islam</v>
      </c>
      <c r="H410" t="str">
        <f ca="1"/>
        <v>Raihan Siddiqui</v>
      </c>
      <c r="I410" t="str">
        <f ca="1"/>
        <v>Bondhu Motors</v>
      </c>
      <c r="J410" t="str">
        <f ca="1"/>
        <v>Rangpur</v>
      </c>
      <c r="K410" t="str">
        <f ca="1"/>
        <v>LO00119</v>
      </c>
      <c r="L410" t="str">
        <f ca="1"/>
        <v>3000 4T 20W50</v>
      </c>
      <c r="M410">
        <f ca="1"/>
        <v>20</v>
      </c>
      <c r="N410">
        <f ca="1"/>
        <v>490</v>
      </c>
      <c r="O410">
        <f ca="1"/>
        <v>20</v>
      </c>
      <c r="P410">
        <f ca="1"/>
        <v>1.0204081632653073E-2</v>
      </c>
      <c r="Q410">
        <f ca="1"/>
        <v>0</v>
      </c>
      <c r="R410">
        <f ca="1"/>
        <v>485</v>
      </c>
      <c r="S410">
        <f ca="1"/>
        <v>20</v>
      </c>
      <c r="T410">
        <f ca="1"/>
        <v>20</v>
      </c>
      <c r="U410">
        <f ca="1"/>
        <v>9800</v>
      </c>
      <c r="V410">
        <f ca="1"/>
        <v>0</v>
      </c>
      <c r="W410">
        <f ca="1"/>
        <v>9700</v>
      </c>
      <c r="X410">
        <f ca="1"/>
        <v>1265.2173913043478</v>
      </c>
      <c r="Y410">
        <f ca="1"/>
        <v>8434.782608695652</v>
      </c>
      <c r="Z410" t="str">
        <f ca="1"/>
        <v>Cash</v>
      </c>
      <c r="AA410">
        <f ca="1"/>
        <v>671</v>
      </c>
      <c r="AB410" t="str">
        <f ca="1"/>
        <v>Regular</v>
      </c>
      <c r="AC410">
        <f ca="1"/>
        <v>45728</v>
      </c>
      <c r="AD410" t="str">
        <f ca="1"/>
        <v/>
      </c>
      <c r="AE410" t="str">
        <f ca="1"/>
        <v>Northern</v>
      </c>
      <c r="AF410" t="str">
        <f ca="1"/>
        <v>Mineral</v>
      </c>
      <c r="AG410" t="str">
        <f ca="1"/>
        <v>MCO</v>
      </c>
      <c r="AH410" t="str">
        <f ca="1"/>
        <v>20W50</v>
      </c>
      <c r="AI410" t="str">
        <f ca="1"/>
        <v>3000</v>
      </c>
      <c r="AJ410">
        <f ca="1"/>
        <v>0</v>
      </c>
      <c r="AK410" t="str">
        <f ca="1"/>
        <v>20x1L</v>
      </c>
      <c r="AL410">
        <f ca="1"/>
        <v>7298.4000000000005</v>
      </c>
      <c r="AM410">
        <f ca="1"/>
        <v>1136.3826086956515</v>
      </c>
      <c r="AN410" t="str">
        <f ca="1"/>
        <v>O-45726-D-0023</v>
      </c>
      <c r="AO410" t="str">
        <f ca="1"/>
        <v>Delivered</v>
      </c>
    </row>
    <row r="411" spans="1:41" x14ac:dyDescent="0.5">
      <c r="A411" t="str">
        <f ca="1"/>
        <v>F-207</v>
      </c>
      <c r="B411" s="1">
        <f ca="1"/>
        <v>45726</v>
      </c>
      <c r="C411" t="str">
        <f ca="1"/>
        <v>D-0023</v>
      </c>
      <c r="D411" t="str">
        <f ca="1"/>
        <v xml:space="preserve">New Bishass Enterprises </v>
      </c>
      <c r="E411" t="str">
        <f ca="1"/>
        <v xml:space="preserve">Mymensingh </v>
      </c>
      <c r="F411" t="str">
        <f ca="1"/>
        <v>01779-090991</v>
      </c>
      <c r="G411" t="str">
        <f ca="1"/>
        <v>Monirul Islam</v>
      </c>
      <c r="H411" t="str">
        <f ca="1"/>
        <v>Raihan Siddiqui</v>
      </c>
      <c r="I411" t="str">
        <f ca="1"/>
        <v>Bondhu Motors</v>
      </c>
      <c r="J411" t="str">
        <f ca="1"/>
        <v>Rangpur</v>
      </c>
      <c r="K411" t="str">
        <f ca="1"/>
        <v>LO00120</v>
      </c>
      <c r="L411" t="str">
        <f ca="1"/>
        <v>3000 4T 20W50</v>
      </c>
      <c r="M411">
        <f ca="1"/>
        <v>40</v>
      </c>
      <c r="N411">
        <f ca="1"/>
        <v>590</v>
      </c>
      <c r="O411">
        <f ca="1"/>
        <v>48</v>
      </c>
      <c r="P411">
        <f ca="1"/>
        <v>8.4745762711864181E-3</v>
      </c>
      <c r="Q411">
        <f ca="1"/>
        <v>0</v>
      </c>
      <c r="R411">
        <f ca="1"/>
        <v>585</v>
      </c>
      <c r="S411">
        <f ca="1"/>
        <v>40</v>
      </c>
      <c r="T411">
        <f ca="1"/>
        <v>48</v>
      </c>
      <c r="U411">
        <f ca="1"/>
        <v>23600</v>
      </c>
      <c r="V411">
        <f ca="1"/>
        <v>0</v>
      </c>
      <c r="W411">
        <f ca="1"/>
        <v>23400</v>
      </c>
      <c r="X411">
        <f ca="1"/>
        <v>3052.1739130434785</v>
      </c>
      <c r="Y411">
        <f ca="1"/>
        <v>20347.82608695652</v>
      </c>
      <c r="Z411" t="str">
        <f ca="1"/>
        <v>Cash</v>
      </c>
      <c r="AA411">
        <f ca="1"/>
        <v>671</v>
      </c>
      <c r="AB411" t="str">
        <f ca="1"/>
        <v>Regular</v>
      </c>
      <c r="AC411">
        <f ca="1"/>
        <v>45728</v>
      </c>
      <c r="AD411" t="str">
        <f ca="1"/>
        <v/>
      </c>
      <c r="AE411" t="str">
        <f ca="1"/>
        <v>Northern</v>
      </c>
      <c r="AF411" t="str">
        <f ca="1"/>
        <v>Mineral</v>
      </c>
      <c r="AG411" t="str">
        <f ca="1"/>
        <v>MCO</v>
      </c>
      <c r="AH411" t="str">
        <f ca="1"/>
        <v>20W50</v>
      </c>
      <c r="AI411" t="str">
        <f ca="1"/>
        <v>3000</v>
      </c>
      <c r="AJ411">
        <f ca="1"/>
        <v>0</v>
      </c>
      <c r="AK411" t="str">
        <f ca="1"/>
        <v>20x1.2L</v>
      </c>
      <c r="AL411">
        <f ca="1"/>
        <v>17384.400000000001</v>
      </c>
      <c r="AM411">
        <f ca="1"/>
        <v>2963.4260869565187</v>
      </c>
      <c r="AN411" t="str">
        <f ca="1"/>
        <v>O-45726-D-0023</v>
      </c>
      <c r="AO411" t="str">
        <f ca="1"/>
        <v>Delivered</v>
      </c>
    </row>
    <row r="412" spans="1:41" x14ac:dyDescent="0.5">
      <c r="A412" t="str">
        <f ca="1"/>
        <v>F-210</v>
      </c>
      <c r="B412" s="1">
        <f ca="1"/>
        <v>45729</v>
      </c>
      <c r="C412" t="str">
        <f ca="1"/>
        <v>D-0030</v>
      </c>
      <c r="D412" t="str">
        <f ca="1"/>
        <v>Uttara auto Eng Ltd</v>
      </c>
      <c r="E412" t="str">
        <f ca="1"/>
        <v>Uttara</v>
      </c>
      <c r="F412" t="str">
        <f ca="1"/>
        <v>+8808801828136692</v>
      </c>
      <c r="G412" t="str">
        <f ca="1"/>
        <v>Sayed Al Amin Apu</v>
      </c>
      <c r="H412" t="str">
        <f ca="1"/>
        <v>Abdul Matin</v>
      </c>
      <c r="I412" t="str">
        <f ca="1"/>
        <v>Mahim Motors</v>
      </c>
      <c r="J412" t="str">
        <f ca="1"/>
        <v>Uttara</v>
      </c>
      <c r="K412" t="str">
        <f ca="1"/>
        <v>LO00075</v>
      </c>
      <c r="L412" t="str">
        <f ca="1"/>
        <v>2000 Multi Power 20W50</v>
      </c>
      <c r="M412">
        <f ca="1"/>
        <v>200</v>
      </c>
      <c r="N412">
        <f ca="1"/>
        <v>2350</v>
      </c>
      <c r="O412">
        <f ca="1"/>
        <v>800</v>
      </c>
      <c r="P412">
        <f ca="1"/>
        <v>0.57446808510638303</v>
      </c>
      <c r="Q412">
        <f ca="1"/>
        <v>0</v>
      </c>
      <c r="R412">
        <f ca="1"/>
        <v>1000</v>
      </c>
      <c r="S412">
        <f ca="1"/>
        <v>200</v>
      </c>
      <c r="T412">
        <f ca="1"/>
        <v>800</v>
      </c>
      <c r="U412">
        <f ca="1"/>
        <v>470000</v>
      </c>
      <c r="V412">
        <f ca="1"/>
        <v>0</v>
      </c>
      <c r="W412">
        <f ca="1"/>
        <v>200000</v>
      </c>
      <c r="X412">
        <f ca="1"/>
        <v>26086.956521739132</v>
      </c>
      <c r="Y412">
        <f ca="1"/>
        <v>173913.04347826086</v>
      </c>
      <c r="Z412" t="str">
        <f ca="1"/>
        <v>Cash</v>
      </c>
      <c r="AA412">
        <f ca="1"/>
        <v>674</v>
      </c>
      <c r="AB412" t="str">
        <f ca="1"/>
        <v>Custom</v>
      </c>
      <c r="AC412">
        <f ca="1"/>
        <v>45732</v>
      </c>
      <c r="AD412" t="str">
        <f ca="1"/>
        <v xml:space="preserve"> pls provide 25 cartoons of products 2022 year manufacture batch and another 25 cartoons is 2020 year manufacture batch</v>
      </c>
      <c r="AE412" t="str">
        <f ca="1"/>
        <v>Central</v>
      </c>
      <c r="AF412" t="str">
        <f ca="1"/>
        <v>Mineral</v>
      </c>
      <c r="AG412" t="str">
        <f ca="1"/>
        <v>PCMO</v>
      </c>
      <c r="AH412" t="str">
        <f ca="1"/>
        <v>20W50</v>
      </c>
      <c r="AI412" t="str">
        <f ca="1"/>
        <v>2000</v>
      </c>
      <c r="AJ412">
        <f ca="1"/>
        <v>0</v>
      </c>
      <c r="AK412" t="str">
        <f ca="1"/>
        <v>4X4L</v>
      </c>
      <c r="AL412">
        <f ca="1"/>
        <v>219090</v>
      </c>
      <c r="AM412">
        <f ca="1"/>
        <v>-45176.956521739135</v>
      </c>
      <c r="AN412" t="str">
        <f ca="1"/>
        <v>O-45729-D-0030</v>
      </c>
      <c r="AO412" t="str">
        <f ca="1"/>
        <v>Delivered</v>
      </c>
    </row>
    <row r="413" spans="1:41" x14ac:dyDescent="0.5">
      <c r="A413" t="str">
        <f ca="1"/>
        <v>F-212</v>
      </c>
      <c r="B413" s="1">
        <f ca="1"/>
        <v>45729</v>
      </c>
      <c r="C413" t="str">
        <f ca="1"/>
        <v>D-0055</v>
      </c>
      <c r="D413" t="str">
        <f ca="1"/>
        <v>Mid Bangal Private ltd</v>
      </c>
      <c r="E413" t="str">
        <f ca="1"/>
        <v/>
      </c>
      <c r="F413" t="str">
        <f ca="1"/>
        <v>+88001679878727</v>
      </c>
      <c r="G413" t="str">
        <f ca="1"/>
        <v>Mahamudul Hasan Milon</v>
      </c>
      <c r="H413" t="str">
        <f ca="1"/>
        <v>Abdul Matin</v>
      </c>
      <c r="I413" t="str">
        <f ca="1"/>
        <v>Mid Bangal Private ltd</v>
      </c>
      <c r="J413" t="str">
        <f ca="1"/>
        <v>Motijhil</v>
      </c>
      <c r="K413" t="str">
        <f ca="1"/>
        <v>LO00119</v>
      </c>
      <c r="L413" t="str">
        <f ca="1"/>
        <v>3000 4T 20W50</v>
      </c>
      <c r="M413">
        <f ca="1"/>
        <v>4000</v>
      </c>
      <c r="N413">
        <f ca="1"/>
        <v>495</v>
      </c>
      <c r="O413">
        <f ca="1"/>
        <v>4000</v>
      </c>
      <c r="P413">
        <f ca="1"/>
        <v>0.20202020202020199</v>
      </c>
      <c r="Q413">
        <f ca="1"/>
        <v>0</v>
      </c>
      <c r="R413">
        <f ca="1"/>
        <v>395</v>
      </c>
      <c r="S413">
        <f ca="1"/>
        <v>4000</v>
      </c>
      <c r="T413">
        <f ca="1"/>
        <v>4000</v>
      </c>
      <c r="U413">
        <f ca="1"/>
        <v>1980000</v>
      </c>
      <c r="V413">
        <f ca="1"/>
        <v>0</v>
      </c>
      <c r="W413">
        <f ca="1"/>
        <v>1580000</v>
      </c>
      <c r="X413">
        <f ca="1"/>
        <v>206086.95652173914</v>
      </c>
      <c r="Y413">
        <f ca="1"/>
        <v>1373913.043478261</v>
      </c>
      <c r="Z413" t="str">
        <f ca="1"/>
        <v>Cash</v>
      </c>
      <c r="AA413">
        <f ca="1"/>
        <v>676</v>
      </c>
      <c r="AB413" t="str">
        <f ca="1"/>
        <v>Flat Discount</v>
      </c>
      <c r="AC413">
        <f ca="1"/>
        <v>45733</v>
      </c>
      <c r="AD413" t="str">
        <f ca="1"/>
        <v>Price/unit = 410tk and for previous order ,extra 60,000/- has been adjusted with this one. Here's why ---&gt;&gt;&gt;
***Prv order : 2000ltr*440=8,80,000tk 
with 410tk/unit = 8,20,000tk****</v>
      </c>
      <c r="AE413" t="str">
        <f ca="1"/>
        <v>Central</v>
      </c>
      <c r="AF413" t="str">
        <f ca="1"/>
        <v>Mineral</v>
      </c>
      <c r="AG413" t="str">
        <f ca="1"/>
        <v>MCO</v>
      </c>
      <c r="AH413" t="str">
        <f ca="1"/>
        <v>20W50</v>
      </c>
      <c r="AI413" t="str">
        <f ca="1"/>
        <v>3000</v>
      </c>
      <c r="AJ413">
        <f ca="1"/>
        <v>0</v>
      </c>
      <c r="AK413" t="str">
        <f ca="1"/>
        <v>20x1L</v>
      </c>
      <c r="AL413">
        <f ca="1"/>
        <v>1459680</v>
      </c>
      <c r="AM413">
        <f ca="1"/>
        <v>-85766.956521739019</v>
      </c>
      <c r="AN413" t="str">
        <f ca="1"/>
        <v>O-45729-D-0055</v>
      </c>
      <c r="AO413" t="str">
        <f ca="1"/>
        <v>Delivered</v>
      </c>
    </row>
    <row r="414" spans="1:41" x14ac:dyDescent="0.5">
      <c r="A414" t="str">
        <f ca="1"/>
        <v>F-211</v>
      </c>
      <c r="B414" s="1">
        <f ca="1"/>
        <v>45733</v>
      </c>
      <c r="C414" t="str">
        <f ca="1"/>
        <v>D-0025</v>
      </c>
      <c r="D414" t="str">
        <f ca="1"/>
        <v>Rancon Motor Bikes Ltd</v>
      </c>
      <c r="E414" t="str">
        <f ca="1"/>
        <v/>
      </c>
      <c r="F414" t="str">
        <f ca="1"/>
        <v/>
      </c>
      <c r="G414" t="str">
        <f ca="1"/>
        <v>Captive Sales</v>
      </c>
      <c r="H414" t="str">
        <f ca="1"/>
        <v>Captive Sales</v>
      </c>
      <c r="I414" t="str">
        <f ca="1"/>
        <v>Rancon Motor Bikes Ltd</v>
      </c>
      <c r="J414" t="str">
        <f ca="1"/>
        <v>Dhaka</v>
      </c>
      <c r="K414" t="str">
        <f ca="1"/>
        <v>LO00042</v>
      </c>
      <c r="L414" t="str">
        <f ca="1"/>
        <v>3000 4T PLUS 20W40</v>
      </c>
      <c r="M414">
        <f ca="1"/>
        <v>4000</v>
      </c>
      <c r="N414">
        <f ca="1"/>
        <v>525</v>
      </c>
      <c r="O414">
        <f ca="1"/>
        <v>4000</v>
      </c>
      <c r="P414">
        <f ca="1"/>
        <v>0</v>
      </c>
      <c r="Q414">
        <f ca="1"/>
        <v>0</v>
      </c>
      <c r="R414">
        <f ca="1"/>
        <v>525</v>
      </c>
      <c r="S414">
        <f ca="1"/>
        <v>4000</v>
      </c>
      <c r="T414">
        <f ca="1"/>
        <v>4000</v>
      </c>
      <c r="U414">
        <f ca="1"/>
        <v>2100000</v>
      </c>
      <c r="V414">
        <f ca="1"/>
        <v>0</v>
      </c>
      <c r="W414">
        <f ca="1"/>
        <v>2100000</v>
      </c>
      <c r="X414">
        <f ca="1"/>
        <v>273913.04347826086</v>
      </c>
      <c r="Y414">
        <f ca="1"/>
        <v>1826086.956521739</v>
      </c>
      <c r="Z414" t="str">
        <f ca="1"/>
        <v>Cash</v>
      </c>
      <c r="AA414">
        <f ca="1"/>
        <v>675</v>
      </c>
      <c r="AB414" t="str">
        <f ca="1"/>
        <v>Flat Discount</v>
      </c>
      <c r="AC414">
        <f ca="1"/>
        <v>45733</v>
      </c>
      <c r="AD414" t="str">
        <f ca="1"/>
        <v/>
      </c>
      <c r="AE414" t="str">
        <f ca="1"/>
        <v>Captive Sales</v>
      </c>
      <c r="AF414" t="str">
        <f ca="1"/>
        <v>Mineral</v>
      </c>
      <c r="AG414" t="str">
        <f ca="1"/>
        <v>MCO</v>
      </c>
      <c r="AH414" t="str">
        <f ca="1"/>
        <v>20W40</v>
      </c>
      <c r="AI414" t="str">
        <f ca="1"/>
        <v>3000</v>
      </c>
      <c r="AJ414">
        <f ca="1"/>
        <v>0</v>
      </c>
      <c r="AK414" t="str">
        <f ca="1"/>
        <v>20x1L</v>
      </c>
      <c r="AL414">
        <f ca="1"/>
        <v>1651040</v>
      </c>
      <c r="AM414">
        <f ca="1"/>
        <v>175046.95652173902</v>
      </c>
      <c r="AN414" t="str">
        <f ca="1"/>
        <v>O-45733-D-0025</v>
      </c>
      <c r="AO414" t="str">
        <f ca="1"/>
        <v>Delivered</v>
      </c>
    </row>
    <row r="415" spans="1:41" x14ac:dyDescent="0.5">
      <c r="A415" t="str">
        <f ca="1"/>
        <v>F-211</v>
      </c>
      <c r="B415" s="1">
        <f ca="1"/>
        <v>45733</v>
      </c>
      <c r="C415" t="str">
        <f ca="1"/>
        <v>D-0025</v>
      </c>
      <c r="D415" t="str">
        <f ca="1"/>
        <v>Rancon Motor Bikes Ltd</v>
      </c>
      <c r="E415" t="str">
        <f ca="1"/>
        <v/>
      </c>
      <c r="F415" t="str">
        <f ca="1"/>
        <v/>
      </c>
      <c r="G415" t="str">
        <f ca="1"/>
        <v>Captive Sales</v>
      </c>
      <c r="H415" t="str">
        <f ca="1"/>
        <v>Captive Sales</v>
      </c>
      <c r="I415" t="str">
        <f ca="1"/>
        <v>Rancon Motor Bikes Ltd</v>
      </c>
      <c r="J415" t="str">
        <f ca="1"/>
        <v>Dhaka</v>
      </c>
      <c r="K415" t="str">
        <f ca="1"/>
        <v>LO00043</v>
      </c>
      <c r="L415" t="str">
        <f ca="1"/>
        <v>3000 4T PLUS 10W40</v>
      </c>
      <c r="M415">
        <f ca="1"/>
        <v>20000</v>
      </c>
      <c r="N415">
        <f ca="1"/>
        <v>525</v>
      </c>
      <c r="O415">
        <f ca="1"/>
        <v>20000</v>
      </c>
      <c r="P415">
        <f ca="1"/>
        <v>0</v>
      </c>
      <c r="Q415">
        <f ca="1"/>
        <v>0</v>
      </c>
      <c r="R415">
        <f ca="1"/>
        <v>525</v>
      </c>
      <c r="S415">
        <f ca="1"/>
        <v>20000</v>
      </c>
      <c r="T415">
        <f ca="1"/>
        <v>20000</v>
      </c>
      <c r="U415">
        <f ca="1"/>
        <v>10500000</v>
      </c>
      <c r="V415">
        <f ca="1"/>
        <v>0</v>
      </c>
      <c r="W415">
        <f ca="1"/>
        <v>10500000</v>
      </c>
      <c r="X415">
        <f ca="1"/>
        <v>1369565.2173913044</v>
      </c>
      <c r="Y415">
        <f ca="1"/>
        <v>9130434.7826086953</v>
      </c>
      <c r="Z415" t="str">
        <f ca="1"/>
        <v>Cash</v>
      </c>
      <c r="AA415">
        <f ca="1"/>
        <v>675</v>
      </c>
      <c r="AB415" t="str">
        <f ca="1"/>
        <v>Flat Discount</v>
      </c>
      <c r="AC415">
        <f ca="1"/>
        <v>45733</v>
      </c>
      <c r="AD415" t="str">
        <f ca="1"/>
        <v/>
      </c>
      <c r="AE415" t="str">
        <f ca="1"/>
        <v>Captive Sales</v>
      </c>
      <c r="AF415" t="str">
        <f ca="1"/>
        <v>Mineral</v>
      </c>
      <c r="AG415" t="str">
        <f ca="1"/>
        <v>MCO</v>
      </c>
      <c r="AH415" t="str">
        <f ca="1"/>
        <v>10W40</v>
      </c>
      <c r="AI415" t="str">
        <f ca="1"/>
        <v>3000</v>
      </c>
      <c r="AJ415">
        <f ca="1"/>
        <v>0</v>
      </c>
      <c r="AK415" t="str">
        <f ca="1"/>
        <v>20x1L</v>
      </c>
      <c r="AL415">
        <f ca="1"/>
        <v>7697000</v>
      </c>
      <c r="AM415">
        <f ca="1"/>
        <v>1433434.7826086953</v>
      </c>
      <c r="AN415" t="str">
        <f ca="1"/>
        <v>O-45733-D-0025</v>
      </c>
      <c r="AO415" t="str">
        <f ca="1"/>
        <v>Delivered</v>
      </c>
    </row>
    <row r="416" spans="1:41" x14ac:dyDescent="0.5">
      <c r="A416" t="str">
        <f ca="1"/>
        <v>F-211</v>
      </c>
      <c r="B416" s="1">
        <f ca="1"/>
        <v>45733</v>
      </c>
      <c r="C416" t="str">
        <f ca="1"/>
        <v>D-0025</v>
      </c>
      <c r="D416" t="str">
        <f ca="1"/>
        <v>Rancon Motor Bikes Ltd</v>
      </c>
      <c r="E416" t="str">
        <f ca="1"/>
        <v/>
      </c>
      <c r="F416" t="str">
        <f ca="1"/>
        <v/>
      </c>
      <c r="G416" t="str">
        <f ca="1"/>
        <v>Captive Sales</v>
      </c>
      <c r="H416" t="str">
        <f ca="1"/>
        <v>Captive Sales</v>
      </c>
      <c r="I416" t="str">
        <f ca="1"/>
        <v>Rancon Motor Bikes Ltd</v>
      </c>
      <c r="J416" t="str">
        <f ca="1"/>
        <v>Dhaka</v>
      </c>
      <c r="K416" t="str">
        <f ca="1"/>
        <v>LO00046</v>
      </c>
      <c r="L416" t="str">
        <f ca="1"/>
        <v>51004T 10W40 ESTER</v>
      </c>
      <c r="M416">
        <f ca="1"/>
        <v>2000</v>
      </c>
      <c r="N416">
        <f ca="1"/>
        <v>830</v>
      </c>
      <c r="O416">
        <f ca="1"/>
        <v>2000</v>
      </c>
      <c r="P416">
        <f ca="1"/>
        <v>0</v>
      </c>
      <c r="Q416">
        <f ca="1"/>
        <v>0</v>
      </c>
      <c r="R416">
        <f ca="1"/>
        <v>830</v>
      </c>
      <c r="S416">
        <f ca="1"/>
        <v>2000</v>
      </c>
      <c r="T416">
        <f ca="1"/>
        <v>2000</v>
      </c>
      <c r="U416">
        <f ca="1"/>
        <v>1660000</v>
      </c>
      <c r="V416">
        <f ca="1"/>
        <v>0</v>
      </c>
      <c r="W416">
        <f ca="1"/>
        <v>1660000</v>
      </c>
      <c r="X416">
        <f ca="1"/>
        <v>216521.73913043478</v>
      </c>
      <c r="Y416">
        <f ca="1"/>
        <v>1443478.2608695652</v>
      </c>
      <c r="Z416" t="str">
        <f ca="1"/>
        <v>Cash</v>
      </c>
      <c r="AA416">
        <f ca="1"/>
        <v>675</v>
      </c>
      <c r="AB416" t="str">
        <f ca="1"/>
        <v>Flat Discount</v>
      </c>
      <c r="AC416">
        <f ca="1"/>
        <v>45733</v>
      </c>
      <c r="AD416" t="str">
        <f ca="1"/>
        <v/>
      </c>
      <c r="AE416" t="str">
        <f ca="1"/>
        <v>Captive Sales</v>
      </c>
      <c r="AF416" t="str">
        <f ca="1"/>
        <v>Technosynthese</v>
      </c>
      <c r="AG416" t="str">
        <f ca="1"/>
        <v>MCO</v>
      </c>
      <c r="AH416" t="str">
        <f ca="1"/>
        <v>10W40</v>
      </c>
      <c r="AI416" t="str">
        <f ca="1"/>
        <v>5100</v>
      </c>
      <c r="AJ416">
        <f ca="1"/>
        <v>0</v>
      </c>
      <c r="AK416" t="str">
        <f ca="1"/>
        <v>12x1L</v>
      </c>
      <c r="AL416">
        <f ca="1"/>
        <v>1216660</v>
      </c>
      <c r="AM416">
        <f ca="1"/>
        <v>226818.26086956519</v>
      </c>
      <c r="AN416" t="str">
        <f ca="1"/>
        <v>O-45733-D-0025</v>
      </c>
      <c r="AO416" t="str">
        <f ca="1"/>
        <v>Delivered</v>
      </c>
    </row>
    <row r="417" spans="1:41" x14ac:dyDescent="0.5">
      <c r="A417" t="str">
        <f ca="1"/>
        <v>F-211</v>
      </c>
      <c r="B417" s="1">
        <f ca="1"/>
        <v>45733</v>
      </c>
      <c r="C417" t="str">
        <f ca="1"/>
        <v>D-0025</v>
      </c>
      <c r="D417" t="str">
        <f ca="1"/>
        <v>Rancon Motor Bikes Ltd</v>
      </c>
      <c r="E417" t="str">
        <f ca="1"/>
        <v/>
      </c>
      <c r="F417" t="str">
        <f ca="1"/>
        <v/>
      </c>
      <c r="G417" t="str">
        <f ca="1"/>
        <v>Captive Sales</v>
      </c>
      <c r="H417" t="str">
        <f ca="1"/>
        <v>Captive Sales</v>
      </c>
      <c r="I417" t="str">
        <f ca="1"/>
        <v>Rancon Motor Bikes Ltd</v>
      </c>
      <c r="J417" t="str">
        <f ca="1"/>
        <v>Dhaka</v>
      </c>
      <c r="K417" t="str">
        <f ca="1"/>
        <v>LO00072</v>
      </c>
      <c r="L417" t="str">
        <f ca="1"/>
        <v>Scooter LE 4T 10W30 HC-TECH®</v>
      </c>
      <c r="M417">
        <f ca="1"/>
        <v>1100</v>
      </c>
      <c r="N417">
        <f ca="1"/>
        <v>450</v>
      </c>
      <c r="O417">
        <f ca="1"/>
        <v>880</v>
      </c>
      <c r="P417">
        <f ca="1"/>
        <v>0</v>
      </c>
      <c r="Q417">
        <f ca="1"/>
        <v>0</v>
      </c>
      <c r="R417">
        <f ca="1"/>
        <v>450</v>
      </c>
      <c r="S417">
        <f ca="1"/>
        <v>1100</v>
      </c>
      <c r="T417">
        <f ca="1"/>
        <v>880</v>
      </c>
      <c r="U417">
        <f ca="1"/>
        <v>495000</v>
      </c>
      <c r="V417">
        <f ca="1"/>
        <v>0</v>
      </c>
      <c r="W417">
        <f ca="1"/>
        <v>495000</v>
      </c>
      <c r="X417">
        <f ca="1"/>
        <v>64565.217391304344</v>
      </c>
      <c r="Y417">
        <f ca="1"/>
        <v>430434.78260869568</v>
      </c>
      <c r="Z417" t="str">
        <f ca="1"/>
        <v>Cash</v>
      </c>
      <c r="AA417">
        <f ca="1"/>
        <v>675</v>
      </c>
      <c r="AB417" t="str">
        <f ca="1"/>
        <v>Flat Discount</v>
      </c>
      <c r="AC417">
        <f ca="1"/>
        <v>45733</v>
      </c>
      <c r="AD417" t="str">
        <f ca="1"/>
        <v/>
      </c>
      <c r="AE417" t="str">
        <f ca="1"/>
        <v>Captive Sales</v>
      </c>
      <c r="AF417" t="str">
        <f ca="1"/>
        <v>Mineral</v>
      </c>
      <c r="AG417" t="str">
        <f ca="1"/>
        <v>MCO</v>
      </c>
      <c r="AH417" t="str">
        <f ca="1"/>
        <v>10W30</v>
      </c>
      <c r="AI417" t="str">
        <f ca="1"/>
        <v>Scooter</v>
      </c>
      <c r="AJ417">
        <f ca="1"/>
        <v>0</v>
      </c>
      <c r="AK417" t="str">
        <f ca="1"/>
        <v>20x0.8L</v>
      </c>
      <c r="AL417">
        <f ca="1"/>
        <v>366663</v>
      </c>
      <c r="AM417">
        <f ca="1"/>
        <v>63771.782608695677</v>
      </c>
      <c r="AN417" t="str">
        <f ca="1"/>
        <v>O-45733-D-0025</v>
      </c>
      <c r="AO417" t="str">
        <f ca="1"/>
        <v>Delivered</v>
      </c>
    </row>
    <row r="418" spans="1:41" x14ac:dyDescent="0.5">
      <c r="A418" t="str">
        <f ca="1"/>
        <v>F-211</v>
      </c>
      <c r="B418" s="1">
        <f ca="1"/>
        <v>45733</v>
      </c>
      <c r="C418" t="str">
        <f ca="1"/>
        <v>D-0025</v>
      </c>
      <c r="D418" t="str">
        <f ca="1"/>
        <v>Rancon Motor Bikes Ltd</v>
      </c>
      <c r="E418" t="str">
        <f ca="1"/>
        <v/>
      </c>
      <c r="F418" t="str">
        <f ca="1"/>
        <v/>
      </c>
      <c r="G418" t="str">
        <f ca="1"/>
        <v>Captive Sales</v>
      </c>
      <c r="H418" t="str">
        <f ca="1"/>
        <v>Captive Sales</v>
      </c>
      <c r="I418" t="str">
        <f ca="1"/>
        <v>Rancon Motor Bikes Ltd</v>
      </c>
      <c r="J418" t="str">
        <f ca="1"/>
        <v>Dhaka</v>
      </c>
      <c r="K418" t="str">
        <f ca="1"/>
        <v>LO00107</v>
      </c>
      <c r="L418" t="str">
        <f ca="1"/>
        <v>IRIX Long Life Grease</v>
      </c>
      <c r="M418">
        <f ca="1"/>
        <v>58</v>
      </c>
      <c r="N418">
        <f ca="1"/>
        <v>370</v>
      </c>
      <c r="O418">
        <f ca="1"/>
        <v>29</v>
      </c>
      <c r="P418">
        <f ca="1"/>
        <v>0</v>
      </c>
      <c r="Q418">
        <f ca="1"/>
        <v>0</v>
      </c>
      <c r="R418">
        <f ca="1"/>
        <v>370</v>
      </c>
      <c r="S418">
        <f ca="1"/>
        <v>58</v>
      </c>
      <c r="T418">
        <f ca="1"/>
        <v>29</v>
      </c>
      <c r="U418">
        <f ca="1"/>
        <v>21460</v>
      </c>
      <c r="V418">
        <f ca="1"/>
        <v>0</v>
      </c>
      <c r="W418">
        <f ca="1"/>
        <v>21460</v>
      </c>
      <c r="X418">
        <f ca="1"/>
        <v>2799.1304347826085</v>
      </c>
      <c r="Y418">
        <f ca="1"/>
        <v>18660.869565217392</v>
      </c>
      <c r="Z418" t="str">
        <f ca="1"/>
        <v>Cash</v>
      </c>
      <c r="AA418">
        <f ca="1"/>
        <v>675</v>
      </c>
      <c r="AB418" t="str">
        <f ca="1"/>
        <v>Flat Discount</v>
      </c>
      <c r="AC418">
        <f ca="1"/>
        <v>45733</v>
      </c>
      <c r="AD418" t="str">
        <f ca="1"/>
        <v/>
      </c>
      <c r="AE418" t="str">
        <f ca="1"/>
        <v>Captive Sales</v>
      </c>
      <c r="AF418" t="str">
        <f ca="1"/>
        <v>Care Products</v>
      </c>
      <c r="AG418" t="str">
        <f ca="1"/>
        <v>Care Products</v>
      </c>
      <c r="AH418" t="str">
        <f ca="1"/>
        <v>Care Products</v>
      </c>
      <c r="AI418" t="str">
        <f ca="1"/>
        <v>Grease</v>
      </c>
      <c r="AJ418">
        <f ca="1"/>
        <v>0</v>
      </c>
      <c r="AK418" t="str">
        <f ca="1"/>
        <v>20x0.5L</v>
      </c>
      <c r="AL418">
        <f ca="1"/>
        <v>16526.52</v>
      </c>
      <c r="AM418">
        <f ca="1"/>
        <v>2134.3495652173915</v>
      </c>
      <c r="AN418" t="str">
        <f ca="1"/>
        <v>O-45733-D-0025</v>
      </c>
      <c r="AO418" t="str">
        <f ca="1"/>
        <v>Delivered</v>
      </c>
    </row>
    <row r="419" spans="1:41" x14ac:dyDescent="0.5">
      <c r="A419" t="str">
        <f ca="1"/>
        <v>F-211</v>
      </c>
      <c r="B419" s="1">
        <f ca="1"/>
        <v>45733</v>
      </c>
      <c r="C419" t="str">
        <f ca="1"/>
        <v>D-0025</v>
      </c>
      <c r="D419" t="str">
        <f ca="1"/>
        <v>Rancon Motor Bikes Ltd</v>
      </c>
      <c r="E419" t="str">
        <f ca="1"/>
        <v/>
      </c>
      <c r="F419" t="str">
        <f ca="1"/>
        <v/>
      </c>
      <c r="G419" t="str">
        <f ca="1"/>
        <v>Captive Sales</v>
      </c>
      <c r="H419" t="str">
        <f ca="1"/>
        <v>Captive Sales</v>
      </c>
      <c r="I419" t="str">
        <f ca="1"/>
        <v>Rancon Motor Bikes Ltd</v>
      </c>
      <c r="J419" t="str">
        <f ca="1"/>
        <v>Dhaka</v>
      </c>
      <c r="K419" t="str">
        <f ca="1"/>
        <v>LO00116</v>
      </c>
      <c r="L419" t="str">
        <f ca="1"/>
        <v>Engine Flush</v>
      </c>
      <c r="M419">
        <f ca="1"/>
        <v>4691</v>
      </c>
      <c r="N419">
        <f ca="1"/>
        <v>195</v>
      </c>
      <c r="O419">
        <f ca="1"/>
        <v>234.55</v>
      </c>
      <c r="P419">
        <f ca="1"/>
        <v>0</v>
      </c>
      <c r="Q419">
        <f ca="1"/>
        <v>0</v>
      </c>
      <c r="R419">
        <f ca="1"/>
        <v>195</v>
      </c>
      <c r="S419">
        <f ca="1"/>
        <v>4691</v>
      </c>
      <c r="T419">
        <f ca="1"/>
        <v>234.55</v>
      </c>
      <c r="U419">
        <f ca="1"/>
        <v>914745</v>
      </c>
      <c r="V419">
        <f ca="1"/>
        <v>0</v>
      </c>
      <c r="W419">
        <f ca="1"/>
        <v>914745</v>
      </c>
      <c r="X419">
        <f ca="1"/>
        <v>119314.56521739131</v>
      </c>
      <c r="Y419">
        <f ca="1"/>
        <v>795430.43478260865</v>
      </c>
      <c r="Z419" t="str">
        <f ca="1"/>
        <v>Cash</v>
      </c>
      <c r="AA419">
        <f ca="1"/>
        <v>675</v>
      </c>
      <c r="AB419" t="str">
        <f ca="1"/>
        <v>Flat Discount</v>
      </c>
      <c r="AC419">
        <f ca="1"/>
        <v>45733</v>
      </c>
      <c r="AD419" t="str">
        <f ca="1"/>
        <v/>
      </c>
      <c r="AE419" t="str">
        <f ca="1"/>
        <v>Captive Sales</v>
      </c>
      <c r="AF419" t="str">
        <f ca="1"/>
        <v>Care Products</v>
      </c>
      <c r="AG419" t="str">
        <f ca="1"/>
        <v>Care Products</v>
      </c>
      <c r="AH419" t="str">
        <f ca="1"/>
        <v>Care Products</v>
      </c>
      <c r="AI419" t="str">
        <f ca="1"/>
        <v>Clean</v>
      </c>
      <c r="AJ419">
        <f ca="1"/>
        <v>0</v>
      </c>
      <c r="AK419" t="str">
        <f ca="1"/>
        <v>24x0.05L</v>
      </c>
      <c r="AL419">
        <f ca="1"/>
        <v>610346.01</v>
      </c>
      <c r="AM419">
        <f ca="1"/>
        <v>185084.42478260864</v>
      </c>
      <c r="AN419" t="str">
        <f ca="1"/>
        <v>O-45733-D-0025</v>
      </c>
      <c r="AO419" t="str">
        <f ca="1"/>
        <v>Delivered</v>
      </c>
    </row>
    <row r="420" spans="1:41" x14ac:dyDescent="0.5">
      <c r="A420" t="str">
        <f ca="1"/>
        <v>F-211</v>
      </c>
      <c r="B420" s="1">
        <f ca="1"/>
        <v>45733</v>
      </c>
      <c r="C420" t="str">
        <f ca="1"/>
        <v>D-0025</v>
      </c>
      <c r="D420" t="str">
        <f ca="1"/>
        <v>Rancon Motor Bikes Ltd</v>
      </c>
      <c r="E420" t="str">
        <f ca="1"/>
        <v/>
      </c>
      <c r="F420" t="str">
        <f ca="1"/>
        <v/>
      </c>
      <c r="G420" t="str">
        <f ca="1"/>
        <v>Captive Sales</v>
      </c>
      <c r="H420" t="str">
        <f ca="1"/>
        <v>Captive Sales</v>
      </c>
      <c r="I420" t="str">
        <f ca="1"/>
        <v>Rancon Motor Bikes Ltd</v>
      </c>
      <c r="J420" t="str">
        <f ca="1"/>
        <v>Dhaka</v>
      </c>
      <c r="K420" t="str">
        <f ca="1"/>
        <v>LO00117</v>
      </c>
      <c r="L420" t="str">
        <f ca="1"/>
        <v>Brake Fluid DOT 4</v>
      </c>
      <c r="M420">
        <f ca="1"/>
        <v>11920</v>
      </c>
      <c r="N420">
        <f ca="1"/>
        <v>120</v>
      </c>
      <c r="O420">
        <f ca="1"/>
        <v>1192</v>
      </c>
      <c r="P420">
        <f ca="1"/>
        <v>0</v>
      </c>
      <c r="Q420">
        <f ca="1"/>
        <v>0</v>
      </c>
      <c r="R420">
        <f ca="1"/>
        <v>120</v>
      </c>
      <c r="S420">
        <f ca="1"/>
        <v>11920</v>
      </c>
      <c r="T420">
        <f ca="1"/>
        <v>1192</v>
      </c>
      <c r="U420">
        <f ca="1"/>
        <v>1430400</v>
      </c>
      <c r="V420">
        <f ca="1"/>
        <v>0</v>
      </c>
      <c r="W420">
        <f ca="1"/>
        <v>1430400</v>
      </c>
      <c r="X420">
        <f ca="1"/>
        <v>186573.91304347827</v>
      </c>
      <c r="Y420">
        <f ca="1"/>
        <v>1243826.0869565217</v>
      </c>
      <c r="Z420" t="str">
        <f ca="1"/>
        <v>Cash</v>
      </c>
      <c r="AA420">
        <f ca="1"/>
        <v>675</v>
      </c>
      <c r="AB420" t="str">
        <f ca="1"/>
        <v>Flat Discount</v>
      </c>
      <c r="AC420">
        <f ca="1"/>
        <v>45733</v>
      </c>
      <c r="AD420" t="str">
        <f ca="1"/>
        <v/>
      </c>
      <c r="AE420" t="str">
        <f ca="1"/>
        <v>Captive Sales</v>
      </c>
      <c r="AF420" t="str">
        <f ca="1"/>
        <v>Care Products</v>
      </c>
      <c r="AG420" t="str">
        <f ca="1"/>
        <v>Care Products</v>
      </c>
      <c r="AH420" t="str">
        <f ca="1"/>
        <v>Care Products</v>
      </c>
      <c r="AI420" t="str">
        <f ca="1"/>
        <v>Brake</v>
      </c>
      <c r="AJ420">
        <f ca="1"/>
        <v>0</v>
      </c>
      <c r="AK420" t="str">
        <f ca="1"/>
        <v>40x0.1L</v>
      </c>
      <c r="AL420">
        <f ca="1"/>
        <v>862411.99999999988</v>
      </c>
      <c r="AM420">
        <f ca="1"/>
        <v>381414.08695652185</v>
      </c>
      <c r="AN420" t="str">
        <f ca="1"/>
        <v>O-45733-D-0025</v>
      </c>
      <c r="AO420" t="str">
        <f ca="1"/>
        <v>Delivered</v>
      </c>
    </row>
    <row r="421" spans="1:41" x14ac:dyDescent="0.5">
      <c r="A421" t="str">
        <f ca="1"/>
        <v>Fs-127</v>
      </c>
      <c r="B421" s="1">
        <f ca="1"/>
        <v>47847</v>
      </c>
      <c r="C421" t="str">
        <f ca="1"/>
        <v>D-0025</v>
      </c>
      <c r="D421" t="str">
        <f ca="1"/>
        <v>Rancon Motor Bikes Ltd</v>
      </c>
      <c r="E421" t="str">
        <f ca="1"/>
        <v/>
      </c>
      <c r="F421" t="str">
        <f ca="1"/>
        <v/>
      </c>
      <c r="G421" t="str">
        <f ca="1"/>
        <v>Captive Sales</v>
      </c>
      <c r="H421" t="str">
        <f ca="1"/>
        <v>Captive Sales</v>
      </c>
      <c r="I421" t="str">
        <f ca="1"/>
        <v>Rancon Motor Bikes Ltd</v>
      </c>
      <c r="J421" t="str">
        <f ca="1"/>
        <v>Dhaka</v>
      </c>
      <c r="K421" t="str">
        <f ca="1"/>
        <v>LO00043</v>
      </c>
      <c r="L421" t="str">
        <f ca="1"/>
        <v>3000 4T PLUS 10W40</v>
      </c>
      <c r="M421">
        <f ca="1"/>
        <v>27000</v>
      </c>
      <c r="N421">
        <f ca="1"/>
        <v>550</v>
      </c>
      <c r="O421">
        <f ca="1"/>
        <v>27000</v>
      </c>
      <c r="P421">
        <f ca="1"/>
        <v>4.5454545454545414E-2</v>
      </c>
      <c r="Q421">
        <f ca="1"/>
        <v>0</v>
      </c>
      <c r="R421">
        <f ca="1"/>
        <v>525</v>
      </c>
      <c r="S421">
        <f ca="1"/>
        <v>27000</v>
      </c>
      <c r="T421">
        <f ca="1"/>
        <v>27000</v>
      </c>
      <c r="U421">
        <f ca="1"/>
        <v>14850000</v>
      </c>
      <c r="V421">
        <f ca="1"/>
        <v>0</v>
      </c>
      <c r="W421">
        <f ca="1"/>
        <v>14175000</v>
      </c>
      <c r="X421">
        <f ca="1"/>
        <v>1848913.043478261</v>
      </c>
      <c r="Y421">
        <f ca="1"/>
        <v>12326086.956521738</v>
      </c>
      <c r="Z421" t="str">
        <f ca="1"/>
        <v>Cash</v>
      </c>
      <c r="AA421" t="str">
        <f ca="1"/>
        <v/>
      </c>
      <c r="AB421" t="str">
        <f ca="1"/>
        <v>Custom</v>
      </c>
      <c r="AC421" t="str">
        <f ca="1"/>
        <v/>
      </c>
      <c r="AD421" t="str">
        <f ca="1"/>
        <v/>
      </c>
      <c r="AE421" t="str">
        <f ca="1"/>
        <v>Captive Sales</v>
      </c>
      <c r="AF421" t="str">
        <f ca="1"/>
        <v>Mineral</v>
      </c>
      <c r="AG421" t="str">
        <f ca="1"/>
        <v>MCO</v>
      </c>
      <c r="AH421" t="str">
        <f ca="1"/>
        <v>10W40</v>
      </c>
      <c r="AI421" t="str">
        <f ca="1"/>
        <v>3000</v>
      </c>
      <c r="AJ421">
        <f ca="1"/>
        <v>0</v>
      </c>
      <c r="AK421" t="str">
        <f ca="1"/>
        <v>20x1L</v>
      </c>
      <c r="AL421">
        <f ca="1"/>
        <v>10390950</v>
      </c>
      <c r="AM421">
        <f ca="1"/>
        <v>1935136.9565217383</v>
      </c>
      <c r="AN421" t="str">
        <f ca="1"/>
        <v>O-47847-D-0025</v>
      </c>
      <c r="AO421" t="str">
        <f ca="1"/>
        <v>Pending</v>
      </c>
    </row>
    <row r="422" spans="1:41" x14ac:dyDescent="0.5">
      <c r="A422" t="str">
        <f ca="1"/>
        <v>Fs-127</v>
      </c>
      <c r="B422" s="1">
        <f ca="1"/>
        <v>47847</v>
      </c>
      <c r="C422" t="str">
        <f ca="1"/>
        <v>D-0025</v>
      </c>
      <c r="D422" t="str">
        <f ca="1"/>
        <v>Rancon Motor Bikes Ltd</v>
      </c>
      <c r="E422" t="str">
        <f ca="1"/>
        <v/>
      </c>
      <c r="F422" t="str">
        <f ca="1"/>
        <v/>
      </c>
      <c r="G422" t="str">
        <f ca="1"/>
        <v>Captive Sales</v>
      </c>
      <c r="H422" t="str">
        <f ca="1"/>
        <v>Captive Sales</v>
      </c>
      <c r="I422" t="str">
        <f ca="1"/>
        <v>Rancon Motor Bikes Ltd</v>
      </c>
      <c r="J422" t="str">
        <f ca="1"/>
        <v>Dhaka</v>
      </c>
      <c r="K422" t="str">
        <f ca="1"/>
        <v>LO00097</v>
      </c>
      <c r="L422" t="str">
        <f ca="1"/>
        <v>31004T GOLD 10W40</v>
      </c>
      <c r="M422">
        <f ca="1"/>
        <v>58</v>
      </c>
      <c r="N422">
        <f ca="1"/>
        <v>600</v>
      </c>
      <c r="O422">
        <f ca="1"/>
        <v>58</v>
      </c>
      <c r="P422">
        <f ca="1"/>
        <v>5.8333333333333348E-2</v>
      </c>
      <c r="Q422">
        <f ca="1"/>
        <v>0</v>
      </c>
      <c r="R422">
        <f ca="1"/>
        <v>565</v>
      </c>
      <c r="S422">
        <f ca="1"/>
        <v>58</v>
      </c>
      <c r="T422">
        <f ca="1"/>
        <v>58</v>
      </c>
      <c r="U422">
        <f ca="1"/>
        <v>34800</v>
      </c>
      <c r="V422">
        <f ca="1"/>
        <v>0</v>
      </c>
      <c r="W422">
        <f ca="1"/>
        <v>32770</v>
      </c>
      <c r="X422">
        <f ca="1"/>
        <v>4274.347826086957</v>
      </c>
      <c r="Y422">
        <f ca="1"/>
        <v>28495.652173913044</v>
      </c>
      <c r="Z422" t="str">
        <f ca="1"/>
        <v>Cash</v>
      </c>
      <c r="AA422" t="str">
        <f ca="1"/>
        <v/>
      </c>
      <c r="AB422" t="str">
        <f ca="1"/>
        <v>Custom</v>
      </c>
      <c r="AC422" t="str">
        <f ca="1"/>
        <v/>
      </c>
      <c r="AD422" t="str">
        <f ca="1"/>
        <v/>
      </c>
      <c r="AE422" t="str">
        <f ca="1"/>
        <v>Captive Sales</v>
      </c>
      <c r="AF422" t="str">
        <f ca="1"/>
        <v>Technosynthese</v>
      </c>
      <c r="AG422" t="str">
        <f ca="1"/>
        <v>MCO</v>
      </c>
      <c r="AH422" t="str">
        <f ca="1"/>
        <v>10W40</v>
      </c>
      <c r="AI422" t="str">
        <f ca="1"/>
        <v>3100</v>
      </c>
      <c r="AJ422">
        <f ca="1"/>
        <v>0</v>
      </c>
      <c r="AK422" t="str">
        <f ca="1"/>
        <v>20x1L</v>
      </c>
      <c r="AL422">
        <f ca="1"/>
        <v>24271.84</v>
      </c>
      <c r="AM422">
        <f ca="1"/>
        <v>4223.8121739130438</v>
      </c>
      <c r="AN422" t="str">
        <f ca="1"/>
        <v>O-47847-D-0025</v>
      </c>
      <c r="AO422" t="str">
        <f ca="1"/>
        <v>Pending</v>
      </c>
    </row>
    <row r="423" spans="1:41" x14ac:dyDescent="0.5">
      <c r="A423" t="str">
        <f ca="1"/>
        <v>Fs-127</v>
      </c>
      <c r="B423" s="1">
        <f ca="1"/>
        <v>47847</v>
      </c>
      <c r="C423" t="str">
        <f ca="1"/>
        <v>D-0025</v>
      </c>
      <c r="D423" t="str">
        <f ca="1"/>
        <v>Rancon Motor Bikes Ltd</v>
      </c>
      <c r="E423" t="str">
        <f ca="1"/>
        <v/>
      </c>
      <c r="F423" t="str">
        <f ca="1"/>
        <v/>
      </c>
      <c r="G423" t="str">
        <f ca="1"/>
        <v>Captive Sales</v>
      </c>
      <c r="H423" t="str">
        <f ca="1"/>
        <v>Captive Sales</v>
      </c>
      <c r="I423" t="str">
        <f ca="1"/>
        <v>Rancon Motor Bikes Ltd</v>
      </c>
      <c r="J423" t="str">
        <f ca="1"/>
        <v>Dhaka</v>
      </c>
      <c r="K423" t="str">
        <f ca="1"/>
        <v>LO00046</v>
      </c>
      <c r="L423" t="str">
        <f ca="1"/>
        <v>51004T 10W40 ESTER</v>
      </c>
      <c r="M423">
        <f ca="1"/>
        <v>1760</v>
      </c>
      <c r="N423">
        <f ca="1"/>
        <v>860</v>
      </c>
      <c r="O423">
        <f ca="1"/>
        <v>1760</v>
      </c>
      <c r="P423">
        <f ca="1"/>
        <v>3.4883720930232509E-2</v>
      </c>
      <c r="Q423">
        <f ca="1"/>
        <v>0</v>
      </c>
      <c r="R423">
        <f ca="1"/>
        <v>830</v>
      </c>
      <c r="S423">
        <f ca="1"/>
        <v>1760</v>
      </c>
      <c r="T423">
        <f ca="1"/>
        <v>1760</v>
      </c>
      <c r="U423">
        <f ca="1"/>
        <v>1513600</v>
      </c>
      <c r="V423">
        <f ca="1"/>
        <v>0</v>
      </c>
      <c r="W423">
        <f ca="1"/>
        <v>1460800</v>
      </c>
      <c r="X423">
        <f ca="1"/>
        <v>190539.13043478262</v>
      </c>
      <c r="Y423">
        <f ca="1"/>
        <v>1270260.8695652173</v>
      </c>
      <c r="Z423" t="str">
        <f ca="1"/>
        <v>Cash</v>
      </c>
      <c r="AA423" t="str">
        <f ca="1"/>
        <v/>
      </c>
      <c r="AB423" t="str">
        <f ca="1"/>
        <v>Custom</v>
      </c>
      <c r="AC423" t="str">
        <f ca="1"/>
        <v/>
      </c>
      <c r="AD423" t="str">
        <f ca="1"/>
        <v/>
      </c>
      <c r="AE423" t="str">
        <f ca="1"/>
        <v>Captive Sales</v>
      </c>
      <c r="AF423" t="str">
        <f ca="1"/>
        <v>Technosynthese</v>
      </c>
      <c r="AG423" t="str">
        <f ca="1"/>
        <v>MCO</v>
      </c>
      <c r="AH423" t="str">
        <f ca="1"/>
        <v>10W40</v>
      </c>
      <c r="AI423" t="str">
        <f ca="1"/>
        <v>5100</v>
      </c>
      <c r="AJ423">
        <f ca="1"/>
        <v>0</v>
      </c>
      <c r="AK423" t="str">
        <f ca="1"/>
        <v>12x1L</v>
      </c>
      <c r="AL423">
        <f ca="1"/>
        <v>1070660.8</v>
      </c>
      <c r="AM423">
        <f ca="1"/>
        <v>199600.06956521724</v>
      </c>
      <c r="AN423" t="str">
        <f ca="1"/>
        <v>O-47847-D-0025</v>
      </c>
      <c r="AO423" t="str">
        <f ca="1"/>
        <v>Pending</v>
      </c>
    </row>
    <row r="424" spans="1:41" x14ac:dyDescent="0.5">
      <c r="A424" t="str">
        <f ca="1"/>
        <v>Fs-127</v>
      </c>
      <c r="B424" s="1">
        <f ca="1"/>
        <v>47847</v>
      </c>
      <c r="C424" t="str">
        <f ca="1"/>
        <v>D-0025</v>
      </c>
      <c r="D424" t="str">
        <f ca="1"/>
        <v>Rancon Motor Bikes Ltd</v>
      </c>
      <c r="E424" t="str">
        <f ca="1"/>
        <v/>
      </c>
      <c r="F424" t="str">
        <f ca="1"/>
        <v/>
      </c>
      <c r="G424" t="str">
        <f ca="1"/>
        <v>Captive Sales</v>
      </c>
      <c r="H424" t="str">
        <f ca="1"/>
        <v>Captive Sales</v>
      </c>
      <c r="I424" t="str">
        <f ca="1"/>
        <v>Rancon Motor Bikes Ltd</v>
      </c>
      <c r="J424" t="str">
        <f ca="1"/>
        <v>Dhaka</v>
      </c>
      <c r="K424" t="str">
        <f ca="1"/>
        <v>LO00047</v>
      </c>
      <c r="L424" t="str">
        <f ca="1"/>
        <v>7100 4T 10W40 ESTER CORE®</v>
      </c>
      <c r="M424">
        <f ca="1"/>
        <v>506</v>
      </c>
      <c r="N424">
        <f ca="1"/>
        <v>1070</v>
      </c>
      <c r="O424">
        <f ca="1"/>
        <v>506</v>
      </c>
      <c r="P424">
        <f ca="1"/>
        <v>2.8037383177570097E-2</v>
      </c>
      <c r="Q424">
        <f ca="1"/>
        <v>0</v>
      </c>
      <c r="R424">
        <f ca="1"/>
        <v>1040</v>
      </c>
      <c r="S424">
        <f ca="1"/>
        <v>506</v>
      </c>
      <c r="T424">
        <f ca="1"/>
        <v>506</v>
      </c>
      <c r="U424">
        <f ca="1"/>
        <v>541420</v>
      </c>
      <c r="V424">
        <f ca="1"/>
        <v>0</v>
      </c>
      <c r="W424">
        <f ca="1"/>
        <v>526240</v>
      </c>
      <c r="X424">
        <f ca="1"/>
        <v>68640</v>
      </c>
      <c r="Y424">
        <f ca="1"/>
        <v>457600</v>
      </c>
      <c r="Z424" t="str">
        <f ca="1"/>
        <v>Cash</v>
      </c>
      <c r="AA424" t="str">
        <f ca="1"/>
        <v/>
      </c>
      <c r="AB424" t="str">
        <f ca="1"/>
        <v>Custom</v>
      </c>
      <c r="AC424" t="str">
        <f ca="1"/>
        <v/>
      </c>
      <c r="AD424" t="str">
        <f ca="1"/>
        <v/>
      </c>
      <c r="AE424" t="str">
        <f ca="1"/>
        <v>Captive Sales</v>
      </c>
      <c r="AF424" t="str">
        <f ca="1"/>
        <v>Synthetic</v>
      </c>
      <c r="AG424" t="str">
        <f ca="1"/>
        <v>MCO</v>
      </c>
      <c r="AH424" t="str">
        <f ca="1"/>
        <v>10W40</v>
      </c>
      <c r="AI424" t="str">
        <f ca="1"/>
        <v>7100</v>
      </c>
      <c r="AJ424">
        <f ca="1"/>
        <v>0</v>
      </c>
      <c r="AK424" t="str">
        <f ca="1"/>
        <v>12x1L</v>
      </c>
      <c r="AL424">
        <f ca="1"/>
        <v>351158.94</v>
      </c>
      <c r="AM424">
        <f ca="1"/>
        <v>106441.06</v>
      </c>
      <c r="AN424" t="str">
        <f ca="1"/>
        <v>O-47847-D-0025</v>
      </c>
      <c r="AO424" t="str">
        <f ca="1"/>
        <v>Pending</v>
      </c>
    </row>
    <row r="425" spans="1:41" x14ac:dyDescent="0.5">
      <c r="A425" t="str">
        <f ca="1"/>
        <v>Fs-127</v>
      </c>
      <c r="B425" s="1">
        <f ca="1"/>
        <v>47847</v>
      </c>
      <c r="C425" t="str">
        <f ca="1"/>
        <v>D-0025</v>
      </c>
      <c r="D425" t="str">
        <f ca="1"/>
        <v>Rancon Motor Bikes Ltd</v>
      </c>
      <c r="E425" t="str">
        <f ca="1"/>
        <v/>
      </c>
      <c r="F425" t="str">
        <f ca="1"/>
        <v/>
      </c>
      <c r="G425" t="str">
        <f ca="1"/>
        <v>Captive Sales</v>
      </c>
      <c r="H425" t="str">
        <f ca="1"/>
        <v>Captive Sales</v>
      </c>
      <c r="I425" t="str">
        <f ca="1"/>
        <v>Rancon Motor Bikes Ltd</v>
      </c>
      <c r="J425" t="str">
        <f ca="1"/>
        <v>Dhaka</v>
      </c>
      <c r="K425" t="str">
        <f ca="1"/>
        <v>LO00064</v>
      </c>
      <c r="L425" t="str">
        <f ca="1"/>
        <v>Fork Oil Expert</v>
      </c>
      <c r="M425">
        <f ca="1"/>
        <v>100</v>
      </c>
      <c r="N425">
        <f ca="1"/>
        <v>255</v>
      </c>
      <c r="O425">
        <f ca="1"/>
        <v>35</v>
      </c>
      <c r="P425">
        <f ca="1"/>
        <v>0.13725490196078416</v>
      </c>
      <c r="Q425">
        <f ca="1"/>
        <v>0</v>
      </c>
      <c r="R425">
        <f ca="1"/>
        <v>220.00000000000003</v>
      </c>
      <c r="S425">
        <f ca="1"/>
        <v>100</v>
      </c>
      <c r="T425">
        <f ca="1"/>
        <v>35</v>
      </c>
      <c r="U425">
        <f ca="1"/>
        <v>25500</v>
      </c>
      <c r="V425">
        <f ca="1"/>
        <v>0</v>
      </c>
      <c r="W425">
        <f ca="1"/>
        <v>22000.000000000004</v>
      </c>
      <c r="X425">
        <f ca="1"/>
        <v>2869.5652173913049</v>
      </c>
      <c r="Y425">
        <f ca="1"/>
        <v>19130.4347826087</v>
      </c>
      <c r="Z425" t="str">
        <f ca="1"/>
        <v>Cash</v>
      </c>
      <c r="AA425" t="str">
        <f ca="1"/>
        <v/>
      </c>
      <c r="AB425" t="str">
        <f ca="1"/>
        <v>Custom</v>
      </c>
      <c r="AC425" t="str">
        <f ca="1"/>
        <v/>
      </c>
      <c r="AD425" t="str">
        <f ca="1"/>
        <v/>
      </c>
      <c r="AE425" t="str">
        <f ca="1"/>
        <v>Captive Sales</v>
      </c>
      <c r="AF425" t="str">
        <f ca="1"/>
        <v>Care Products</v>
      </c>
      <c r="AG425" t="str">
        <f ca="1"/>
        <v>Care Products</v>
      </c>
      <c r="AH425" t="str">
        <f ca="1"/>
        <v>Care Products</v>
      </c>
      <c r="AI425" t="str">
        <f ca="1"/>
        <v>Fork Oil</v>
      </c>
      <c r="AJ425">
        <f ca="1"/>
        <v>0</v>
      </c>
      <c r="AK425" t="str">
        <f ca="1"/>
        <v>20x0.35L</v>
      </c>
      <c r="AL425">
        <f ca="1"/>
        <v>16471</v>
      </c>
      <c r="AM425">
        <f ca="1"/>
        <v>2659.4347826086996</v>
      </c>
      <c r="AN425" t="str">
        <f ca="1"/>
        <v>O-47847-D-0025</v>
      </c>
      <c r="AO425" t="str">
        <f ca="1"/>
        <v>Pending</v>
      </c>
    </row>
    <row r="426" spans="1:41" x14ac:dyDescent="0.5">
      <c r="A426" t="str">
        <f ca="1"/>
        <v>Fs-127</v>
      </c>
      <c r="B426" s="1">
        <f ca="1"/>
        <v>47847</v>
      </c>
      <c r="C426" t="str">
        <f ca="1"/>
        <v>D-0025</v>
      </c>
      <c r="D426" t="str">
        <f ca="1"/>
        <v>Rancon Motor Bikes Ltd</v>
      </c>
      <c r="E426" t="str">
        <f ca="1"/>
        <v/>
      </c>
      <c r="F426" t="str">
        <f ca="1"/>
        <v/>
      </c>
      <c r="G426" t="str">
        <f ca="1"/>
        <v>Captive Sales</v>
      </c>
      <c r="H426" t="str">
        <f ca="1"/>
        <v>Captive Sales</v>
      </c>
      <c r="I426" t="str">
        <f ca="1"/>
        <v>Rancon Motor Bikes Ltd</v>
      </c>
      <c r="J426" t="str">
        <f ca="1"/>
        <v>Dhaka</v>
      </c>
      <c r="K426" t="str">
        <f ca="1"/>
        <v>LO00117</v>
      </c>
      <c r="L426" t="str">
        <f ca="1"/>
        <v>Brake Fluid DOT 4</v>
      </c>
      <c r="M426">
        <f ca="1"/>
        <v>1159</v>
      </c>
      <c r="N426">
        <f ca="1"/>
        <v>127.5</v>
      </c>
      <c r="O426">
        <f ca="1"/>
        <v>115.9</v>
      </c>
      <c r="P426">
        <f ca="1"/>
        <v>5.8823529411764719E-2</v>
      </c>
      <c r="Q426">
        <f ca="1"/>
        <v>0</v>
      </c>
      <c r="R426">
        <f ca="1"/>
        <v>120</v>
      </c>
      <c r="S426">
        <f ca="1"/>
        <v>1159</v>
      </c>
      <c r="T426">
        <f ca="1"/>
        <v>115.9</v>
      </c>
      <c r="U426">
        <f ca="1"/>
        <v>147772.5</v>
      </c>
      <c r="V426">
        <f ca="1"/>
        <v>0</v>
      </c>
      <c r="W426">
        <f ca="1"/>
        <v>139080</v>
      </c>
      <c r="X426">
        <f ca="1"/>
        <v>18140.869565217392</v>
      </c>
      <c r="Y426">
        <f ca="1"/>
        <v>120939.13043478261</v>
      </c>
      <c r="Z426" t="str">
        <f ca="1"/>
        <v>Cash</v>
      </c>
      <c r="AA426" t="str">
        <f ca="1"/>
        <v/>
      </c>
      <c r="AB426" t="str">
        <f ca="1"/>
        <v>Custom</v>
      </c>
      <c r="AC426" t="str">
        <f ca="1"/>
        <v/>
      </c>
      <c r="AD426" t="str">
        <f ca="1"/>
        <v/>
      </c>
      <c r="AE426" t="str">
        <f ca="1"/>
        <v>Captive Sales</v>
      </c>
      <c r="AF426" t="str">
        <f ca="1"/>
        <v>Care Products</v>
      </c>
      <c r="AG426" t="str">
        <f ca="1"/>
        <v>Care Products</v>
      </c>
      <c r="AH426" t="str">
        <f ca="1"/>
        <v>Care Products</v>
      </c>
      <c r="AI426" t="str">
        <f ca="1"/>
        <v>Brake</v>
      </c>
      <c r="AJ426">
        <f ca="1"/>
        <v>0</v>
      </c>
      <c r="AK426" t="str">
        <f ca="1"/>
        <v>40x0.1L</v>
      </c>
      <c r="AL426">
        <f ca="1"/>
        <v>83853.649999999994</v>
      </c>
      <c r="AM426">
        <f ca="1"/>
        <v>37085.480434782614</v>
      </c>
      <c r="AN426" t="str">
        <f ca="1"/>
        <v>O-47847-D-0025</v>
      </c>
      <c r="AO426" t="str">
        <f ca="1"/>
        <v>Pending</v>
      </c>
    </row>
    <row r="427" spans="1:41" x14ac:dyDescent="0.5">
      <c r="A427" t="str">
        <f ca="1"/>
        <v>F-213</v>
      </c>
      <c r="B427" s="1">
        <f ca="1"/>
        <v>45732</v>
      </c>
      <c r="C427" t="str">
        <f ca="1"/>
        <v>D-0005</v>
      </c>
      <c r="D427" t="str">
        <f ca="1"/>
        <v>Alam Traders</v>
      </c>
      <c r="E427" t="str">
        <f ca="1"/>
        <v>Rajshahi Sadar, Rajshahi</v>
      </c>
      <c r="F427">
        <f ca="1"/>
        <v>1715299768</v>
      </c>
      <c r="G427" t="str">
        <f ca="1"/>
        <v>Md. Hasemi Rafsan</v>
      </c>
      <c r="H427" t="str">
        <f ca="1"/>
        <v>Raihan Siddiqui</v>
      </c>
      <c r="I427" t="str">
        <f ca="1"/>
        <v>Alam Traders</v>
      </c>
      <c r="J427" t="str">
        <f ca="1"/>
        <v>Rajshahi Sadar</v>
      </c>
      <c r="K427" t="str">
        <f ca="1"/>
        <v>LO00042</v>
      </c>
      <c r="L427" t="str">
        <f ca="1"/>
        <v>3000 4T PLUS 20W40</v>
      </c>
      <c r="M427">
        <f ca="1"/>
        <v>1000</v>
      </c>
      <c r="N427">
        <f ca="1"/>
        <v>520</v>
      </c>
      <c r="O427">
        <f ca="1"/>
        <v>1000</v>
      </c>
      <c r="P427">
        <f ca="1"/>
        <v>9.6153846153845812E-3</v>
      </c>
      <c r="Q427">
        <f ca="1"/>
        <v>0</v>
      </c>
      <c r="R427">
        <f ca="1"/>
        <v>515</v>
      </c>
      <c r="S427">
        <f ca="1"/>
        <v>1000</v>
      </c>
      <c r="T427">
        <f ca="1"/>
        <v>1000</v>
      </c>
      <c r="U427">
        <f ca="1"/>
        <v>520000</v>
      </c>
      <c r="V427">
        <f ca="1"/>
        <v>0</v>
      </c>
      <c r="W427">
        <f ca="1"/>
        <v>515000</v>
      </c>
      <c r="X427">
        <f ca="1"/>
        <v>67173.913043478256</v>
      </c>
      <c r="Y427">
        <f ca="1"/>
        <v>447826.08695652173</v>
      </c>
      <c r="Z427" t="str">
        <f ca="1"/>
        <v>Cash</v>
      </c>
      <c r="AA427">
        <f ca="1"/>
        <v>677</v>
      </c>
      <c r="AB427" t="str">
        <f ca="1"/>
        <v>Regular</v>
      </c>
      <c r="AC427">
        <f ca="1"/>
        <v>45734</v>
      </c>
      <c r="AD427" t="str">
        <f ca="1"/>
        <v/>
      </c>
      <c r="AE427" t="str">
        <f ca="1"/>
        <v>Northern</v>
      </c>
      <c r="AF427" t="str">
        <f ca="1"/>
        <v>Mineral</v>
      </c>
      <c r="AG427" t="str">
        <f ca="1"/>
        <v>MCO</v>
      </c>
      <c r="AH427" t="str">
        <f ca="1"/>
        <v>20W40</v>
      </c>
      <c r="AI427" t="str">
        <f ca="1"/>
        <v>3000</v>
      </c>
      <c r="AJ427">
        <f ca="1"/>
        <v>0</v>
      </c>
      <c r="AK427" t="str">
        <f ca="1"/>
        <v>20x1L</v>
      </c>
      <c r="AL427">
        <f ca="1"/>
        <v>412760</v>
      </c>
      <c r="AM427">
        <f ca="1"/>
        <v>35066.086956521729</v>
      </c>
      <c r="AN427" t="str">
        <f ca="1"/>
        <v>O-45732-D-0005</v>
      </c>
      <c r="AO427" t="str">
        <f ca="1"/>
        <v>Delivered</v>
      </c>
    </row>
    <row r="428" spans="1:41" x14ac:dyDescent="0.5">
      <c r="A428" t="str">
        <f ca="1"/>
        <v>F-213</v>
      </c>
      <c r="B428" s="1">
        <f ca="1"/>
        <v>45732</v>
      </c>
      <c r="C428" t="str">
        <f ca="1"/>
        <v>D-0005</v>
      </c>
      <c r="D428" t="str">
        <f ca="1"/>
        <v>Alam Traders</v>
      </c>
      <c r="E428" t="str">
        <f ca="1"/>
        <v>Rajshahi Sadar, Rajshahi</v>
      </c>
      <c r="F428">
        <f ca="1"/>
        <v>1715299768</v>
      </c>
      <c r="G428" t="str">
        <f ca="1"/>
        <v>Md. Hasemi Rafsan</v>
      </c>
      <c r="H428" t="str">
        <f ca="1"/>
        <v>Raihan Siddiqui</v>
      </c>
      <c r="I428" t="str">
        <f ca="1"/>
        <v>Alam Traders</v>
      </c>
      <c r="J428" t="str">
        <f ca="1"/>
        <v>Rajshahi Sadar</v>
      </c>
      <c r="K428" t="str">
        <f ca="1"/>
        <v>LO00043</v>
      </c>
      <c r="L428" t="str">
        <f ca="1"/>
        <v>3000 4T PLUS 10W40</v>
      </c>
      <c r="M428">
        <f ca="1"/>
        <v>1000</v>
      </c>
      <c r="N428">
        <f ca="1"/>
        <v>520</v>
      </c>
      <c r="O428">
        <f ca="1"/>
        <v>1000</v>
      </c>
      <c r="P428">
        <f ca="1"/>
        <v>9.6153846153845812E-3</v>
      </c>
      <c r="Q428">
        <f ca="1"/>
        <v>0</v>
      </c>
      <c r="R428">
        <f ca="1"/>
        <v>515</v>
      </c>
      <c r="S428">
        <f ca="1"/>
        <v>1000</v>
      </c>
      <c r="T428">
        <f ca="1"/>
        <v>1000</v>
      </c>
      <c r="U428">
        <f ca="1"/>
        <v>520000</v>
      </c>
      <c r="V428">
        <f ca="1"/>
        <v>0</v>
      </c>
      <c r="W428">
        <f ca="1"/>
        <v>515000</v>
      </c>
      <c r="X428">
        <f ca="1"/>
        <v>67173.913043478256</v>
      </c>
      <c r="Y428">
        <f ca="1"/>
        <v>447826.08695652173</v>
      </c>
      <c r="Z428" t="str">
        <f ca="1"/>
        <v>Cash</v>
      </c>
      <c r="AA428">
        <f ca="1"/>
        <v>677</v>
      </c>
      <c r="AB428" t="str">
        <f ca="1"/>
        <v>Regular</v>
      </c>
      <c r="AC428">
        <f ca="1"/>
        <v>45734</v>
      </c>
      <c r="AD428" t="str">
        <f ca="1"/>
        <v/>
      </c>
      <c r="AE428" t="str">
        <f ca="1"/>
        <v>Northern</v>
      </c>
      <c r="AF428" t="str">
        <f ca="1"/>
        <v>Mineral</v>
      </c>
      <c r="AG428" t="str">
        <f ca="1"/>
        <v>MCO</v>
      </c>
      <c r="AH428" t="str">
        <f ca="1"/>
        <v>10W40</v>
      </c>
      <c r="AI428" t="str">
        <f ca="1"/>
        <v>3000</v>
      </c>
      <c r="AJ428">
        <f ca="1"/>
        <v>0</v>
      </c>
      <c r="AK428" t="str">
        <f ca="1"/>
        <v>20x1L</v>
      </c>
      <c r="AL428">
        <f ca="1"/>
        <v>384850</v>
      </c>
      <c r="AM428">
        <f ca="1"/>
        <v>62976.086956521729</v>
      </c>
      <c r="AN428" t="str">
        <f ca="1"/>
        <v>O-45732-D-0005</v>
      </c>
      <c r="AO428" t="str">
        <f ca="1"/>
        <v>Delivered</v>
      </c>
    </row>
    <row r="429" spans="1:41" x14ac:dyDescent="0.5">
      <c r="A429" t="str">
        <f ca="1"/>
        <v>F-213</v>
      </c>
      <c r="B429" s="1">
        <f ca="1"/>
        <v>45732</v>
      </c>
      <c r="C429" t="str">
        <f ca="1"/>
        <v>D-0005</v>
      </c>
      <c r="D429" t="str">
        <f ca="1"/>
        <v>Alam Traders</v>
      </c>
      <c r="E429" t="str">
        <f ca="1"/>
        <v>Rajshahi Sadar, Rajshahi</v>
      </c>
      <c r="F429">
        <f ca="1"/>
        <v>1715299768</v>
      </c>
      <c r="G429" t="str">
        <f ca="1"/>
        <v>Md. Hasemi Rafsan</v>
      </c>
      <c r="H429" t="str">
        <f ca="1"/>
        <v>Raihan Siddiqui</v>
      </c>
      <c r="I429" t="str">
        <f ca="1"/>
        <v>Alam Traders</v>
      </c>
      <c r="J429" t="str">
        <f ca="1"/>
        <v>Rajshahi Sadar</v>
      </c>
      <c r="K429" t="str">
        <f ca="1"/>
        <v>LO00119</v>
      </c>
      <c r="L429" t="str">
        <f ca="1"/>
        <v>3000 4T 20W50</v>
      </c>
      <c r="M429">
        <f ca="1"/>
        <v>3000</v>
      </c>
      <c r="N429">
        <f ca="1"/>
        <v>450</v>
      </c>
      <c r="O429">
        <f ca="1"/>
        <v>3000</v>
      </c>
      <c r="P429">
        <f ca="1"/>
        <v>4.8888888888888871E-2</v>
      </c>
      <c r="Q429">
        <f ca="1"/>
        <v>0</v>
      </c>
      <c r="R429">
        <f ca="1"/>
        <v>428</v>
      </c>
      <c r="S429">
        <f ca="1"/>
        <v>3000</v>
      </c>
      <c r="T429">
        <f ca="1"/>
        <v>3000</v>
      </c>
      <c r="U429">
        <f ca="1"/>
        <v>1350000</v>
      </c>
      <c r="V429">
        <f ca="1"/>
        <v>0</v>
      </c>
      <c r="W429">
        <f ca="1"/>
        <v>1284000</v>
      </c>
      <c r="X429">
        <f ca="1"/>
        <v>167478.26086956522</v>
      </c>
      <c r="Y429">
        <f ca="1"/>
        <v>1116521.7391304348</v>
      </c>
      <c r="Z429" t="str">
        <f ca="1"/>
        <v>Cash</v>
      </c>
      <c r="AA429">
        <f ca="1"/>
        <v>677</v>
      </c>
      <c r="AB429" t="str">
        <f ca="1"/>
        <v>Regular</v>
      </c>
      <c r="AC429">
        <f ca="1"/>
        <v>45734</v>
      </c>
      <c r="AD429" t="str">
        <f ca="1"/>
        <v/>
      </c>
      <c r="AE429" t="str">
        <f ca="1"/>
        <v>Northern</v>
      </c>
      <c r="AF429" t="str">
        <f ca="1"/>
        <v>Mineral</v>
      </c>
      <c r="AG429" t="str">
        <f ca="1"/>
        <v>MCO</v>
      </c>
      <c r="AH429" t="str">
        <f ca="1"/>
        <v>20W50</v>
      </c>
      <c r="AI429" t="str">
        <f ca="1"/>
        <v>3000</v>
      </c>
      <c r="AJ429">
        <f ca="1"/>
        <v>0</v>
      </c>
      <c r="AK429" t="str">
        <f ca="1"/>
        <v>20x1L</v>
      </c>
      <c r="AL429">
        <f ca="1"/>
        <v>1094760</v>
      </c>
      <c r="AM429">
        <f ca="1"/>
        <v>21761.739130434813</v>
      </c>
      <c r="AN429" t="str">
        <f ca="1"/>
        <v>O-45732-D-0005</v>
      </c>
      <c r="AO429" t="str">
        <f ca="1"/>
        <v>Delivered</v>
      </c>
    </row>
    <row r="430" spans="1:41" x14ac:dyDescent="0.5">
      <c r="A430" t="str">
        <f ca="1"/>
        <v>F-214</v>
      </c>
      <c r="B430" s="1">
        <f ca="1"/>
        <v>45733</v>
      </c>
      <c r="C430" t="str">
        <f ca="1"/>
        <v>D-0009</v>
      </c>
      <c r="D430" t="str">
        <f ca="1"/>
        <v>Surma Trading</v>
      </c>
      <c r="E430" t="str">
        <f ca="1"/>
        <v>Jatrabari, Dhaka</v>
      </c>
      <c r="F430" t="str">
        <f ca="1"/>
        <v>+88001762-453336</v>
      </c>
      <c r="G430" t="str">
        <f ca="1"/>
        <v>Mahamudul Hasan Milon</v>
      </c>
      <c r="H430" t="str">
        <f ca="1"/>
        <v>Abdul Matin</v>
      </c>
      <c r="I430" t="str">
        <f ca="1"/>
        <v>Surma trading</v>
      </c>
      <c r="J430" t="str">
        <f ca="1"/>
        <v>Saydabad</v>
      </c>
      <c r="K430" t="str">
        <f ca="1"/>
        <v>LO00096</v>
      </c>
      <c r="L430" t="str">
        <f ca="1"/>
        <v>3000 4T PLUS 20W40</v>
      </c>
      <c r="M430">
        <f ca="1"/>
        <v>200</v>
      </c>
      <c r="N430">
        <f ca="1"/>
        <v>645</v>
      </c>
      <c r="O430">
        <f ca="1"/>
        <v>240</v>
      </c>
      <c r="P430">
        <f ca="1"/>
        <v>0</v>
      </c>
      <c r="Q430">
        <f ca="1"/>
        <v>0</v>
      </c>
      <c r="R430">
        <f ca="1"/>
        <v>645</v>
      </c>
      <c r="S430">
        <f ca="1"/>
        <v>200</v>
      </c>
      <c r="T430">
        <f ca="1"/>
        <v>240</v>
      </c>
      <c r="U430">
        <f ca="1"/>
        <v>129000</v>
      </c>
      <c r="V430">
        <f ca="1"/>
        <v>0</v>
      </c>
      <c r="W430">
        <f ca="1"/>
        <v>129000</v>
      </c>
      <c r="X430">
        <f ca="1"/>
        <v>16826.08695652174</v>
      </c>
      <c r="Y430">
        <f ca="1"/>
        <v>112173.91304347826</v>
      </c>
      <c r="Z430" t="str">
        <f ca="1"/>
        <v>Cash</v>
      </c>
      <c r="AA430">
        <f ca="1"/>
        <v>678</v>
      </c>
      <c r="AB430" t="str">
        <f ca="1"/>
        <v>Custom</v>
      </c>
      <c r="AC430">
        <f ca="1"/>
        <v>45735</v>
      </c>
      <c r="AD430" t="str">
        <f ca="1"/>
        <v>transport delivery by us ; not home delivery</v>
      </c>
      <c r="AE430" t="str">
        <f ca="1"/>
        <v>Central</v>
      </c>
      <c r="AF430" t="str">
        <f ca="1"/>
        <v>Mineral</v>
      </c>
      <c r="AG430" t="str">
        <f ca="1"/>
        <v>MCO</v>
      </c>
      <c r="AH430" t="str">
        <f ca="1"/>
        <v>20W40</v>
      </c>
      <c r="AI430" t="str">
        <f ca="1"/>
        <v>3000</v>
      </c>
      <c r="AJ430">
        <f ca="1"/>
        <v>0</v>
      </c>
      <c r="AK430" t="str">
        <f ca="1"/>
        <v>20x1.2L</v>
      </c>
      <c r="AL430">
        <f ca="1"/>
        <v>93979.559070121948</v>
      </c>
      <c r="AM430">
        <f ca="1"/>
        <v>18194.353973356308</v>
      </c>
      <c r="AN430" t="str">
        <f ca="1"/>
        <v>O-45733-D-0009</v>
      </c>
      <c r="AO430" t="str">
        <f ca="1"/>
        <v>Delivered</v>
      </c>
    </row>
    <row r="431" spans="1:41" x14ac:dyDescent="0.5">
      <c r="A431" t="str">
        <f ca="1"/>
        <v>F-214</v>
      </c>
      <c r="B431" s="1">
        <f ca="1"/>
        <v>45733</v>
      </c>
      <c r="C431" t="str">
        <f ca="1"/>
        <v>D-0009</v>
      </c>
      <c r="D431" t="str">
        <f ca="1"/>
        <v>Surma Trading</v>
      </c>
      <c r="E431" t="str">
        <f ca="1"/>
        <v>Jatrabari, Dhaka</v>
      </c>
      <c r="F431" t="str">
        <f ca="1"/>
        <v>+88001762-453336</v>
      </c>
      <c r="G431" t="str">
        <f ca="1"/>
        <v>Mahamudul Hasan Milon</v>
      </c>
      <c r="H431" t="str">
        <f ca="1"/>
        <v>Abdul Matin</v>
      </c>
      <c r="I431" t="str">
        <f ca="1"/>
        <v>Surma trading</v>
      </c>
      <c r="J431" t="str">
        <f ca="1"/>
        <v>Saydabad</v>
      </c>
      <c r="K431" t="str">
        <f ca="1"/>
        <v>LO00047</v>
      </c>
      <c r="L431" t="str">
        <f ca="1"/>
        <v>7100 4T 10W40 ESTER CORE®</v>
      </c>
      <c r="M431">
        <f ca="1"/>
        <v>240</v>
      </c>
      <c r="N431">
        <f ca="1"/>
        <v>1070</v>
      </c>
      <c r="O431">
        <f ca="1"/>
        <v>240</v>
      </c>
      <c r="P431">
        <f ca="1"/>
        <v>1.8691588785046731E-2</v>
      </c>
      <c r="Q431">
        <f ca="1"/>
        <v>0</v>
      </c>
      <c r="R431">
        <f ca="1"/>
        <v>1050</v>
      </c>
      <c r="S431">
        <f ca="1"/>
        <v>240</v>
      </c>
      <c r="T431">
        <f ca="1"/>
        <v>240</v>
      </c>
      <c r="U431">
        <f ca="1"/>
        <v>256800</v>
      </c>
      <c r="V431">
        <f ca="1"/>
        <v>0</v>
      </c>
      <c r="W431">
        <f ca="1"/>
        <v>252000</v>
      </c>
      <c r="X431">
        <f ca="1"/>
        <v>32869.565217391304</v>
      </c>
      <c r="Y431">
        <f ca="1"/>
        <v>219130.4347826087</v>
      </c>
      <c r="Z431" t="str">
        <f ca="1"/>
        <v>Cash</v>
      </c>
      <c r="AA431">
        <f ca="1"/>
        <v>678</v>
      </c>
      <c r="AB431" t="str">
        <f ca="1"/>
        <v>Custom</v>
      </c>
      <c r="AC431">
        <f ca="1"/>
        <v>45735</v>
      </c>
      <c r="AD431" t="str">
        <f ca="1"/>
        <v>transport delivery by us ; not home delivery</v>
      </c>
      <c r="AE431" t="str">
        <f ca="1"/>
        <v>Central</v>
      </c>
      <c r="AF431" t="str">
        <f ca="1"/>
        <v>Synthetic</v>
      </c>
      <c r="AG431" t="str">
        <f ca="1"/>
        <v>MCO</v>
      </c>
      <c r="AH431" t="str">
        <f ca="1"/>
        <v>10W40</v>
      </c>
      <c r="AI431" t="str">
        <f ca="1"/>
        <v>7100</v>
      </c>
      <c r="AJ431">
        <f ca="1"/>
        <v>0</v>
      </c>
      <c r="AK431" t="str">
        <f ca="1"/>
        <v>12x1L</v>
      </c>
      <c r="AL431">
        <f ca="1"/>
        <v>166557.6</v>
      </c>
      <c r="AM431">
        <f ca="1"/>
        <v>52572.834782608697</v>
      </c>
      <c r="AN431" t="str">
        <f ca="1"/>
        <v>O-45733-D-0009</v>
      </c>
      <c r="AO431" t="str">
        <f ca="1"/>
        <v>Delivered</v>
      </c>
    </row>
    <row r="432" spans="1:41" x14ac:dyDescent="0.5">
      <c r="A432" t="str">
        <f ca="1"/>
        <v>F-214</v>
      </c>
      <c r="B432" s="1">
        <f ca="1"/>
        <v>45733</v>
      </c>
      <c r="C432" t="str">
        <f ca="1"/>
        <v>D-0009</v>
      </c>
      <c r="D432" t="str">
        <f ca="1"/>
        <v>Surma Trading</v>
      </c>
      <c r="E432" t="str">
        <f ca="1"/>
        <v>Jatrabari, Dhaka</v>
      </c>
      <c r="F432" t="str">
        <f ca="1"/>
        <v>+88001762-453336</v>
      </c>
      <c r="G432" t="str">
        <f ca="1"/>
        <v>Mahamudul Hasan Milon</v>
      </c>
      <c r="H432" t="str">
        <f ca="1"/>
        <v>Abdul Matin</v>
      </c>
      <c r="I432" t="str">
        <f ca="1"/>
        <v>Surma trading</v>
      </c>
      <c r="J432" t="str">
        <f ca="1"/>
        <v>Saydabad</v>
      </c>
      <c r="K432" t="str">
        <f ca="1"/>
        <v>LO00117</v>
      </c>
      <c r="L432" t="str">
        <f ca="1"/>
        <v>Brake Fluid DOT 4</v>
      </c>
      <c r="M432">
        <f ca="1"/>
        <v>80</v>
      </c>
      <c r="N432">
        <f ca="1"/>
        <v>127.5</v>
      </c>
      <c r="O432">
        <f ca="1"/>
        <v>8</v>
      </c>
      <c r="P432">
        <f ca="1"/>
        <v>0</v>
      </c>
      <c r="Q432">
        <f ca="1"/>
        <v>0</v>
      </c>
      <c r="R432">
        <f ca="1"/>
        <v>127.5</v>
      </c>
      <c r="S432">
        <f ca="1"/>
        <v>80</v>
      </c>
      <c r="T432">
        <f ca="1"/>
        <v>8</v>
      </c>
      <c r="U432">
        <f ca="1"/>
        <v>10200</v>
      </c>
      <c r="V432">
        <f ca="1"/>
        <v>0</v>
      </c>
      <c r="W432">
        <f ca="1"/>
        <v>10200</v>
      </c>
      <c r="X432">
        <f ca="1"/>
        <v>1330.4347826086957</v>
      </c>
      <c r="Y432">
        <f ca="1"/>
        <v>8869.565217391304</v>
      </c>
      <c r="Z432" t="str">
        <f ca="1"/>
        <v>Cash</v>
      </c>
      <c r="AA432">
        <f ca="1"/>
        <v>678</v>
      </c>
      <c r="AB432" t="str">
        <f ca="1"/>
        <v>Custom</v>
      </c>
      <c r="AC432">
        <f ca="1"/>
        <v>45735</v>
      </c>
      <c r="AD432" t="str">
        <f ca="1"/>
        <v>transport delivery by us ; not home delivery</v>
      </c>
      <c r="AE432" t="str">
        <f ca="1"/>
        <v>Central</v>
      </c>
      <c r="AF432" t="str">
        <f ca="1"/>
        <v>Care Products</v>
      </c>
      <c r="AG432" t="str">
        <f ca="1"/>
        <v>Care Products</v>
      </c>
      <c r="AH432" t="str">
        <f ca="1"/>
        <v>Care Products</v>
      </c>
      <c r="AI432" t="str">
        <f ca="1"/>
        <v>Brake</v>
      </c>
      <c r="AJ432">
        <f ca="1"/>
        <v>0</v>
      </c>
      <c r="AK432" t="str">
        <f ca="1"/>
        <v>40x0.1L</v>
      </c>
      <c r="AL432">
        <f ca="1"/>
        <v>5788</v>
      </c>
      <c r="AM432">
        <f ca="1"/>
        <v>3081.565217391304</v>
      </c>
      <c r="AN432" t="str">
        <f ca="1"/>
        <v>O-45733-D-0009</v>
      </c>
      <c r="AO432" t="str">
        <f ca="1"/>
        <v>Delivered</v>
      </c>
    </row>
    <row r="433" spans="1:41" x14ac:dyDescent="0.5">
      <c r="A433" t="str">
        <f ca="1"/>
        <v>F-215</v>
      </c>
      <c r="B433" s="1">
        <f ca="1"/>
        <v>45735</v>
      </c>
      <c r="C433" t="str">
        <f ca="1"/>
        <v>D-0023</v>
      </c>
      <c r="D433" t="str">
        <f ca="1"/>
        <v xml:space="preserve">Jantrik Autoj  </v>
      </c>
      <c r="E433" t="str">
        <f ca="1"/>
        <v>Saidpur Sadar</v>
      </c>
      <c r="F433">
        <f ca="1"/>
        <v>1944283828</v>
      </c>
      <c r="G433" t="str">
        <f ca="1"/>
        <v>Monirul Islam</v>
      </c>
      <c r="H433" t="str">
        <f ca="1"/>
        <v>Raihan Siddiqui</v>
      </c>
      <c r="I433" t="str">
        <f ca="1"/>
        <v>Bondhu Motors</v>
      </c>
      <c r="J433" t="str">
        <f ca="1"/>
        <v>Rangpur</v>
      </c>
      <c r="K433" t="str">
        <f ca="1"/>
        <v>LO00042</v>
      </c>
      <c r="L433" t="str">
        <f ca="1"/>
        <v>3000 4T PLUS 20W40</v>
      </c>
      <c r="M433">
        <f ca="1"/>
        <v>40</v>
      </c>
      <c r="N433">
        <f ca="1"/>
        <v>540</v>
      </c>
      <c r="O433">
        <f ca="1"/>
        <v>40</v>
      </c>
      <c r="P433">
        <f ca="1"/>
        <v>0</v>
      </c>
      <c r="Q433">
        <f ca="1"/>
        <v>0</v>
      </c>
      <c r="R433">
        <f ca="1"/>
        <v>540</v>
      </c>
      <c r="S433">
        <f ca="1"/>
        <v>40</v>
      </c>
      <c r="T433">
        <f ca="1"/>
        <v>40</v>
      </c>
      <c r="U433">
        <f ca="1"/>
        <v>21600</v>
      </c>
      <c r="V433">
        <f ca="1"/>
        <v>0</v>
      </c>
      <c r="W433">
        <f ca="1"/>
        <v>21600</v>
      </c>
      <c r="X433">
        <f ca="1"/>
        <v>2817.391304347826</v>
      </c>
      <c r="Y433">
        <f ca="1"/>
        <v>18782.608695652172</v>
      </c>
      <c r="Z433" t="str">
        <f ca="1"/>
        <v>Cash</v>
      </c>
      <c r="AA433">
        <f ca="1"/>
        <v>679</v>
      </c>
      <c r="AB433" t="str">
        <f ca="1"/>
        <v>Regular</v>
      </c>
      <c r="AC433">
        <f ca="1"/>
        <v>45739</v>
      </c>
      <c r="AD433" t="str">
        <f ca="1"/>
        <v/>
      </c>
      <c r="AE433" t="str">
        <f ca="1"/>
        <v>Northern</v>
      </c>
      <c r="AF433" t="str">
        <f ca="1"/>
        <v>Mineral</v>
      </c>
      <c r="AG433" t="str">
        <f ca="1"/>
        <v>MCO</v>
      </c>
      <c r="AH433" t="str">
        <f ca="1"/>
        <v>20W40</v>
      </c>
      <c r="AI433" t="str">
        <f ca="1"/>
        <v>3000</v>
      </c>
      <c r="AJ433">
        <f ca="1"/>
        <v>0</v>
      </c>
      <c r="AK433" t="str">
        <f ca="1"/>
        <v>20x1L</v>
      </c>
      <c r="AL433">
        <f ca="1"/>
        <v>16510.400000000001</v>
      </c>
      <c r="AM433">
        <f ca="1"/>
        <v>2272.2086956521707</v>
      </c>
      <c r="AN433" t="str">
        <f ca="1"/>
        <v>O-45735-D-0023</v>
      </c>
      <c r="AO433" t="str">
        <f ca="1"/>
        <v>Delivered</v>
      </c>
    </row>
    <row r="434" spans="1:41" x14ac:dyDescent="0.5">
      <c r="A434" t="str">
        <f ca="1"/>
        <v>F-215</v>
      </c>
      <c r="B434" s="1">
        <f ca="1"/>
        <v>45735</v>
      </c>
      <c r="C434" t="str">
        <f ca="1"/>
        <v>D-0023</v>
      </c>
      <c r="D434" t="str">
        <f ca="1"/>
        <v xml:space="preserve">Jantrik Autoj  </v>
      </c>
      <c r="E434" t="str">
        <f ca="1"/>
        <v>Saidpur Sadar</v>
      </c>
      <c r="F434">
        <f ca="1"/>
        <v>1944283828</v>
      </c>
      <c r="G434" t="str">
        <f ca="1"/>
        <v>Monirul Islam</v>
      </c>
      <c r="H434" t="str">
        <f ca="1"/>
        <v>Raihan Siddiqui</v>
      </c>
      <c r="I434" t="str">
        <f ca="1"/>
        <v>Bondhu Motors</v>
      </c>
      <c r="J434" t="str">
        <f ca="1"/>
        <v>Rangpur</v>
      </c>
      <c r="K434" t="str">
        <f ca="1"/>
        <v>LO00043</v>
      </c>
      <c r="L434" t="str">
        <f ca="1"/>
        <v>3000 4T PLUS 10W40</v>
      </c>
      <c r="M434">
        <f ca="1"/>
        <v>120</v>
      </c>
      <c r="N434">
        <f ca="1"/>
        <v>540</v>
      </c>
      <c r="O434">
        <f ca="1"/>
        <v>120</v>
      </c>
      <c r="P434">
        <f ca="1"/>
        <v>0</v>
      </c>
      <c r="Q434">
        <f ca="1"/>
        <v>0</v>
      </c>
      <c r="R434">
        <f ca="1"/>
        <v>540</v>
      </c>
      <c r="S434">
        <f ca="1"/>
        <v>120</v>
      </c>
      <c r="T434">
        <f ca="1"/>
        <v>120</v>
      </c>
      <c r="U434">
        <f ca="1"/>
        <v>64800</v>
      </c>
      <c r="V434">
        <f ca="1"/>
        <v>0</v>
      </c>
      <c r="W434">
        <f ca="1"/>
        <v>64800</v>
      </c>
      <c r="X434">
        <f ca="1"/>
        <v>8452.173913043478</v>
      </c>
      <c r="Y434">
        <f ca="1"/>
        <v>56347.82608695652</v>
      </c>
      <c r="Z434" t="str">
        <f ca="1"/>
        <v>Cash</v>
      </c>
      <c r="AA434">
        <f ca="1"/>
        <v>679</v>
      </c>
      <c r="AB434" t="str">
        <f ca="1"/>
        <v>Regular</v>
      </c>
      <c r="AC434">
        <f ca="1"/>
        <v>45739</v>
      </c>
      <c r="AD434" t="str">
        <f ca="1"/>
        <v/>
      </c>
      <c r="AE434" t="str">
        <f ca="1"/>
        <v>Northern</v>
      </c>
      <c r="AF434" t="str">
        <f ca="1"/>
        <v>Mineral</v>
      </c>
      <c r="AG434" t="str">
        <f ca="1"/>
        <v>MCO</v>
      </c>
      <c r="AH434" t="str">
        <f ca="1"/>
        <v>10W40</v>
      </c>
      <c r="AI434" t="str">
        <f ca="1"/>
        <v>3000</v>
      </c>
      <c r="AJ434">
        <f ca="1"/>
        <v>0</v>
      </c>
      <c r="AK434" t="str">
        <f ca="1"/>
        <v>20x1L</v>
      </c>
      <c r="AL434">
        <f ca="1"/>
        <v>46182</v>
      </c>
      <c r="AM434">
        <f ca="1"/>
        <v>10165.82608695652</v>
      </c>
      <c r="AN434" t="str">
        <f ca="1"/>
        <v>O-45735-D-0023</v>
      </c>
      <c r="AO434" t="str">
        <f ca="1"/>
        <v>Delivered</v>
      </c>
    </row>
    <row r="435" spans="1:41" x14ac:dyDescent="0.5">
      <c r="A435" t="str">
        <f ca="1"/>
        <v>F-215</v>
      </c>
      <c r="B435" s="1">
        <f ca="1"/>
        <v>45735</v>
      </c>
      <c r="C435" t="str">
        <f ca="1"/>
        <v>D-0023</v>
      </c>
      <c r="D435" t="str">
        <f ca="1"/>
        <v xml:space="preserve">Jantrik Autoj  </v>
      </c>
      <c r="E435" t="str">
        <f ca="1"/>
        <v>Saidpur Sadar</v>
      </c>
      <c r="F435">
        <f ca="1"/>
        <v>1944283828</v>
      </c>
      <c r="G435" t="str">
        <f ca="1"/>
        <v>Monirul Islam</v>
      </c>
      <c r="H435" t="str">
        <f ca="1"/>
        <v>Raihan Siddiqui</v>
      </c>
      <c r="I435" t="str">
        <f ca="1"/>
        <v>Bondhu Motors</v>
      </c>
      <c r="J435" t="str">
        <f ca="1"/>
        <v>Rangpur</v>
      </c>
      <c r="K435" t="str">
        <f ca="1"/>
        <v>LO00119</v>
      </c>
      <c r="L435" t="str">
        <f ca="1"/>
        <v>3000 4T 20W50</v>
      </c>
      <c r="M435">
        <f ca="1"/>
        <v>40</v>
      </c>
      <c r="N435">
        <f ca="1"/>
        <v>480</v>
      </c>
      <c r="O435">
        <f ca="1"/>
        <v>40</v>
      </c>
      <c r="P435">
        <f ca="1"/>
        <v>0</v>
      </c>
      <c r="Q435">
        <f ca="1"/>
        <v>0</v>
      </c>
      <c r="R435">
        <f ca="1"/>
        <v>480</v>
      </c>
      <c r="S435">
        <f ca="1"/>
        <v>40</v>
      </c>
      <c r="T435">
        <f ca="1"/>
        <v>40</v>
      </c>
      <c r="U435">
        <f ca="1"/>
        <v>19200</v>
      </c>
      <c r="V435">
        <f ca="1"/>
        <v>0</v>
      </c>
      <c r="W435">
        <f ca="1"/>
        <v>19200</v>
      </c>
      <c r="X435">
        <f ca="1"/>
        <v>2504.3478260869565</v>
      </c>
      <c r="Y435">
        <f ca="1"/>
        <v>16695.652173913044</v>
      </c>
      <c r="Z435" t="str">
        <f ca="1"/>
        <v>Cash</v>
      </c>
      <c r="AA435">
        <f ca="1"/>
        <v>679</v>
      </c>
      <c r="AB435" t="str">
        <f ca="1"/>
        <v>Regular</v>
      </c>
      <c r="AC435">
        <f ca="1"/>
        <v>45739</v>
      </c>
      <c r="AD435" t="str">
        <f ca="1"/>
        <v/>
      </c>
      <c r="AE435" t="str">
        <f ca="1"/>
        <v>Northern</v>
      </c>
      <c r="AF435" t="str">
        <f ca="1"/>
        <v>Mineral</v>
      </c>
      <c r="AG435" t="str">
        <f ca="1"/>
        <v>MCO</v>
      </c>
      <c r="AH435" t="str">
        <f ca="1"/>
        <v>20W50</v>
      </c>
      <c r="AI435" t="str">
        <f ca="1"/>
        <v>3000</v>
      </c>
      <c r="AJ435">
        <f ca="1"/>
        <v>0</v>
      </c>
      <c r="AK435" t="str">
        <f ca="1"/>
        <v>20x1L</v>
      </c>
      <c r="AL435">
        <f ca="1"/>
        <v>14596.800000000001</v>
      </c>
      <c r="AM435">
        <f ca="1"/>
        <v>2098.8521739130429</v>
      </c>
      <c r="AN435" t="str">
        <f ca="1"/>
        <v>O-45735-D-0023</v>
      </c>
      <c r="AO435" t="str">
        <f ca="1"/>
        <v>Delivered</v>
      </c>
    </row>
    <row r="436" spans="1:41" x14ac:dyDescent="0.5">
      <c r="A436" t="str">
        <f ca="1"/>
        <v>F-216</v>
      </c>
      <c r="B436" s="1">
        <f ca="1"/>
        <v>45735</v>
      </c>
      <c r="C436" t="str">
        <f ca="1"/>
        <v>D-0013</v>
      </c>
      <c r="D436" t="str">
        <f ca="1"/>
        <v>Bhuiyan Corporation</v>
      </c>
      <c r="E436" t="str">
        <f ca="1"/>
        <v>Wari</v>
      </c>
      <c r="F436" t="str">
        <f ca="1"/>
        <v>+88001905773547</v>
      </c>
      <c r="G436" t="str">
        <f ca="1"/>
        <v>Mahamudul Hasan Milon</v>
      </c>
      <c r="H436" t="str">
        <f ca="1"/>
        <v>Abdul Matin</v>
      </c>
      <c r="I436" t="str">
        <f ca="1"/>
        <v>Bhuiyan Corporation</v>
      </c>
      <c r="J436" t="str">
        <f ca="1"/>
        <v xml:space="preserve">Wari </v>
      </c>
      <c r="K436" t="str">
        <f ca="1"/>
        <v>LO00104</v>
      </c>
      <c r="L436" t="str">
        <f ca="1"/>
        <v>7100 4T 10W30 ESTER CORE®</v>
      </c>
      <c r="M436">
        <f ca="1"/>
        <v>100</v>
      </c>
      <c r="N436">
        <f ca="1"/>
        <v>1295</v>
      </c>
      <c r="O436">
        <f ca="1"/>
        <v>120</v>
      </c>
      <c r="P436">
        <f ca="1"/>
        <v>2.7027027027026973E-2</v>
      </c>
      <c r="Q436">
        <f ca="1"/>
        <v>0</v>
      </c>
      <c r="R436">
        <f ca="1"/>
        <v>1260</v>
      </c>
      <c r="S436">
        <f ca="1"/>
        <v>100</v>
      </c>
      <c r="T436">
        <f ca="1"/>
        <v>120</v>
      </c>
      <c r="U436">
        <f ca="1"/>
        <v>129500</v>
      </c>
      <c r="V436">
        <f ca="1"/>
        <v>0</v>
      </c>
      <c r="W436">
        <f ca="1"/>
        <v>126000</v>
      </c>
      <c r="X436">
        <f ca="1"/>
        <v>16434.782608695652</v>
      </c>
      <c r="Y436">
        <f ca="1"/>
        <v>109565.21739130435</v>
      </c>
      <c r="Z436" t="str">
        <f ca="1"/>
        <v>Cash</v>
      </c>
      <c r="AA436">
        <f ca="1"/>
        <v>680</v>
      </c>
      <c r="AB436" t="str">
        <f ca="1"/>
        <v>Custom</v>
      </c>
      <c r="AC436">
        <f ca="1"/>
        <v>45739</v>
      </c>
      <c r="AD436" t="str">
        <f ca="1"/>
        <v>Customized price</v>
      </c>
      <c r="AE436" t="str">
        <f ca="1"/>
        <v>Central</v>
      </c>
      <c r="AF436" t="str">
        <f ca="1"/>
        <v>Synthetic</v>
      </c>
      <c r="AG436" t="str">
        <f ca="1"/>
        <v>MCO</v>
      </c>
      <c r="AH436" t="str">
        <f ca="1"/>
        <v>10W30</v>
      </c>
      <c r="AI436" t="str">
        <f ca="1"/>
        <v>7100</v>
      </c>
      <c r="AJ436">
        <f ca="1"/>
        <v>0</v>
      </c>
      <c r="AK436" t="str">
        <f ca="1"/>
        <v>20x1.2L</v>
      </c>
      <c r="AL436">
        <f ca="1"/>
        <v>77730</v>
      </c>
      <c r="AM436">
        <f ca="1"/>
        <v>31835.217391304352</v>
      </c>
      <c r="AN436" t="str">
        <f ca="1"/>
        <v>O-45735-D-0013</v>
      </c>
      <c r="AO436" t="str">
        <f ca="1"/>
        <v>Delivered</v>
      </c>
    </row>
    <row r="437" spans="1:41" x14ac:dyDescent="0.5">
      <c r="A437" t="str">
        <f ca="1"/>
        <v>F-217</v>
      </c>
      <c r="B437" s="1">
        <f ca="1"/>
        <v>45740</v>
      </c>
      <c r="C437" t="str">
        <f ca="1"/>
        <v>D-0001</v>
      </c>
      <c r="D437" t="str">
        <f ca="1"/>
        <v>SS Lube Mart</v>
      </c>
      <c r="E437" t="str">
        <f ca="1"/>
        <v>Faridpur</v>
      </c>
      <c r="F437">
        <f ca="1"/>
        <v>1923641421</v>
      </c>
      <c r="G437" t="str">
        <f ca="1"/>
        <v>Md.Mahfuzur Rahman</v>
      </c>
      <c r="H437" t="str">
        <f ca="1"/>
        <v>Abdul Matin</v>
      </c>
      <c r="I437" t="str">
        <f ca="1"/>
        <v>M/S Hasan Traders</v>
      </c>
      <c r="J437" t="str">
        <f ca="1"/>
        <v>Pangsha</v>
      </c>
      <c r="K437" t="str">
        <f ca="1"/>
        <v>LO00041</v>
      </c>
      <c r="L437" t="str">
        <f ca="1"/>
        <v>3000 4T PLUS 10W30</v>
      </c>
      <c r="M437">
        <f ca="1"/>
        <v>300</v>
      </c>
      <c r="N437">
        <f ca="1"/>
        <v>540</v>
      </c>
      <c r="O437">
        <f ca="1"/>
        <v>300</v>
      </c>
      <c r="P437">
        <f ca="1"/>
        <v>3.703703703703709E-2</v>
      </c>
      <c r="Q437">
        <f ca="1"/>
        <v>0</v>
      </c>
      <c r="R437">
        <f ca="1"/>
        <v>520</v>
      </c>
      <c r="S437">
        <f ca="1"/>
        <v>300</v>
      </c>
      <c r="T437">
        <f ca="1"/>
        <v>300</v>
      </c>
      <c r="U437">
        <f ca="1"/>
        <v>162000</v>
      </c>
      <c r="V437">
        <f ca="1"/>
        <v>0</v>
      </c>
      <c r="W437">
        <f ca="1"/>
        <v>156000</v>
      </c>
      <c r="X437">
        <f ca="1"/>
        <v>20347.82608695652</v>
      </c>
      <c r="Y437">
        <f ca="1"/>
        <v>135652.17391304349</v>
      </c>
      <c r="Z437" t="str">
        <f ca="1"/>
        <v>Cash</v>
      </c>
      <c r="AA437">
        <f ca="1"/>
        <v>681</v>
      </c>
      <c r="AB437" t="str">
        <f ca="1"/>
        <v>Flat Discount</v>
      </c>
      <c r="AC437">
        <f ca="1"/>
        <v>45740</v>
      </c>
      <c r="AD437" t="str">
        <f ca="1"/>
        <v xml:space="preserve">delivery system:personal vehicles </v>
      </c>
      <c r="AE437" t="str">
        <f ca="1"/>
        <v>Central</v>
      </c>
      <c r="AF437" t="str">
        <f ca="1"/>
        <v>Mineral</v>
      </c>
      <c r="AG437" t="str">
        <f ca="1"/>
        <v>MCO</v>
      </c>
      <c r="AH437" t="str">
        <f ca="1"/>
        <v>10W30</v>
      </c>
      <c r="AI437" t="str">
        <f ca="1"/>
        <v>3000</v>
      </c>
      <c r="AJ437">
        <f ca="1"/>
        <v>0</v>
      </c>
      <c r="AK437" t="str">
        <f ca="1"/>
        <v>20x1L</v>
      </c>
      <c r="AL437">
        <f ca="1"/>
        <v>113799</v>
      </c>
      <c r="AM437">
        <f ca="1"/>
        <v>21853.173913043487</v>
      </c>
      <c r="AN437" t="str">
        <f ca="1"/>
        <v>O-45740-D-0001</v>
      </c>
      <c r="AO437" t="str">
        <f ca="1"/>
        <v>Delivered</v>
      </c>
    </row>
    <row r="438" spans="1:41" x14ac:dyDescent="0.5">
      <c r="A438" t="str">
        <f ca="1"/>
        <v>F-217</v>
      </c>
      <c r="B438" s="1">
        <f ca="1"/>
        <v>45740</v>
      </c>
      <c r="C438" t="str">
        <f ca="1"/>
        <v>D-0001</v>
      </c>
      <c r="D438" t="str">
        <f ca="1"/>
        <v>SS Lube Mart</v>
      </c>
      <c r="E438" t="str">
        <f ca="1"/>
        <v>Faridpur</v>
      </c>
      <c r="F438">
        <f ca="1"/>
        <v>1923641421</v>
      </c>
      <c r="G438" t="str">
        <f ca="1"/>
        <v>Md.Mahfuzur Rahman</v>
      </c>
      <c r="H438" t="str">
        <f ca="1"/>
        <v>Abdul Matin</v>
      </c>
      <c r="I438" t="str">
        <f ca="1"/>
        <v>M/S Hasan Traders</v>
      </c>
      <c r="J438" t="str">
        <f ca="1"/>
        <v>Pangsha</v>
      </c>
      <c r="K438" t="str">
        <f ca="1"/>
        <v>LO00042</v>
      </c>
      <c r="L438" t="str">
        <f ca="1"/>
        <v>3000 4T PLUS 20W40</v>
      </c>
      <c r="M438">
        <f ca="1"/>
        <v>200</v>
      </c>
      <c r="N438">
        <f ca="1"/>
        <v>535</v>
      </c>
      <c r="O438">
        <f ca="1"/>
        <v>200</v>
      </c>
      <c r="P438">
        <f ca="1"/>
        <v>2.8037383177570097E-2</v>
      </c>
      <c r="Q438">
        <f ca="1"/>
        <v>0</v>
      </c>
      <c r="R438">
        <f ca="1"/>
        <v>520</v>
      </c>
      <c r="S438">
        <f ca="1"/>
        <v>200</v>
      </c>
      <c r="T438">
        <f ca="1"/>
        <v>200</v>
      </c>
      <c r="U438">
        <f ca="1"/>
        <v>107000</v>
      </c>
      <c r="V438">
        <f ca="1"/>
        <v>0</v>
      </c>
      <c r="W438">
        <f ca="1"/>
        <v>104000</v>
      </c>
      <c r="X438">
        <f ca="1"/>
        <v>13565.217391304348</v>
      </c>
      <c r="Y438">
        <f ca="1"/>
        <v>90434.782608695648</v>
      </c>
      <c r="Z438" t="str">
        <f ca="1"/>
        <v>Cash</v>
      </c>
      <c r="AA438">
        <f ca="1"/>
        <v>681</v>
      </c>
      <c r="AB438" t="str">
        <f ca="1"/>
        <v>Flat Discount</v>
      </c>
      <c r="AC438">
        <f ca="1"/>
        <v>45740</v>
      </c>
      <c r="AD438" t="str">
        <f ca="1"/>
        <v xml:space="preserve">delivery system:personal vehicles </v>
      </c>
      <c r="AE438" t="str">
        <f ca="1"/>
        <v>Central</v>
      </c>
      <c r="AF438" t="str">
        <f ca="1"/>
        <v>Mineral</v>
      </c>
      <c r="AG438" t="str">
        <f ca="1"/>
        <v>MCO</v>
      </c>
      <c r="AH438" t="str">
        <f ca="1"/>
        <v>20W40</v>
      </c>
      <c r="AI438" t="str">
        <f ca="1"/>
        <v>3000</v>
      </c>
      <c r="AJ438">
        <f ca="1"/>
        <v>0</v>
      </c>
      <c r="AK438" t="str">
        <f ca="1"/>
        <v>20x1L</v>
      </c>
      <c r="AL438">
        <f ca="1"/>
        <v>82552</v>
      </c>
      <c r="AM438">
        <f ca="1"/>
        <v>7882.7826086956484</v>
      </c>
      <c r="AN438" t="str">
        <f ca="1"/>
        <v>O-45740-D-0001</v>
      </c>
      <c r="AO438" t="str">
        <f ca="1"/>
        <v>Delivered</v>
      </c>
    </row>
    <row r="439" spans="1:41" x14ac:dyDescent="0.5">
      <c r="A439" t="str">
        <f ca="1"/>
        <v>F-217</v>
      </c>
      <c r="B439" s="1">
        <f ca="1"/>
        <v>45740</v>
      </c>
      <c r="C439" t="str">
        <f ca="1"/>
        <v>D-0001</v>
      </c>
      <c r="D439" t="str">
        <f ca="1"/>
        <v>SS Lube Mart</v>
      </c>
      <c r="E439" t="str">
        <f ca="1"/>
        <v>Faridpur</v>
      </c>
      <c r="F439">
        <f ca="1"/>
        <v>1923641421</v>
      </c>
      <c r="G439" t="str">
        <f ca="1"/>
        <v>Md.Mahfuzur Rahman</v>
      </c>
      <c r="H439" t="str">
        <f ca="1"/>
        <v>Abdul Matin</v>
      </c>
      <c r="I439" t="str">
        <f ca="1"/>
        <v>M/S Hasan Traders</v>
      </c>
      <c r="J439" t="str">
        <f ca="1"/>
        <v>Pangsha</v>
      </c>
      <c r="K439" t="str">
        <f ca="1"/>
        <v>LO00043</v>
      </c>
      <c r="L439" t="str">
        <f ca="1"/>
        <v>3000 4T PLUS 10W40</v>
      </c>
      <c r="M439">
        <f ca="1"/>
        <v>1000</v>
      </c>
      <c r="N439">
        <f ca="1"/>
        <v>550</v>
      </c>
      <c r="O439">
        <f ca="1"/>
        <v>1000</v>
      </c>
      <c r="P439">
        <f ca="1"/>
        <v>5.4545454545454564E-2</v>
      </c>
      <c r="Q439">
        <f ca="1"/>
        <v>0</v>
      </c>
      <c r="R439">
        <f ca="1"/>
        <v>520</v>
      </c>
      <c r="S439">
        <f ca="1"/>
        <v>1000</v>
      </c>
      <c r="T439">
        <f ca="1"/>
        <v>1000</v>
      </c>
      <c r="U439">
        <f ca="1"/>
        <v>550000</v>
      </c>
      <c r="V439">
        <f ca="1"/>
        <v>0</v>
      </c>
      <c r="W439">
        <f ca="1"/>
        <v>520000</v>
      </c>
      <c r="X439">
        <f ca="1"/>
        <v>67826.086956521744</v>
      </c>
      <c r="Y439">
        <f ca="1"/>
        <v>452173.91304347827</v>
      </c>
      <c r="Z439" t="str">
        <f ca="1"/>
        <v>Cash</v>
      </c>
      <c r="AA439">
        <f ca="1"/>
        <v>681</v>
      </c>
      <c r="AB439" t="str">
        <f ca="1"/>
        <v>Flat Discount</v>
      </c>
      <c r="AC439">
        <f ca="1"/>
        <v>45740</v>
      </c>
      <c r="AD439" t="str">
        <f ca="1"/>
        <v xml:space="preserve">delivery system:personal vehicles </v>
      </c>
      <c r="AE439" t="str">
        <f ca="1"/>
        <v>Central</v>
      </c>
      <c r="AF439" t="str">
        <f ca="1"/>
        <v>Mineral</v>
      </c>
      <c r="AG439" t="str">
        <f ca="1"/>
        <v>MCO</v>
      </c>
      <c r="AH439" t="str">
        <f ca="1"/>
        <v>10W40</v>
      </c>
      <c r="AI439" t="str">
        <f ca="1"/>
        <v>3000</v>
      </c>
      <c r="AJ439">
        <f ca="1"/>
        <v>0</v>
      </c>
      <c r="AK439" t="str">
        <f ca="1"/>
        <v>20x1L</v>
      </c>
      <c r="AL439">
        <f ca="1"/>
        <v>384850</v>
      </c>
      <c r="AM439">
        <f ca="1"/>
        <v>67323.913043478271</v>
      </c>
      <c r="AN439" t="str">
        <f ca="1"/>
        <v>O-45740-D-0001</v>
      </c>
      <c r="AO439" t="str">
        <f ca="1"/>
        <v>Delivered</v>
      </c>
    </row>
    <row r="440" spans="1:41" x14ac:dyDescent="0.5">
      <c r="A440" t="str">
        <f ca="1"/>
        <v>F-217</v>
      </c>
      <c r="B440" s="1">
        <f ca="1"/>
        <v>45740</v>
      </c>
      <c r="C440" t="str">
        <f ca="1"/>
        <v>D-0001</v>
      </c>
      <c r="D440" t="str">
        <f ca="1"/>
        <v>SS Lube Mart</v>
      </c>
      <c r="E440" t="str">
        <f ca="1"/>
        <v>Faridpur</v>
      </c>
      <c r="F440">
        <f ca="1"/>
        <v>1923641421</v>
      </c>
      <c r="G440" t="str">
        <f ca="1"/>
        <v>Md.Mahfuzur Rahman</v>
      </c>
      <c r="H440" t="str">
        <f ca="1"/>
        <v>Abdul Matin</v>
      </c>
      <c r="I440" t="str">
        <f ca="1"/>
        <v>M/S Hasan Traders</v>
      </c>
      <c r="J440" t="str">
        <f ca="1"/>
        <v>Pangsha</v>
      </c>
      <c r="K440" t="str">
        <f ca="1"/>
        <v>LO00096</v>
      </c>
      <c r="L440" t="str">
        <f ca="1"/>
        <v>3000 4T PLUS 20W40</v>
      </c>
      <c r="M440">
        <f ca="1"/>
        <v>300</v>
      </c>
      <c r="N440">
        <f ca="1"/>
        <v>645</v>
      </c>
      <c r="O440">
        <f ca="1"/>
        <v>360</v>
      </c>
      <c r="P440">
        <f ca="1"/>
        <v>1.5503875968992276E-2</v>
      </c>
      <c r="Q440">
        <f ca="1"/>
        <v>0</v>
      </c>
      <c r="R440">
        <f ca="1"/>
        <v>635</v>
      </c>
      <c r="S440">
        <f ca="1"/>
        <v>300</v>
      </c>
      <c r="T440">
        <f ca="1"/>
        <v>360</v>
      </c>
      <c r="U440">
        <f ca="1"/>
        <v>193500</v>
      </c>
      <c r="V440">
        <f ca="1"/>
        <v>0</v>
      </c>
      <c r="W440">
        <f ca="1"/>
        <v>190500</v>
      </c>
      <c r="X440">
        <f ca="1"/>
        <v>24847.82608695652</v>
      </c>
      <c r="Y440">
        <f ca="1"/>
        <v>165652.17391304349</v>
      </c>
      <c r="Z440" t="str">
        <f ca="1"/>
        <v>Cash</v>
      </c>
      <c r="AA440">
        <f ca="1"/>
        <v>681</v>
      </c>
      <c r="AB440" t="str">
        <f ca="1"/>
        <v>Flat Discount</v>
      </c>
      <c r="AC440">
        <f ca="1"/>
        <v>45740</v>
      </c>
      <c r="AD440" t="str">
        <f ca="1"/>
        <v xml:space="preserve">delivery system:personal vehicles </v>
      </c>
      <c r="AE440" t="str">
        <f ca="1"/>
        <v>Central</v>
      </c>
      <c r="AF440" t="str">
        <f ca="1"/>
        <v>Mineral</v>
      </c>
      <c r="AG440" t="str">
        <f ca="1"/>
        <v>MCO</v>
      </c>
      <c r="AH440" t="str">
        <f ca="1"/>
        <v>20W40</v>
      </c>
      <c r="AI440" t="str">
        <f ca="1"/>
        <v>3000</v>
      </c>
      <c r="AJ440">
        <f ca="1"/>
        <v>0</v>
      </c>
      <c r="AK440" t="str">
        <f ca="1"/>
        <v>20x1.2L</v>
      </c>
      <c r="AL440">
        <f ca="1"/>
        <v>140969.33860518291</v>
      </c>
      <c r="AM440">
        <f ca="1"/>
        <v>24682.835307860572</v>
      </c>
      <c r="AN440" t="str">
        <f ca="1"/>
        <v>O-45740-D-0001</v>
      </c>
      <c r="AO440" t="str">
        <f ca="1"/>
        <v>Delivered</v>
      </c>
    </row>
    <row r="441" spans="1:41" x14ac:dyDescent="0.5">
      <c r="A441" t="str">
        <f ca="1"/>
        <v>F-217</v>
      </c>
      <c r="B441" s="1">
        <f ca="1"/>
        <v>45740</v>
      </c>
      <c r="C441" t="str">
        <f ca="1"/>
        <v>D-0001</v>
      </c>
      <c r="D441" t="str">
        <f ca="1"/>
        <v>SS Lube Mart</v>
      </c>
      <c r="E441" t="str">
        <f ca="1"/>
        <v>Faridpur</v>
      </c>
      <c r="F441">
        <f ca="1"/>
        <v>1923641421</v>
      </c>
      <c r="G441" t="str">
        <f ca="1"/>
        <v>Md.Mahfuzur Rahman</v>
      </c>
      <c r="H441" t="str">
        <f ca="1"/>
        <v>Abdul Matin</v>
      </c>
      <c r="I441" t="str">
        <f ca="1"/>
        <v>M/S Hasan Traders</v>
      </c>
      <c r="J441" t="str">
        <f ca="1"/>
        <v>Pangsha</v>
      </c>
      <c r="K441" t="str">
        <f ca="1"/>
        <v>LO00074</v>
      </c>
      <c r="L441" t="str">
        <f ca="1"/>
        <v>7100 4T 10W30 ESTER CORE®</v>
      </c>
      <c r="M441">
        <f ca="1"/>
        <v>48</v>
      </c>
      <c r="N441">
        <f ca="1"/>
        <v>1080</v>
      </c>
      <c r="O441">
        <f ca="1"/>
        <v>48</v>
      </c>
      <c r="P441">
        <f ca="1"/>
        <v>3.703703703703709E-2</v>
      </c>
      <c r="Q441">
        <f ca="1"/>
        <v>0</v>
      </c>
      <c r="R441">
        <f ca="1"/>
        <v>1040</v>
      </c>
      <c r="S441">
        <f ca="1"/>
        <v>48</v>
      </c>
      <c r="T441">
        <f ca="1"/>
        <v>48</v>
      </c>
      <c r="U441">
        <f ca="1"/>
        <v>51840</v>
      </c>
      <c r="V441">
        <f ca="1"/>
        <v>0</v>
      </c>
      <c r="W441">
        <f ca="1"/>
        <v>49920</v>
      </c>
      <c r="X441">
        <f ca="1"/>
        <v>6511.304347826087</v>
      </c>
      <c r="Y441">
        <f ca="1"/>
        <v>43408.695652173912</v>
      </c>
      <c r="Z441" t="str">
        <f ca="1"/>
        <v>Cash</v>
      </c>
      <c r="AA441">
        <f ca="1"/>
        <v>681</v>
      </c>
      <c r="AB441" t="str">
        <f ca="1"/>
        <v>Flat Discount</v>
      </c>
      <c r="AC441">
        <f ca="1"/>
        <v>45740</v>
      </c>
      <c r="AD441" t="str">
        <f ca="1"/>
        <v xml:space="preserve">delivery system:personal vehicles </v>
      </c>
      <c r="AE441" t="str">
        <f ca="1"/>
        <v>Central</v>
      </c>
      <c r="AF441" t="str">
        <f ca="1"/>
        <v>Synthetic</v>
      </c>
      <c r="AG441" t="str">
        <f ca="1"/>
        <v>MCO</v>
      </c>
      <c r="AH441" t="str">
        <f ca="1"/>
        <v>10W30</v>
      </c>
      <c r="AI441" t="str">
        <f ca="1"/>
        <v>7100</v>
      </c>
      <c r="AJ441">
        <f ca="1"/>
        <v>0</v>
      </c>
      <c r="AK441" t="str">
        <f ca="1"/>
        <v>12x1L</v>
      </c>
      <c r="AL441">
        <f ca="1"/>
        <v>33113.279999999999</v>
      </c>
      <c r="AM441">
        <f ca="1"/>
        <v>10295.415652173913</v>
      </c>
      <c r="AN441" t="str">
        <f ca="1"/>
        <v>O-45740-D-0001</v>
      </c>
      <c r="AO441" t="str">
        <f ca="1"/>
        <v>Delivered</v>
      </c>
    </row>
    <row r="442" spans="1:41" x14ac:dyDescent="0.5">
      <c r="A442" t="str">
        <f ca="1"/>
        <v>F-217</v>
      </c>
      <c r="B442" s="1">
        <f ca="1"/>
        <v>45740</v>
      </c>
      <c r="C442" t="str">
        <f ca="1"/>
        <v>D-0001</v>
      </c>
      <c r="D442" t="str">
        <f ca="1"/>
        <v>SS Lube Mart</v>
      </c>
      <c r="E442" t="str">
        <f ca="1"/>
        <v>Faridpur</v>
      </c>
      <c r="F442">
        <f ca="1"/>
        <v>1923641421</v>
      </c>
      <c r="G442" t="str">
        <f ca="1"/>
        <v>Md.Mahfuzur Rahman</v>
      </c>
      <c r="H442" t="str">
        <f ca="1"/>
        <v>Abdul Matin</v>
      </c>
      <c r="I442" t="str">
        <f ca="1"/>
        <v>M/S Hasan Traders</v>
      </c>
      <c r="J442" t="str">
        <f ca="1"/>
        <v>Pangsha</v>
      </c>
      <c r="K442" t="str">
        <f ca="1"/>
        <v>LO00048</v>
      </c>
      <c r="L442" t="str">
        <f ca="1"/>
        <v>7100 4T 20W50 ESTER CORE®</v>
      </c>
      <c r="M442">
        <f ca="1"/>
        <v>60</v>
      </c>
      <c r="N442">
        <f ca="1"/>
        <v>1080</v>
      </c>
      <c r="O442">
        <f ca="1"/>
        <v>60</v>
      </c>
      <c r="P442">
        <f ca="1"/>
        <v>3.703703703703709E-2</v>
      </c>
      <c r="Q442">
        <f ca="1"/>
        <v>0</v>
      </c>
      <c r="R442">
        <f ca="1"/>
        <v>1040</v>
      </c>
      <c r="S442">
        <f ca="1"/>
        <v>60</v>
      </c>
      <c r="T442">
        <f ca="1"/>
        <v>60</v>
      </c>
      <c r="U442">
        <f ca="1"/>
        <v>64800</v>
      </c>
      <c r="V442">
        <f ca="1"/>
        <v>0</v>
      </c>
      <c r="W442">
        <f ca="1"/>
        <v>62400</v>
      </c>
      <c r="X442">
        <f ca="1"/>
        <v>8139.130434782609</v>
      </c>
      <c r="Y442">
        <f ca="1"/>
        <v>54260.869565217392</v>
      </c>
      <c r="Z442" t="str">
        <f ca="1"/>
        <v>Cash</v>
      </c>
      <c r="AA442">
        <f ca="1"/>
        <v>681</v>
      </c>
      <c r="AB442" t="str">
        <f ca="1"/>
        <v>Flat Discount</v>
      </c>
      <c r="AC442">
        <f ca="1"/>
        <v>45740</v>
      </c>
      <c r="AD442" t="str">
        <f ca="1"/>
        <v xml:space="preserve">delivery system:personal vehicles </v>
      </c>
      <c r="AE442" t="str">
        <f ca="1"/>
        <v>Central</v>
      </c>
      <c r="AF442" t="str">
        <f ca="1"/>
        <v>Synthetic</v>
      </c>
      <c r="AG442" t="str">
        <f ca="1"/>
        <v>MCO</v>
      </c>
      <c r="AH442" t="str">
        <f ca="1"/>
        <v>20W50</v>
      </c>
      <c r="AI442" t="str">
        <f ca="1"/>
        <v>7100</v>
      </c>
      <c r="AJ442">
        <f ca="1"/>
        <v>0</v>
      </c>
      <c r="AK442" t="str">
        <f ca="1"/>
        <v>12x1L</v>
      </c>
      <c r="AL442">
        <f ca="1"/>
        <v>45821.904000000002</v>
      </c>
      <c r="AM442">
        <f ca="1"/>
        <v>8438.9655652173897</v>
      </c>
      <c r="AN442" t="str">
        <f ca="1"/>
        <v>O-45740-D-0001</v>
      </c>
      <c r="AO442" t="str">
        <f ca="1"/>
        <v>Delivered</v>
      </c>
    </row>
    <row r="443" spans="1:41" x14ac:dyDescent="0.5">
      <c r="A443" t="str">
        <f ca="1"/>
        <v>F-217</v>
      </c>
      <c r="B443" s="1">
        <f ca="1"/>
        <v>45740</v>
      </c>
      <c r="C443" t="str">
        <f ca="1"/>
        <v>D-0001</v>
      </c>
      <c r="D443" t="str">
        <f ca="1"/>
        <v>SS Lube Mart</v>
      </c>
      <c r="E443" t="str">
        <f ca="1"/>
        <v>Faridpur</v>
      </c>
      <c r="F443">
        <f ca="1"/>
        <v>1923641421</v>
      </c>
      <c r="G443" t="str">
        <f ca="1"/>
        <v>Md.Mahfuzur Rahman</v>
      </c>
      <c r="H443" t="str">
        <f ca="1"/>
        <v>Abdul Matin</v>
      </c>
      <c r="I443" t="str">
        <f ca="1"/>
        <v>M/S Hasan Traders</v>
      </c>
      <c r="J443" t="str">
        <f ca="1"/>
        <v>Pangsha</v>
      </c>
      <c r="K443" t="str">
        <f ca="1"/>
        <v>LO00104</v>
      </c>
      <c r="L443" t="str">
        <f ca="1"/>
        <v>7100 4T 10W30 ESTER CORE®</v>
      </c>
      <c r="M443">
        <f ca="1"/>
        <v>60</v>
      </c>
      <c r="N443">
        <f ca="1"/>
        <v>1295</v>
      </c>
      <c r="O443">
        <f ca="1"/>
        <v>72</v>
      </c>
      <c r="P443">
        <f ca="1"/>
        <v>3.4749034749034791E-2</v>
      </c>
      <c r="Q443">
        <f ca="1"/>
        <v>0</v>
      </c>
      <c r="R443">
        <f ca="1"/>
        <v>1250</v>
      </c>
      <c r="S443">
        <f ca="1"/>
        <v>60</v>
      </c>
      <c r="T443">
        <f ca="1"/>
        <v>72</v>
      </c>
      <c r="U443">
        <f ca="1"/>
        <v>77700</v>
      </c>
      <c r="V443">
        <f ca="1"/>
        <v>0</v>
      </c>
      <c r="W443">
        <f ca="1"/>
        <v>75000</v>
      </c>
      <c r="X443">
        <f ca="1"/>
        <v>9782.608695652174</v>
      </c>
      <c r="Y443">
        <f ca="1"/>
        <v>65217.391304347824</v>
      </c>
      <c r="Z443" t="str">
        <f ca="1"/>
        <v>Cash</v>
      </c>
      <c r="AA443">
        <f ca="1"/>
        <v>681</v>
      </c>
      <c r="AB443" t="str">
        <f ca="1"/>
        <v>Flat Discount</v>
      </c>
      <c r="AC443">
        <f ca="1"/>
        <v>45740</v>
      </c>
      <c r="AD443" t="str">
        <f ca="1"/>
        <v xml:space="preserve">delivery system:personal vehicles </v>
      </c>
      <c r="AE443" t="str">
        <f ca="1"/>
        <v>Central</v>
      </c>
      <c r="AF443" t="str">
        <f ca="1"/>
        <v>Synthetic</v>
      </c>
      <c r="AG443" t="str">
        <f ca="1"/>
        <v>MCO</v>
      </c>
      <c r="AH443" t="str">
        <f ca="1"/>
        <v>10W30</v>
      </c>
      <c r="AI443" t="str">
        <f ca="1"/>
        <v>7100</v>
      </c>
      <c r="AJ443">
        <f ca="1"/>
        <v>0</v>
      </c>
      <c r="AK443" t="str">
        <f ca="1"/>
        <v>20x1.2L</v>
      </c>
      <c r="AL443">
        <f ca="1"/>
        <v>46638</v>
      </c>
      <c r="AM443">
        <f ca="1"/>
        <v>18579.391304347824</v>
      </c>
      <c r="AN443" t="str">
        <f ca="1"/>
        <v>O-45740-D-0001</v>
      </c>
      <c r="AO443" t="str">
        <f ca="1"/>
        <v>Delivered</v>
      </c>
    </row>
    <row r="444" spans="1:41" x14ac:dyDescent="0.5">
      <c r="A444" t="str">
        <f ca="1"/>
        <v>F-217</v>
      </c>
      <c r="B444" s="1">
        <f ca="1"/>
        <v>45740</v>
      </c>
      <c r="C444" t="str">
        <f ca="1"/>
        <v>D-0001</v>
      </c>
      <c r="D444" t="str">
        <f ca="1"/>
        <v>SS Lube Mart</v>
      </c>
      <c r="E444" t="str">
        <f ca="1"/>
        <v>Faridpur</v>
      </c>
      <c r="F444">
        <f ca="1"/>
        <v>1923641421</v>
      </c>
      <c r="G444" t="str">
        <f ca="1"/>
        <v>Md.Mahfuzur Rahman</v>
      </c>
      <c r="H444" t="str">
        <f ca="1"/>
        <v>Abdul Matin</v>
      </c>
      <c r="I444" t="str">
        <f ca="1"/>
        <v>M/S Hasan Traders</v>
      </c>
      <c r="J444" t="str">
        <f ca="1"/>
        <v>Pangsha</v>
      </c>
      <c r="K444" t="str">
        <f ca="1"/>
        <v>LO00119</v>
      </c>
      <c r="L444" t="str">
        <f ca="1"/>
        <v>3000 4T 20W50</v>
      </c>
      <c r="M444">
        <f ca="1"/>
        <v>200</v>
      </c>
      <c r="N444">
        <f ca="1"/>
        <v>495</v>
      </c>
      <c r="O444">
        <f ca="1"/>
        <v>200</v>
      </c>
      <c r="P444">
        <f ca="1"/>
        <v>0.19191919191919193</v>
      </c>
      <c r="Q444">
        <f ca="1"/>
        <v>0</v>
      </c>
      <c r="R444">
        <f ca="1"/>
        <v>400</v>
      </c>
      <c r="S444">
        <f ca="1"/>
        <v>200</v>
      </c>
      <c r="T444">
        <f ca="1"/>
        <v>200</v>
      </c>
      <c r="U444">
        <f ca="1"/>
        <v>99000</v>
      </c>
      <c r="V444">
        <f ca="1"/>
        <v>0</v>
      </c>
      <c r="W444">
        <f ca="1"/>
        <v>80000</v>
      </c>
      <c r="X444">
        <f ca="1"/>
        <v>10434.782608695652</v>
      </c>
      <c r="Y444">
        <f ca="1"/>
        <v>69565.217391304352</v>
      </c>
      <c r="Z444" t="str">
        <f ca="1"/>
        <v>Cash</v>
      </c>
      <c r="AA444">
        <f ca="1"/>
        <v>681</v>
      </c>
      <c r="AB444" t="str">
        <f ca="1"/>
        <v>Flat Discount</v>
      </c>
      <c r="AC444">
        <f ca="1"/>
        <v>45740</v>
      </c>
      <c r="AD444" t="str">
        <f ca="1"/>
        <v xml:space="preserve">delivery system:personal vehicles </v>
      </c>
      <c r="AE444" t="str">
        <f ca="1"/>
        <v>Central</v>
      </c>
      <c r="AF444" t="str">
        <f ca="1"/>
        <v>Mineral</v>
      </c>
      <c r="AG444" t="str">
        <f ca="1"/>
        <v>MCO</v>
      </c>
      <c r="AH444" t="str">
        <f ca="1"/>
        <v>20W50</v>
      </c>
      <c r="AI444" t="str">
        <f ca="1"/>
        <v>3000</v>
      </c>
      <c r="AJ444">
        <f ca="1"/>
        <v>0</v>
      </c>
      <c r="AK444" t="str">
        <f ca="1"/>
        <v>20x1L</v>
      </c>
      <c r="AL444">
        <f ca="1"/>
        <v>72984</v>
      </c>
      <c r="AM444">
        <f ca="1"/>
        <v>-3418.7826086956484</v>
      </c>
      <c r="AN444" t="str">
        <f ca="1"/>
        <v>O-45740-D-0001</v>
      </c>
      <c r="AO444" t="str">
        <f ca="1"/>
        <v>Delivered</v>
      </c>
    </row>
    <row r="445" spans="1:41" x14ac:dyDescent="0.5">
      <c r="A445" t="str">
        <f ca="1"/>
        <v>F-218</v>
      </c>
      <c r="B445" s="1">
        <f ca="1"/>
        <v>45739</v>
      </c>
      <c r="C445" t="str">
        <f ca="1"/>
        <v>D-0010</v>
      </c>
      <c r="D445" t="str">
        <f ca="1"/>
        <v>Hazipur Traders</v>
      </c>
      <c r="E445" t="str">
        <f ca="1"/>
        <v>Chowmuhoni</v>
      </c>
      <c r="F445" t="str">
        <f ca="1"/>
        <v>01710-639669</v>
      </c>
      <c r="G445" t="str">
        <f ca="1"/>
        <v>Md. Robin Sheikh</v>
      </c>
      <c r="H445" t="str">
        <f ca="1"/>
        <v>Razur Rahman (Bipul)</v>
      </c>
      <c r="I445" t="str">
        <f ca="1"/>
        <v>City Trading</v>
      </c>
      <c r="J445" t="str">
        <f ca="1"/>
        <v>Chowmuhoni</v>
      </c>
      <c r="K445" t="str">
        <f ca="1"/>
        <v>LO00043</v>
      </c>
      <c r="L445" t="str">
        <f ca="1"/>
        <v>3000 4T PLUS 10W40</v>
      </c>
      <c r="M445">
        <f ca="1"/>
        <v>80</v>
      </c>
      <c r="N445">
        <f ca="1"/>
        <v>550</v>
      </c>
      <c r="O445">
        <f ca="1"/>
        <v>80</v>
      </c>
      <c r="P445">
        <f ca="1"/>
        <v>3.6363636363636376E-2</v>
      </c>
      <c r="Q445">
        <f ca="1"/>
        <v>0</v>
      </c>
      <c r="R445">
        <f ca="1"/>
        <v>530</v>
      </c>
      <c r="S445">
        <f ca="1"/>
        <v>80</v>
      </c>
      <c r="T445">
        <f ca="1"/>
        <v>80</v>
      </c>
      <c r="U445">
        <f ca="1"/>
        <v>44000</v>
      </c>
      <c r="V445">
        <f ca="1"/>
        <v>0</v>
      </c>
      <c r="W445">
        <f ca="1"/>
        <v>42400</v>
      </c>
      <c r="X445">
        <f ca="1"/>
        <v>5530.434782608696</v>
      </c>
      <c r="Y445">
        <f ca="1"/>
        <v>36869.565217391304</v>
      </c>
      <c r="Z445" t="str">
        <f ca="1"/>
        <v>Cash</v>
      </c>
      <c r="AA445">
        <f ca="1"/>
        <v>682</v>
      </c>
      <c r="AB445" t="str">
        <f ca="1"/>
        <v>Flat Discount</v>
      </c>
      <c r="AC445">
        <f ca="1"/>
        <v>45740</v>
      </c>
      <c r="AD445" t="str">
        <f ca="1"/>
        <v/>
      </c>
      <c r="AE445" t="str">
        <f ca="1"/>
        <v>Eastern</v>
      </c>
      <c r="AF445" t="str">
        <f ca="1"/>
        <v>Mineral</v>
      </c>
      <c r="AG445" t="str">
        <f ca="1"/>
        <v>MCO</v>
      </c>
      <c r="AH445" t="str">
        <f ca="1"/>
        <v>10W40</v>
      </c>
      <c r="AI445" t="str">
        <f ca="1"/>
        <v>3000</v>
      </c>
      <c r="AJ445">
        <f ca="1"/>
        <v>0</v>
      </c>
      <c r="AK445" t="str">
        <f ca="1"/>
        <v>20x1L</v>
      </c>
      <c r="AL445">
        <f ca="1"/>
        <v>30788</v>
      </c>
      <c r="AM445">
        <f ca="1"/>
        <v>6081.565217391304</v>
      </c>
      <c r="AN445" t="str">
        <f ca="1"/>
        <v>O-45739-D-0010</v>
      </c>
      <c r="AO445" t="str">
        <f ca="1"/>
        <v>Delivered</v>
      </c>
    </row>
    <row r="446" spans="1:41" x14ac:dyDescent="0.5">
      <c r="A446" t="str">
        <f ca="1"/>
        <v>F-218</v>
      </c>
      <c r="B446" s="1">
        <f ca="1"/>
        <v>45739</v>
      </c>
      <c r="C446" t="str">
        <f ca="1"/>
        <v>D-0010</v>
      </c>
      <c r="D446" t="str">
        <f ca="1"/>
        <v>Hazipur Traders</v>
      </c>
      <c r="E446" t="str">
        <f ca="1"/>
        <v>Chowmuhoni</v>
      </c>
      <c r="F446" t="str">
        <f ca="1"/>
        <v>01710-639669</v>
      </c>
      <c r="G446" t="str">
        <f ca="1"/>
        <v>Md. Robin Sheikh</v>
      </c>
      <c r="H446" t="str">
        <f ca="1"/>
        <v>Razur Rahman (Bipul)</v>
      </c>
      <c r="I446" t="str">
        <f ca="1"/>
        <v>City Trading</v>
      </c>
      <c r="J446" t="str">
        <f ca="1"/>
        <v>Chowmuhoni</v>
      </c>
      <c r="K446" t="str">
        <f ca="1"/>
        <v>LO00119</v>
      </c>
      <c r="L446" t="str">
        <f ca="1"/>
        <v>3000 4T 20W50</v>
      </c>
      <c r="M446">
        <f ca="1"/>
        <v>20</v>
      </c>
      <c r="N446">
        <f ca="1"/>
        <v>495</v>
      </c>
      <c r="O446">
        <f ca="1"/>
        <v>20</v>
      </c>
      <c r="P446">
        <f ca="1"/>
        <v>5.0505050505050497E-2</v>
      </c>
      <c r="Q446">
        <f ca="1"/>
        <v>0</v>
      </c>
      <c r="R446">
        <f ca="1"/>
        <v>470</v>
      </c>
      <c r="S446">
        <f ca="1"/>
        <v>20</v>
      </c>
      <c r="T446">
        <f ca="1"/>
        <v>20</v>
      </c>
      <c r="U446">
        <f ca="1"/>
        <v>9900</v>
      </c>
      <c r="V446">
        <f ca="1"/>
        <v>0</v>
      </c>
      <c r="W446">
        <f ca="1"/>
        <v>9400</v>
      </c>
      <c r="X446">
        <f ca="1"/>
        <v>1226.0869565217392</v>
      </c>
      <c r="Y446">
        <f ca="1"/>
        <v>8173.913043478261</v>
      </c>
      <c r="Z446" t="str">
        <f ca="1"/>
        <v>Cash</v>
      </c>
      <c r="AA446">
        <f ca="1"/>
        <v>682</v>
      </c>
      <c r="AB446" t="str">
        <f ca="1"/>
        <v>Flat Discount</v>
      </c>
      <c r="AC446">
        <f ca="1"/>
        <v>45740</v>
      </c>
      <c r="AD446" t="str">
        <f ca="1"/>
        <v/>
      </c>
      <c r="AE446" t="str">
        <f ca="1"/>
        <v>Eastern</v>
      </c>
      <c r="AF446" t="str">
        <f ca="1"/>
        <v>Mineral</v>
      </c>
      <c r="AG446" t="str">
        <f ca="1"/>
        <v>MCO</v>
      </c>
      <c r="AH446" t="str">
        <f ca="1"/>
        <v>20W50</v>
      </c>
      <c r="AI446" t="str">
        <f ca="1"/>
        <v>3000</v>
      </c>
      <c r="AJ446">
        <f ca="1"/>
        <v>0</v>
      </c>
      <c r="AK446" t="str">
        <f ca="1"/>
        <v>20x1L</v>
      </c>
      <c r="AL446">
        <f ca="1"/>
        <v>7298.4000000000005</v>
      </c>
      <c r="AM446">
        <f ca="1"/>
        <v>875.51304347826044</v>
      </c>
      <c r="AN446" t="str">
        <f ca="1"/>
        <v>O-45739-D-0010</v>
      </c>
      <c r="AO446" t="str">
        <f ca="1"/>
        <v>Delivered</v>
      </c>
    </row>
    <row r="447" spans="1:41" x14ac:dyDescent="0.5">
      <c r="A447" t="str">
        <f ca="1"/>
        <v>F-219</v>
      </c>
      <c r="B447" s="1">
        <f ca="1"/>
        <v>45739</v>
      </c>
      <c r="C447" t="str">
        <f ca="1"/>
        <v>D-0010</v>
      </c>
      <c r="D447" t="str">
        <f ca="1"/>
        <v>Patowary Motors</v>
      </c>
      <c r="E447" t="str">
        <f ca="1"/>
        <v>Chandpur Sadar</v>
      </c>
      <c r="F447" t="str">
        <f ca="1"/>
        <v>01742-677337</v>
      </c>
      <c r="G447" t="str">
        <f ca="1"/>
        <v>Md. Robin Sheikh</v>
      </c>
      <c r="H447" t="str">
        <f ca="1"/>
        <v>Razur Rahman (Bipul)</v>
      </c>
      <c r="I447" t="str">
        <f ca="1"/>
        <v>City Trading</v>
      </c>
      <c r="J447" t="str">
        <f ca="1"/>
        <v>Chowmuhoni</v>
      </c>
      <c r="K447" t="str">
        <f ca="1"/>
        <v>LO00043</v>
      </c>
      <c r="L447" t="str">
        <f ca="1"/>
        <v>3000 4T PLUS 10W40</v>
      </c>
      <c r="M447">
        <f ca="1"/>
        <v>60</v>
      </c>
      <c r="N447">
        <f ca="1"/>
        <v>550</v>
      </c>
      <c r="O447">
        <f ca="1"/>
        <v>60</v>
      </c>
      <c r="P447">
        <f ca="1"/>
        <v>2.7272727272727226E-2</v>
      </c>
      <c r="Q447">
        <f ca="1"/>
        <v>0</v>
      </c>
      <c r="R447">
        <f ca="1"/>
        <v>535</v>
      </c>
      <c r="S447">
        <f ca="1"/>
        <v>60</v>
      </c>
      <c r="T447">
        <f ca="1"/>
        <v>60</v>
      </c>
      <c r="U447">
        <f ca="1"/>
        <v>33000</v>
      </c>
      <c r="V447">
        <f ca="1"/>
        <v>0</v>
      </c>
      <c r="W447">
        <f ca="1"/>
        <v>32100</v>
      </c>
      <c r="X447">
        <f ca="1"/>
        <v>4186.95652173913</v>
      </c>
      <c r="Y447">
        <f ca="1"/>
        <v>27913.043478260868</v>
      </c>
      <c r="Z447" t="str">
        <f ca="1"/>
        <v>Cash</v>
      </c>
      <c r="AA447">
        <f ca="1"/>
        <v>683</v>
      </c>
      <c r="AB447" t="str">
        <f ca="1"/>
        <v>Flat Discount</v>
      </c>
      <c r="AC447">
        <f ca="1"/>
        <v>45740</v>
      </c>
      <c r="AD447" t="str">
        <f ca="1"/>
        <v/>
      </c>
      <c r="AE447" t="str">
        <f ca="1"/>
        <v>Eastern</v>
      </c>
      <c r="AF447" t="str">
        <f ca="1"/>
        <v>Mineral</v>
      </c>
      <c r="AG447" t="str">
        <f ca="1"/>
        <v>MCO</v>
      </c>
      <c r="AH447" t="str">
        <f ca="1"/>
        <v>10W40</v>
      </c>
      <c r="AI447" t="str">
        <f ca="1"/>
        <v>3000</v>
      </c>
      <c r="AJ447">
        <f ca="1"/>
        <v>0</v>
      </c>
      <c r="AK447" t="str">
        <f ca="1"/>
        <v>20x1L</v>
      </c>
      <c r="AL447">
        <f ca="1"/>
        <v>23091</v>
      </c>
      <c r="AM447">
        <f ca="1"/>
        <v>4822.0434782608681</v>
      </c>
      <c r="AN447" t="str">
        <f ca="1"/>
        <v>O-45739-D-0010</v>
      </c>
      <c r="AO447" t="str">
        <f ca="1"/>
        <v>Delivered</v>
      </c>
    </row>
    <row r="448" spans="1:41" x14ac:dyDescent="0.5">
      <c r="A448" t="str">
        <f ca="1"/>
        <v>F-220</v>
      </c>
      <c r="B448" s="1">
        <f ca="1"/>
        <v>45739</v>
      </c>
      <c r="C448" t="str">
        <f ca="1"/>
        <v>D-0023</v>
      </c>
      <c r="D448" t="str">
        <f ca="1"/>
        <v>RS Hossain Motors</v>
      </c>
      <c r="E448" t="str">
        <f ca="1"/>
        <v>Registriri para--Tangail Sadar</v>
      </c>
      <c r="F448" t="str">
        <f ca="1"/>
        <v>+8801521308494</v>
      </c>
      <c r="G448" t="str">
        <f ca="1"/>
        <v>Monirul Islam</v>
      </c>
      <c r="H448" t="str">
        <f ca="1"/>
        <v>Raihan Siddiqui</v>
      </c>
      <c r="I448" t="str">
        <f ca="1"/>
        <v>Bondhu Motors</v>
      </c>
      <c r="J448" t="str">
        <f ca="1"/>
        <v>Rangpur</v>
      </c>
      <c r="K448" t="str">
        <f ca="1"/>
        <v>LO00041</v>
      </c>
      <c r="L448" t="str">
        <f ca="1"/>
        <v>3000 4T PLUS 10W30</v>
      </c>
      <c r="M448">
        <f ca="1"/>
        <v>60</v>
      </c>
      <c r="N448">
        <f ca="1"/>
        <v>540</v>
      </c>
      <c r="O448">
        <f ca="1"/>
        <v>60</v>
      </c>
      <c r="P448">
        <f ca="1"/>
        <v>9.2592592592593004E-3</v>
      </c>
      <c r="Q448">
        <f ca="1"/>
        <v>0</v>
      </c>
      <c r="R448">
        <f ca="1"/>
        <v>535</v>
      </c>
      <c r="S448">
        <f ca="1"/>
        <v>60</v>
      </c>
      <c r="T448">
        <f ca="1"/>
        <v>60</v>
      </c>
      <c r="U448">
        <f ca="1"/>
        <v>32400</v>
      </c>
      <c r="V448">
        <f ca="1"/>
        <v>0</v>
      </c>
      <c r="W448">
        <f ca="1"/>
        <v>32100</v>
      </c>
      <c r="X448">
        <f ca="1"/>
        <v>4186.95652173913</v>
      </c>
      <c r="Y448">
        <f ca="1"/>
        <v>27913.043478260868</v>
      </c>
      <c r="Z448" t="str">
        <f ca="1"/>
        <v>Cash</v>
      </c>
      <c r="AA448">
        <f ca="1"/>
        <v>684</v>
      </c>
      <c r="AB448" t="str">
        <f ca="1"/>
        <v>Custom</v>
      </c>
      <c r="AC448">
        <f ca="1"/>
        <v>45740</v>
      </c>
      <c r="AD448" t="str">
        <f ca="1"/>
        <v/>
      </c>
      <c r="AE448" t="str">
        <f ca="1"/>
        <v>Northern</v>
      </c>
      <c r="AF448" t="str">
        <f ca="1"/>
        <v>Mineral</v>
      </c>
      <c r="AG448" t="str">
        <f ca="1"/>
        <v>MCO</v>
      </c>
      <c r="AH448" t="str">
        <f ca="1"/>
        <v>10W30</v>
      </c>
      <c r="AI448" t="str">
        <f ca="1"/>
        <v>3000</v>
      </c>
      <c r="AJ448">
        <f ca="1"/>
        <v>0</v>
      </c>
      <c r="AK448" t="str">
        <f ca="1"/>
        <v>20x1L</v>
      </c>
      <c r="AL448">
        <f ca="1"/>
        <v>22759.8</v>
      </c>
      <c r="AM448">
        <f ca="1"/>
        <v>5153.2434782608689</v>
      </c>
      <c r="AN448" t="str">
        <f ca="1"/>
        <v>O-45739-D-0023</v>
      </c>
      <c r="AO448" t="str">
        <f ca="1"/>
        <v>Delivered</v>
      </c>
    </row>
    <row r="449" spans="1:41" x14ac:dyDescent="0.5">
      <c r="A449" t="str">
        <f ca="1"/>
        <v>F-220</v>
      </c>
      <c r="B449" s="1">
        <f ca="1"/>
        <v>45739</v>
      </c>
      <c r="C449" t="str">
        <f ca="1"/>
        <v>D-0023</v>
      </c>
      <c r="D449" t="str">
        <f ca="1"/>
        <v>RS Hossain Motors</v>
      </c>
      <c r="E449" t="str">
        <f ca="1"/>
        <v>Registriri para--Tangail Sadar</v>
      </c>
      <c r="F449" t="str">
        <f ca="1"/>
        <v>+8801521308494</v>
      </c>
      <c r="G449" t="str">
        <f ca="1"/>
        <v>Monirul Islam</v>
      </c>
      <c r="H449" t="str">
        <f ca="1"/>
        <v>Raihan Siddiqui</v>
      </c>
      <c r="I449" t="str">
        <f ca="1"/>
        <v>Bondhu Motors</v>
      </c>
      <c r="J449" t="str">
        <f ca="1"/>
        <v>Rangpur</v>
      </c>
      <c r="K449" t="str">
        <f ca="1"/>
        <v>LO00042</v>
      </c>
      <c r="L449" t="str">
        <f ca="1"/>
        <v>3000 4T PLUS 20W40</v>
      </c>
      <c r="M449">
        <f ca="1"/>
        <v>20</v>
      </c>
      <c r="N449">
        <f ca="1"/>
        <v>535</v>
      </c>
      <c r="O449">
        <f ca="1"/>
        <v>20</v>
      </c>
      <c r="P449">
        <f ca="1"/>
        <v>0</v>
      </c>
      <c r="Q449">
        <f ca="1"/>
        <v>0</v>
      </c>
      <c r="R449">
        <f ca="1"/>
        <v>535</v>
      </c>
      <c r="S449">
        <f ca="1"/>
        <v>20</v>
      </c>
      <c r="T449">
        <f ca="1"/>
        <v>20</v>
      </c>
      <c r="U449">
        <f ca="1"/>
        <v>10700</v>
      </c>
      <c r="V449">
        <f ca="1"/>
        <v>0</v>
      </c>
      <c r="W449">
        <f ca="1"/>
        <v>10700</v>
      </c>
      <c r="X449">
        <f ca="1"/>
        <v>1395.6521739130435</v>
      </c>
      <c r="Y449">
        <f ca="1"/>
        <v>9304.347826086956</v>
      </c>
      <c r="Z449" t="str">
        <f ca="1"/>
        <v>Cash</v>
      </c>
      <c r="AA449">
        <f ca="1"/>
        <v>684</v>
      </c>
      <c r="AB449" t="str">
        <f ca="1"/>
        <v>Custom</v>
      </c>
      <c r="AC449">
        <f ca="1"/>
        <v>45740</v>
      </c>
      <c r="AD449" t="str">
        <f ca="1"/>
        <v/>
      </c>
      <c r="AE449" t="str">
        <f ca="1"/>
        <v>Northern</v>
      </c>
      <c r="AF449" t="str">
        <f ca="1"/>
        <v>Mineral</v>
      </c>
      <c r="AG449" t="str">
        <f ca="1"/>
        <v>MCO</v>
      </c>
      <c r="AH449" t="str">
        <f ca="1"/>
        <v>20W40</v>
      </c>
      <c r="AI449" t="str">
        <f ca="1"/>
        <v>3000</v>
      </c>
      <c r="AJ449">
        <f ca="1"/>
        <v>0</v>
      </c>
      <c r="AK449" t="str">
        <f ca="1"/>
        <v>20x1L</v>
      </c>
      <c r="AL449">
        <f ca="1"/>
        <v>8255.2000000000007</v>
      </c>
      <c r="AM449">
        <f ca="1"/>
        <v>1049.1478260869553</v>
      </c>
      <c r="AN449" t="str">
        <f ca="1"/>
        <v>O-45739-D-0023</v>
      </c>
      <c r="AO449" t="str">
        <f ca="1"/>
        <v>Delivered</v>
      </c>
    </row>
    <row r="450" spans="1:41" x14ac:dyDescent="0.5">
      <c r="A450" t="str">
        <f ca="1"/>
        <v>F-220</v>
      </c>
      <c r="B450" s="1">
        <f ca="1"/>
        <v>45739</v>
      </c>
      <c r="C450" t="str">
        <f ca="1"/>
        <v>D-0023</v>
      </c>
      <c r="D450" t="str">
        <f ca="1"/>
        <v>RS Hossain Motors</v>
      </c>
      <c r="E450" t="str">
        <f ca="1"/>
        <v>Registriri para--Tangail Sadar</v>
      </c>
      <c r="F450" t="str">
        <f ca="1"/>
        <v>+8801521308494</v>
      </c>
      <c r="G450" t="str">
        <f ca="1"/>
        <v>Monirul Islam</v>
      </c>
      <c r="H450" t="str">
        <f ca="1"/>
        <v>Raihan Siddiqui</v>
      </c>
      <c r="I450" t="str">
        <f ca="1"/>
        <v>Bondhu Motors</v>
      </c>
      <c r="J450" t="str">
        <f ca="1"/>
        <v>Rangpur</v>
      </c>
      <c r="K450" t="str">
        <f ca="1"/>
        <v>LO00043</v>
      </c>
      <c r="L450" t="str">
        <f ca="1"/>
        <v>3000 4T PLUS 10W40</v>
      </c>
      <c r="M450">
        <f ca="1"/>
        <v>140</v>
      </c>
      <c r="N450">
        <f ca="1"/>
        <v>550</v>
      </c>
      <c r="O450">
        <f ca="1"/>
        <v>140</v>
      </c>
      <c r="P450">
        <f ca="1"/>
        <v>2.7272727272727226E-2</v>
      </c>
      <c r="Q450">
        <f ca="1"/>
        <v>0</v>
      </c>
      <c r="R450">
        <f ca="1"/>
        <v>535</v>
      </c>
      <c r="S450">
        <f ca="1"/>
        <v>140</v>
      </c>
      <c r="T450">
        <f ca="1"/>
        <v>140</v>
      </c>
      <c r="U450">
        <f ca="1"/>
        <v>77000</v>
      </c>
      <c r="V450">
        <f ca="1"/>
        <v>0</v>
      </c>
      <c r="W450">
        <f ca="1"/>
        <v>74900</v>
      </c>
      <c r="X450">
        <f ca="1"/>
        <v>9769.565217391304</v>
      </c>
      <c r="Y450">
        <f ca="1"/>
        <v>65130.434782608696</v>
      </c>
      <c r="Z450" t="str">
        <f ca="1"/>
        <v>Cash</v>
      </c>
      <c r="AA450">
        <f ca="1"/>
        <v>684</v>
      </c>
      <c r="AB450" t="str">
        <f ca="1"/>
        <v>Custom</v>
      </c>
      <c r="AC450">
        <f ca="1"/>
        <v>45740</v>
      </c>
      <c r="AD450" t="str">
        <f ca="1"/>
        <v/>
      </c>
      <c r="AE450" t="str">
        <f ca="1"/>
        <v>Northern</v>
      </c>
      <c r="AF450" t="str">
        <f ca="1"/>
        <v>Mineral</v>
      </c>
      <c r="AG450" t="str">
        <f ca="1"/>
        <v>MCO</v>
      </c>
      <c r="AH450" t="str">
        <f ca="1"/>
        <v>10W40</v>
      </c>
      <c r="AI450" t="str">
        <f ca="1"/>
        <v>3000</v>
      </c>
      <c r="AJ450">
        <f ca="1"/>
        <v>0</v>
      </c>
      <c r="AK450" t="str">
        <f ca="1"/>
        <v>20x1L</v>
      </c>
      <c r="AL450">
        <f ca="1"/>
        <v>53879</v>
      </c>
      <c r="AM450">
        <f ca="1"/>
        <v>11251.434782608696</v>
      </c>
      <c r="AN450" t="str">
        <f ca="1"/>
        <v>O-45739-D-0023</v>
      </c>
      <c r="AO450" t="str">
        <f ca="1"/>
        <v>Delivered</v>
      </c>
    </row>
    <row r="451" spans="1:41" x14ac:dyDescent="0.5">
      <c r="A451" t="str">
        <f ca="1"/>
        <v>F-220</v>
      </c>
      <c r="B451" s="1">
        <f ca="1"/>
        <v>45739</v>
      </c>
      <c r="C451" t="str">
        <f ca="1"/>
        <v>D-0023</v>
      </c>
      <c r="D451" t="str">
        <f ca="1"/>
        <v>RS Hossain Motors</v>
      </c>
      <c r="E451" t="str">
        <f ca="1"/>
        <v>Registriri para--Tangail Sadar</v>
      </c>
      <c r="F451" t="str">
        <f ca="1"/>
        <v>+8801521308494</v>
      </c>
      <c r="G451" t="str">
        <f ca="1"/>
        <v>Monirul Islam</v>
      </c>
      <c r="H451" t="str">
        <f ca="1"/>
        <v>Raihan Siddiqui</v>
      </c>
      <c r="I451" t="str">
        <f ca="1"/>
        <v>Bondhu Motors</v>
      </c>
      <c r="J451" t="str">
        <f ca="1"/>
        <v>Rangpur</v>
      </c>
      <c r="K451" t="str">
        <f ca="1"/>
        <v>LO00096</v>
      </c>
      <c r="L451" t="str">
        <f ca="1"/>
        <v>3000 4T PLUS 20W40</v>
      </c>
      <c r="M451">
        <f ca="1"/>
        <v>40</v>
      </c>
      <c r="N451">
        <f ca="1"/>
        <v>645</v>
      </c>
      <c r="O451">
        <f ca="1"/>
        <v>48</v>
      </c>
      <c r="P451">
        <f ca="1"/>
        <v>7.7519379844961378E-3</v>
      </c>
      <c r="Q451">
        <f ca="1"/>
        <v>0</v>
      </c>
      <c r="R451">
        <f ca="1"/>
        <v>640</v>
      </c>
      <c r="S451">
        <f ca="1"/>
        <v>40</v>
      </c>
      <c r="T451">
        <f ca="1"/>
        <v>48</v>
      </c>
      <c r="U451">
        <f ca="1"/>
        <v>25800</v>
      </c>
      <c r="V451">
        <f ca="1"/>
        <v>0</v>
      </c>
      <c r="W451">
        <f ca="1"/>
        <v>25600</v>
      </c>
      <c r="X451">
        <f ca="1"/>
        <v>3339.1304347826085</v>
      </c>
      <c r="Y451">
        <f ca="1"/>
        <v>22260.869565217392</v>
      </c>
      <c r="Z451" t="str">
        <f ca="1"/>
        <v>Cash</v>
      </c>
      <c r="AA451">
        <f ca="1"/>
        <v>684</v>
      </c>
      <c r="AB451" t="str">
        <f ca="1"/>
        <v>Custom</v>
      </c>
      <c r="AC451">
        <f ca="1"/>
        <v>45740</v>
      </c>
      <c r="AD451" t="str">
        <f ca="1"/>
        <v/>
      </c>
      <c r="AE451" t="str">
        <f ca="1"/>
        <v>Northern</v>
      </c>
      <c r="AF451" t="str">
        <f ca="1"/>
        <v>Mineral</v>
      </c>
      <c r="AG451" t="str">
        <f ca="1"/>
        <v>MCO</v>
      </c>
      <c r="AH451" t="str">
        <f ca="1"/>
        <v>20W40</v>
      </c>
      <c r="AI451" t="str">
        <f ca="1"/>
        <v>3000</v>
      </c>
      <c r="AJ451">
        <f ca="1"/>
        <v>0</v>
      </c>
      <c r="AK451" t="str">
        <f ca="1"/>
        <v>20x1.2L</v>
      </c>
      <c r="AL451">
        <f ca="1"/>
        <v>18795.911814024388</v>
      </c>
      <c r="AM451">
        <f ca="1"/>
        <v>3464.9577511930038</v>
      </c>
      <c r="AN451" t="str">
        <f ca="1"/>
        <v>O-45739-D-0023</v>
      </c>
      <c r="AO451" t="str">
        <f ca="1"/>
        <v>Delivered</v>
      </c>
    </row>
    <row r="452" spans="1:41" x14ac:dyDescent="0.5">
      <c r="A452" t="str">
        <f ca="1"/>
        <v>F-220</v>
      </c>
      <c r="B452" s="1">
        <f ca="1"/>
        <v>45739</v>
      </c>
      <c r="C452" t="str">
        <f ca="1"/>
        <v>D-0023</v>
      </c>
      <c r="D452" t="str">
        <f ca="1"/>
        <v>RS Hossain Motors</v>
      </c>
      <c r="E452" t="str">
        <f ca="1"/>
        <v>Registriri para--Tangail Sadar</v>
      </c>
      <c r="F452" t="str">
        <f ca="1"/>
        <v>+8801521308494</v>
      </c>
      <c r="G452" t="str">
        <f ca="1"/>
        <v>Monirul Islam</v>
      </c>
      <c r="H452" t="str">
        <f ca="1"/>
        <v>Raihan Siddiqui</v>
      </c>
      <c r="I452" t="str">
        <f ca="1"/>
        <v>Bondhu Motors</v>
      </c>
      <c r="J452" t="str">
        <f ca="1"/>
        <v>Rangpur</v>
      </c>
      <c r="K452" t="str">
        <f ca="1"/>
        <v>LO00046</v>
      </c>
      <c r="L452" t="str">
        <f ca="1"/>
        <v>51004T 10W40 ESTER</v>
      </c>
      <c r="M452">
        <f ca="1"/>
        <v>24</v>
      </c>
      <c r="N452">
        <f ca="1"/>
        <v>860</v>
      </c>
      <c r="O452">
        <f ca="1"/>
        <v>24</v>
      </c>
      <c r="P452">
        <f ca="1"/>
        <v>0</v>
      </c>
      <c r="Q452">
        <f ca="1"/>
        <v>0</v>
      </c>
      <c r="R452">
        <f ca="1"/>
        <v>860</v>
      </c>
      <c r="S452">
        <f ca="1"/>
        <v>24</v>
      </c>
      <c r="T452">
        <f ca="1"/>
        <v>24</v>
      </c>
      <c r="U452">
        <f ca="1"/>
        <v>20640</v>
      </c>
      <c r="V452">
        <f ca="1"/>
        <v>0</v>
      </c>
      <c r="W452">
        <f ca="1"/>
        <v>20640</v>
      </c>
      <c r="X452">
        <f ca="1"/>
        <v>2692.1739130434785</v>
      </c>
      <c r="Y452">
        <f ca="1"/>
        <v>17947.82608695652</v>
      </c>
      <c r="Z452" t="str">
        <f ca="1"/>
        <v>Cash</v>
      </c>
      <c r="AA452">
        <f ca="1"/>
        <v>684</v>
      </c>
      <c r="AB452" t="str">
        <f ca="1"/>
        <v>Custom</v>
      </c>
      <c r="AC452">
        <f ca="1"/>
        <v>45740</v>
      </c>
      <c r="AD452" t="str">
        <f ca="1"/>
        <v/>
      </c>
      <c r="AE452" t="str">
        <f ca="1"/>
        <v>Northern</v>
      </c>
      <c r="AF452" t="str">
        <f ca="1"/>
        <v>Technosynthese</v>
      </c>
      <c r="AG452" t="str">
        <f ca="1"/>
        <v>MCO</v>
      </c>
      <c r="AH452" t="str">
        <f ca="1"/>
        <v>10W40</v>
      </c>
      <c r="AI452" t="str">
        <f ca="1"/>
        <v>5100</v>
      </c>
      <c r="AJ452">
        <f ca="1"/>
        <v>0</v>
      </c>
      <c r="AK452" t="str">
        <f ca="1"/>
        <v>12x1L</v>
      </c>
      <c r="AL452">
        <f ca="1"/>
        <v>14599.920000000002</v>
      </c>
      <c r="AM452">
        <f ca="1"/>
        <v>3347.9060869565183</v>
      </c>
      <c r="AN452" t="str">
        <f ca="1"/>
        <v>O-45739-D-0023</v>
      </c>
      <c r="AO452" t="str">
        <f ca="1"/>
        <v>Delivered</v>
      </c>
    </row>
    <row r="453" spans="1:41" x14ac:dyDescent="0.5">
      <c r="A453" t="str">
        <f ca="1"/>
        <v>F-220</v>
      </c>
      <c r="B453" s="1">
        <f ca="1"/>
        <v>45739</v>
      </c>
      <c r="C453" t="str">
        <f ca="1"/>
        <v>D-0023</v>
      </c>
      <c r="D453" t="str">
        <f ca="1"/>
        <v>RS Hossain Motors</v>
      </c>
      <c r="E453" t="str">
        <f ca="1"/>
        <v>Registriri para--Tangail Sadar</v>
      </c>
      <c r="F453" t="str">
        <f ca="1"/>
        <v>+8801521308494</v>
      </c>
      <c r="G453" t="str">
        <f ca="1"/>
        <v>Monirul Islam</v>
      </c>
      <c r="H453" t="str">
        <f ca="1"/>
        <v>Raihan Siddiqui</v>
      </c>
      <c r="I453" t="str">
        <f ca="1"/>
        <v>Bondhu Motors</v>
      </c>
      <c r="J453" t="str">
        <f ca="1"/>
        <v>Rangpur</v>
      </c>
      <c r="K453" t="str">
        <f ca="1"/>
        <v>LO00074</v>
      </c>
      <c r="L453" t="str">
        <f ca="1"/>
        <v>7100 4T 10W30 ESTER CORE®</v>
      </c>
      <c r="M453">
        <f ca="1"/>
        <v>12</v>
      </c>
      <c r="N453">
        <f ca="1"/>
        <v>1080</v>
      </c>
      <c r="O453">
        <f ca="1"/>
        <v>12</v>
      </c>
      <c r="P453">
        <f ca="1"/>
        <v>4.6296296296296502E-3</v>
      </c>
      <c r="Q453">
        <f ca="1"/>
        <v>0</v>
      </c>
      <c r="R453">
        <f ca="1"/>
        <v>1075</v>
      </c>
      <c r="S453">
        <f ca="1"/>
        <v>12</v>
      </c>
      <c r="T453">
        <f ca="1"/>
        <v>12</v>
      </c>
      <c r="U453">
        <f ca="1"/>
        <v>12960</v>
      </c>
      <c r="V453">
        <f ca="1"/>
        <v>0</v>
      </c>
      <c r="W453">
        <f ca="1"/>
        <v>12900</v>
      </c>
      <c r="X453">
        <f ca="1"/>
        <v>1682.608695652174</v>
      </c>
      <c r="Y453">
        <f ca="1"/>
        <v>11217.391304347826</v>
      </c>
      <c r="Z453" t="str">
        <f ca="1"/>
        <v>Cash</v>
      </c>
      <c r="AA453">
        <f ca="1"/>
        <v>684</v>
      </c>
      <c r="AB453" t="str">
        <f ca="1"/>
        <v>Custom</v>
      </c>
      <c r="AC453">
        <f ca="1"/>
        <v>45740</v>
      </c>
      <c r="AD453" t="str">
        <f ca="1"/>
        <v/>
      </c>
      <c r="AE453" t="str">
        <f ca="1"/>
        <v>Northern</v>
      </c>
      <c r="AF453" t="str">
        <f ca="1"/>
        <v>Synthetic</v>
      </c>
      <c r="AG453" t="str">
        <f ca="1"/>
        <v>MCO</v>
      </c>
      <c r="AH453" t="str">
        <f ca="1"/>
        <v>10W30</v>
      </c>
      <c r="AI453" t="str">
        <f ca="1"/>
        <v>7100</v>
      </c>
      <c r="AJ453">
        <f ca="1"/>
        <v>0</v>
      </c>
      <c r="AK453" t="str">
        <f ca="1"/>
        <v>12x1L</v>
      </c>
      <c r="AL453">
        <f ca="1"/>
        <v>8278.32</v>
      </c>
      <c r="AM453">
        <f ca="1"/>
        <v>2939.0713043478263</v>
      </c>
      <c r="AN453" t="str">
        <f ca="1"/>
        <v>O-45739-D-0023</v>
      </c>
      <c r="AO453" t="str">
        <f ca="1"/>
        <v>Delivered</v>
      </c>
    </row>
    <row r="454" spans="1:41" x14ac:dyDescent="0.5">
      <c r="A454" t="str">
        <f ca="1"/>
        <v>F-220</v>
      </c>
      <c r="B454" s="1">
        <f ca="1"/>
        <v>45739</v>
      </c>
      <c r="C454" t="str">
        <f ca="1"/>
        <v>D-0023</v>
      </c>
      <c r="D454" t="str">
        <f ca="1"/>
        <v>RS Hossain Motors</v>
      </c>
      <c r="E454" t="str">
        <f ca="1"/>
        <v>Registriri para--Tangail Sadar</v>
      </c>
      <c r="F454" t="str">
        <f ca="1"/>
        <v>+8801521308494</v>
      </c>
      <c r="G454" t="str">
        <f ca="1"/>
        <v>Monirul Islam</v>
      </c>
      <c r="H454" t="str">
        <f ca="1"/>
        <v>Raihan Siddiqui</v>
      </c>
      <c r="I454" t="str">
        <f ca="1"/>
        <v>Bondhu Motors</v>
      </c>
      <c r="J454" t="str">
        <f ca="1"/>
        <v>Rangpur</v>
      </c>
      <c r="K454" t="str">
        <f ca="1"/>
        <v>LO00048</v>
      </c>
      <c r="L454" t="str">
        <f ca="1"/>
        <v>7100 4T 20W50 ESTER CORE®</v>
      </c>
      <c r="M454">
        <f ca="1"/>
        <v>24</v>
      </c>
      <c r="N454">
        <f ca="1"/>
        <v>1080</v>
      </c>
      <c r="O454">
        <f ca="1"/>
        <v>24</v>
      </c>
      <c r="P454">
        <f ca="1"/>
        <v>4.6296296296296502E-3</v>
      </c>
      <c r="Q454">
        <f ca="1"/>
        <v>0</v>
      </c>
      <c r="R454">
        <f ca="1"/>
        <v>1075</v>
      </c>
      <c r="S454">
        <f ca="1"/>
        <v>24</v>
      </c>
      <c r="T454">
        <f ca="1"/>
        <v>24</v>
      </c>
      <c r="U454">
        <f ca="1"/>
        <v>25920</v>
      </c>
      <c r="V454">
        <f ca="1"/>
        <v>0</v>
      </c>
      <c r="W454">
        <f ca="1"/>
        <v>25800</v>
      </c>
      <c r="X454">
        <f ca="1"/>
        <v>3365.217391304348</v>
      </c>
      <c r="Y454">
        <f ca="1"/>
        <v>22434.782608695652</v>
      </c>
      <c r="Z454" t="str">
        <f ca="1"/>
        <v>Cash</v>
      </c>
      <c r="AA454">
        <f ca="1"/>
        <v>684</v>
      </c>
      <c r="AB454" t="str">
        <f ca="1"/>
        <v>Custom</v>
      </c>
      <c r="AC454">
        <f ca="1"/>
        <v>45740</v>
      </c>
      <c r="AD454" t="str">
        <f ca="1"/>
        <v/>
      </c>
      <c r="AE454" t="str">
        <f ca="1"/>
        <v>Northern</v>
      </c>
      <c r="AF454" t="str">
        <f ca="1"/>
        <v>Synthetic</v>
      </c>
      <c r="AG454" t="str">
        <f ca="1"/>
        <v>MCO</v>
      </c>
      <c r="AH454" t="str">
        <f ca="1"/>
        <v>20W50</v>
      </c>
      <c r="AI454" t="str">
        <f ca="1"/>
        <v>7100</v>
      </c>
      <c r="AJ454">
        <f ca="1"/>
        <v>0</v>
      </c>
      <c r="AK454" t="str">
        <f ca="1"/>
        <v>12x1L</v>
      </c>
      <c r="AL454">
        <f ca="1"/>
        <v>18328.761599999998</v>
      </c>
      <c r="AM454">
        <f ca="1"/>
        <v>4106.021008695654</v>
      </c>
      <c r="AN454" t="str">
        <f ca="1"/>
        <v>O-45739-D-0023</v>
      </c>
      <c r="AO454" t="str">
        <f ca="1"/>
        <v>Delivered</v>
      </c>
    </row>
    <row r="455" spans="1:41" x14ac:dyDescent="0.5">
      <c r="A455" t="str">
        <f ca="1"/>
        <v>F-220</v>
      </c>
      <c r="B455" s="1">
        <f ca="1"/>
        <v>45739</v>
      </c>
      <c r="C455" t="str">
        <f ca="1"/>
        <v>D-0023</v>
      </c>
      <c r="D455" t="str">
        <f ca="1"/>
        <v>RS Hossain Motors</v>
      </c>
      <c r="E455" t="str">
        <f ca="1"/>
        <v>Registriri para--Tangail Sadar</v>
      </c>
      <c r="F455" t="str">
        <f ca="1"/>
        <v>+8801521308494</v>
      </c>
      <c r="G455" t="str">
        <f ca="1"/>
        <v>Monirul Islam</v>
      </c>
      <c r="H455" t="str">
        <f ca="1"/>
        <v>Raihan Siddiqui</v>
      </c>
      <c r="I455" t="str">
        <f ca="1"/>
        <v>Bondhu Motors</v>
      </c>
      <c r="J455" t="str">
        <f ca="1"/>
        <v>Rangpur</v>
      </c>
      <c r="K455" t="str">
        <f ca="1"/>
        <v>LO00076</v>
      </c>
      <c r="L455" t="str">
        <f ca="1"/>
        <v>Inugel Expert Coolant</v>
      </c>
      <c r="M455">
        <f ca="1"/>
        <v>40</v>
      </c>
      <c r="N455">
        <f ca="1"/>
        <v>425</v>
      </c>
      <c r="O455">
        <f ca="1"/>
        <v>40</v>
      </c>
      <c r="P455">
        <f ca="1"/>
        <v>0</v>
      </c>
      <c r="Q455">
        <f ca="1"/>
        <v>0</v>
      </c>
      <c r="R455">
        <f ca="1"/>
        <v>425</v>
      </c>
      <c r="S455">
        <f ca="1"/>
        <v>40</v>
      </c>
      <c r="T455">
        <f ca="1"/>
        <v>40</v>
      </c>
      <c r="U455">
        <f ca="1"/>
        <v>17000</v>
      </c>
      <c r="V455">
        <f ca="1"/>
        <v>0</v>
      </c>
      <c r="W455">
        <f ca="1"/>
        <v>17000</v>
      </c>
      <c r="X455">
        <f ca="1"/>
        <v>2217.391304347826</v>
      </c>
      <c r="Y455">
        <f ca="1"/>
        <v>14782.608695652174</v>
      </c>
      <c r="Z455" t="str">
        <f ca="1"/>
        <v>Cash</v>
      </c>
      <c r="AA455">
        <f ca="1"/>
        <v>684</v>
      </c>
      <c r="AB455" t="str">
        <f ca="1"/>
        <v>Custom</v>
      </c>
      <c r="AC455">
        <f ca="1"/>
        <v>45740</v>
      </c>
      <c r="AD455" t="str">
        <f ca="1"/>
        <v/>
      </c>
      <c r="AE455" t="str">
        <f ca="1"/>
        <v>Northern</v>
      </c>
      <c r="AF455" t="str">
        <f ca="1"/>
        <v>Care Products</v>
      </c>
      <c r="AG455" t="str">
        <f ca="1"/>
        <v>Care Products</v>
      </c>
      <c r="AH455" t="str">
        <f ca="1"/>
        <v>Care Products</v>
      </c>
      <c r="AI455" t="str">
        <f ca="1"/>
        <v>Coolant</v>
      </c>
      <c r="AJ455">
        <f ca="1"/>
        <v>0</v>
      </c>
      <c r="AK455" t="str">
        <f ca="1"/>
        <v>20x1L</v>
      </c>
      <c r="AL455">
        <f ca="1"/>
        <v>9225.5999999999985</v>
      </c>
      <c r="AM455">
        <f ca="1"/>
        <v>5557.0086956521754</v>
      </c>
      <c r="AN455" t="str">
        <f ca="1"/>
        <v>O-45739-D-0023</v>
      </c>
      <c r="AO455" t="str">
        <f ca="1"/>
        <v>Delivered</v>
      </c>
    </row>
    <row r="456" spans="1:41" x14ac:dyDescent="0.5">
      <c r="A456" t="str">
        <f ca="1"/>
        <v>F-220</v>
      </c>
      <c r="B456" s="1">
        <f ca="1"/>
        <v>45739</v>
      </c>
      <c r="C456" t="str">
        <f ca="1"/>
        <v>D-0023</v>
      </c>
      <c r="D456" t="str">
        <f ca="1"/>
        <v>RS Hossain Motors</v>
      </c>
      <c r="E456" t="str">
        <f ca="1"/>
        <v>Registriri para--Tangail Sadar</v>
      </c>
      <c r="F456" t="str">
        <f ca="1"/>
        <v>+8801521308494</v>
      </c>
      <c r="G456" t="str">
        <f ca="1"/>
        <v>Monirul Islam</v>
      </c>
      <c r="H456" t="str">
        <f ca="1"/>
        <v>Raihan Siddiqui</v>
      </c>
      <c r="I456" t="str">
        <f ca="1"/>
        <v>Bondhu Motors</v>
      </c>
      <c r="J456" t="str">
        <f ca="1"/>
        <v>Rangpur</v>
      </c>
      <c r="K456" t="str">
        <f ca="1"/>
        <v>LO00119</v>
      </c>
      <c r="L456" t="str">
        <f ca="1"/>
        <v>3000 4T 20W50</v>
      </c>
      <c r="M456">
        <f ca="1"/>
        <v>140</v>
      </c>
      <c r="N456">
        <f ca="1"/>
        <v>495</v>
      </c>
      <c r="O456">
        <f ca="1"/>
        <v>140</v>
      </c>
      <c r="P456">
        <f ca="1"/>
        <v>9.0909090909090939E-2</v>
      </c>
      <c r="Q456">
        <f ca="1"/>
        <v>0</v>
      </c>
      <c r="R456">
        <f ca="1"/>
        <v>450</v>
      </c>
      <c r="S456">
        <f ca="1"/>
        <v>140</v>
      </c>
      <c r="T456">
        <f ca="1"/>
        <v>140</v>
      </c>
      <c r="U456">
        <f ca="1"/>
        <v>69300</v>
      </c>
      <c r="V456">
        <f ca="1"/>
        <v>0</v>
      </c>
      <c r="W456">
        <f ca="1"/>
        <v>63000</v>
      </c>
      <c r="X456">
        <f ca="1"/>
        <v>8217.391304347826</v>
      </c>
      <c r="Y456">
        <f ca="1"/>
        <v>54782.608695652176</v>
      </c>
      <c r="Z456" t="str">
        <f ca="1"/>
        <v>Cash</v>
      </c>
      <c r="AA456">
        <f ca="1"/>
        <v>684</v>
      </c>
      <c r="AB456" t="str">
        <f ca="1"/>
        <v>Custom</v>
      </c>
      <c r="AC456">
        <f ca="1"/>
        <v>45740</v>
      </c>
      <c r="AD456" t="str">
        <f ca="1"/>
        <v/>
      </c>
      <c r="AE456" t="str">
        <f ca="1"/>
        <v>Northern</v>
      </c>
      <c r="AF456" t="str">
        <f ca="1"/>
        <v>Mineral</v>
      </c>
      <c r="AG456" t="str">
        <f ca="1"/>
        <v>MCO</v>
      </c>
      <c r="AH456" t="str">
        <f ca="1"/>
        <v>20W50</v>
      </c>
      <c r="AI456" t="str">
        <f ca="1"/>
        <v>3000</v>
      </c>
      <c r="AJ456">
        <f ca="1"/>
        <v>0</v>
      </c>
      <c r="AK456" t="str">
        <f ca="1"/>
        <v>20x1L</v>
      </c>
      <c r="AL456">
        <f ca="1"/>
        <v>51088.800000000003</v>
      </c>
      <c r="AM456">
        <f ca="1"/>
        <v>3693.8086956521729</v>
      </c>
      <c r="AN456" t="str">
        <f ca="1"/>
        <v>O-45739-D-0023</v>
      </c>
      <c r="AO456" t="str">
        <f ca="1"/>
        <v>Delivered</v>
      </c>
    </row>
    <row r="457" spans="1:41" x14ac:dyDescent="0.5">
      <c r="A457" t="str">
        <f ca="1"/>
        <v>F-221</v>
      </c>
      <c r="B457" s="1">
        <f ca="1"/>
        <v>45739</v>
      </c>
      <c r="C457" t="str">
        <f ca="1"/>
        <v>D-0023</v>
      </c>
      <c r="D457" t="str">
        <f ca="1"/>
        <v>Megha Auto</v>
      </c>
      <c r="E457" t="str">
        <f ca="1"/>
        <v>Joldhaka, Nilphamari 
Tangail Sadar</v>
      </c>
      <c r="F457">
        <f ca="1"/>
        <v>1722254955</v>
      </c>
      <c r="G457" t="str">
        <f ca="1"/>
        <v>Monirul Islam</v>
      </c>
      <c r="H457" t="str">
        <f ca="1"/>
        <v>Raihan Siddiqui</v>
      </c>
      <c r="I457" t="str">
        <f ca="1"/>
        <v>Bondhu Motors</v>
      </c>
      <c r="J457" t="str">
        <f ca="1"/>
        <v>Rangpur</v>
      </c>
      <c r="K457" t="str">
        <f ca="1"/>
        <v>LO00041</v>
      </c>
      <c r="L457" t="str">
        <f ca="1"/>
        <v>3000 4T PLUS 10W30</v>
      </c>
      <c r="M457">
        <f ca="1"/>
        <v>40</v>
      </c>
      <c r="N457">
        <f ca="1"/>
        <v>540</v>
      </c>
      <c r="O457">
        <f ca="1"/>
        <v>40</v>
      </c>
      <c r="P457">
        <f ca="1"/>
        <v>0</v>
      </c>
      <c r="Q457">
        <f ca="1"/>
        <v>0</v>
      </c>
      <c r="R457">
        <f ca="1"/>
        <v>540</v>
      </c>
      <c r="S457">
        <f ca="1"/>
        <v>40</v>
      </c>
      <c r="T457">
        <f ca="1"/>
        <v>40</v>
      </c>
      <c r="U457">
        <f ca="1"/>
        <v>21600</v>
      </c>
      <c r="V457">
        <f ca="1"/>
        <v>0</v>
      </c>
      <c r="W457">
        <f ca="1"/>
        <v>21600</v>
      </c>
      <c r="X457">
        <f ca="1"/>
        <v>2817.391304347826</v>
      </c>
      <c r="Y457">
        <f ca="1"/>
        <v>18782.608695652172</v>
      </c>
      <c r="Z457" t="str">
        <f ca="1"/>
        <v>Cash</v>
      </c>
      <c r="AA457">
        <f ca="1"/>
        <v>685</v>
      </c>
      <c r="AB457" t="str">
        <f ca="1"/>
        <v>Regular</v>
      </c>
      <c r="AC457">
        <f ca="1"/>
        <v>45740</v>
      </c>
      <c r="AD457" t="str">
        <f ca="1"/>
        <v/>
      </c>
      <c r="AE457" t="str">
        <f ca="1"/>
        <v>Northern</v>
      </c>
      <c r="AF457" t="str">
        <f ca="1"/>
        <v>Mineral</v>
      </c>
      <c r="AG457" t="str">
        <f ca="1"/>
        <v>MCO</v>
      </c>
      <c r="AH457" t="str">
        <f ca="1"/>
        <v>10W30</v>
      </c>
      <c r="AI457" t="str">
        <f ca="1"/>
        <v>3000</v>
      </c>
      <c r="AJ457">
        <f ca="1"/>
        <v>0</v>
      </c>
      <c r="AK457" t="str">
        <f ca="1"/>
        <v>20x1L</v>
      </c>
      <c r="AL457">
        <f ca="1"/>
        <v>15173.199999999999</v>
      </c>
      <c r="AM457">
        <f ca="1"/>
        <v>3609.4086956521733</v>
      </c>
      <c r="AN457" t="str">
        <f ca="1"/>
        <v>O-45739-D-0023</v>
      </c>
      <c r="AO457" t="str">
        <f ca="1"/>
        <v>Delivered</v>
      </c>
    </row>
    <row r="458" spans="1:41" x14ac:dyDescent="0.5">
      <c r="A458" t="str">
        <f ca="1"/>
        <v>F-221</v>
      </c>
      <c r="B458" s="1">
        <f ca="1"/>
        <v>45739</v>
      </c>
      <c r="C458" t="str">
        <f ca="1"/>
        <v>D-0023</v>
      </c>
      <c r="D458" t="str">
        <f ca="1"/>
        <v>Megha Auto</v>
      </c>
      <c r="E458" t="str">
        <f ca="1"/>
        <v>Joldhaka, Nilphamari 
Tangail Sadar</v>
      </c>
      <c r="F458">
        <f ca="1"/>
        <v>1722254955</v>
      </c>
      <c r="G458" t="str">
        <f ca="1"/>
        <v>Monirul Islam</v>
      </c>
      <c r="H458" t="str">
        <f ca="1"/>
        <v>Raihan Siddiqui</v>
      </c>
      <c r="I458" t="str">
        <f ca="1"/>
        <v>Bondhu Motors</v>
      </c>
      <c r="J458" t="str">
        <f ca="1"/>
        <v>Rangpur</v>
      </c>
      <c r="K458" t="str">
        <f ca="1"/>
        <v>LO00043</v>
      </c>
      <c r="L458" t="str">
        <f ca="1"/>
        <v>3000 4T PLUS 10W40</v>
      </c>
      <c r="M458">
        <f ca="1"/>
        <v>140</v>
      </c>
      <c r="N458">
        <f ca="1"/>
        <v>550</v>
      </c>
      <c r="O458">
        <f ca="1"/>
        <v>140</v>
      </c>
      <c r="P458">
        <f ca="1"/>
        <v>1.8181818181818188E-2</v>
      </c>
      <c r="Q458">
        <f ca="1"/>
        <v>0</v>
      </c>
      <c r="R458">
        <f ca="1"/>
        <v>540</v>
      </c>
      <c r="S458">
        <f ca="1"/>
        <v>140</v>
      </c>
      <c r="T458">
        <f ca="1"/>
        <v>140</v>
      </c>
      <c r="U458">
        <f ca="1"/>
        <v>77000</v>
      </c>
      <c r="V458">
        <f ca="1"/>
        <v>0</v>
      </c>
      <c r="W458">
        <f ca="1"/>
        <v>75600</v>
      </c>
      <c r="X458">
        <f ca="1"/>
        <v>9860.8695652173919</v>
      </c>
      <c r="Y458">
        <f ca="1"/>
        <v>65739.130434782608</v>
      </c>
      <c r="Z458" t="str">
        <f ca="1"/>
        <v>Cash</v>
      </c>
      <c r="AA458">
        <f ca="1"/>
        <v>685</v>
      </c>
      <c r="AB458" t="str">
        <f ca="1"/>
        <v>Regular</v>
      </c>
      <c r="AC458">
        <f ca="1"/>
        <v>45740</v>
      </c>
      <c r="AD458" t="str">
        <f ca="1"/>
        <v/>
      </c>
      <c r="AE458" t="str">
        <f ca="1"/>
        <v>Northern</v>
      </c>
      <c r="AF458" t="str">
        <f ca="1"/>
        <v>Mineral</v>
      </c>
      <c r="AG458" t="str">
        <f ca="1"/>
        <v>MCO</v>
      </c>
      <c r="AH458" t="str">
        <f ca="1"/>
        <v>10W40</v>
      </c>
      <c r="AI458" t="str">
        <f ca="1"/>
        <v>3000</v>
      </c>
      <c r="AJ458">
        <f ca="1"/>
        <v>0</v>
      </c>
      <c r="AK458" t="str">
        <f ca="1"/>
        <v>20x1L</v>
      </c>
      <c r="AL458">
        <f ca="1"/>
        <v>53879</v>
      </c>
      <c r="AM458">
        <f ca="1"/>
        <v>11860.130434782608</v>
      </c>
      <c r="AN458" t="str">
        <f ca="1"/>
        <v>O-45739-D-0023</v>
      </c>
      <c r="AO458" t="str">
        <f ca="1"/>
        <v>Delivered</v>
      </c>
    </row>
    <row r="459" spans="1:41" x14ac:dyDescent="0.5">
      <c r="A459" t="str">
        <f ca="1"/>
        <v>F-221</v>
      </c>
      <c r="B459" s="1">
        <f ca="1"/>
        <v>45739</v>
      </c>
      <c r="C459" t="str">
        <f ca="1"/>
        <v>D-0023</v>
      </c>
      <c r="D459" t="str">
        <f ca="1"/>
        <v>Megha Auto</v>
      </c>
      <c r="E459" t="str">
        <f ca="1"/>
        <v>Joldhaka, Nilphamari 
Tangail Sadar</v>
      </c>
      <c r="F459">
        <f ca="1"/>
        <v>1722254955</v>
      </c>
      <c r="G459" t="str">
        <f ca="1"/>
        <v>Monirul Islam</v>
      </c>
      <c r="H459" t="str">
        <f ca="1"/>
        <v>Raihan Siddiqui</v>
      </c>
      <c r="I459" t="str">
        <f ca="1"/>
        <v>Bondhu Motors</v>
      </c>
      <c r="J459" t="str">
        <f ca="1"/>
        <v>Rangpur</v>
      </c>
      <c r="K459" t="str">
        <f ca="1"/>
        <v>LO00096</v>
      </c>
      <c r="L459" t="str">
        <f ca="1"/>
        <v>3000 4T PLUS 20W40</v>
      </c>
      <c r="M459">
        <f ca="1"/>
        <v>20</v>
      </c>
      <c r="N459">
        <f ca="1"/>
        <v>645</v>
      </c>
      <c r="O459">
        <f ca="1"/>
        <v>24</v>
      </c>
      <c r="P459">
        <f ca="1"/>
        <v>7.7519379844961378E-3</v>
      </c>
      <c r="Q459">
        <f ca="1"/>
        <v>0</v>
      </c>
      <c r="R459">
        <f ca="1"/>
        <v>640</v>
      </c>
      <c r="S459">
        <f ca="1"/>
        <v>20</v>
      </c>
      <c r="T459">
        <f ca="1"/>
        <v>24</v>
      </c>
      <c r="U459">
        <f ca="1"/>
        <v>12900</v>
      </c>
      <c r="V459">
        <f ca="1"/>
        <v>0</v>
      </c>
      <c r="W459">
        <f ca="1"/>
        <v>12800</v>
      </c>
      <c r="X459">
        <f ca="1"/>
        <v>1669.5652173913043</v>
      </c>
      <c r="Y459">
        <f ca="1"/>
        <v>11130.434782608696</v>
      </c>
      <c r="Z459" t="str">
        <f ca="1"/>
        <v>Cash</v>
      </c>
      <c r="AA459">
        <f ca="1"/>
        <v>685</v>
      </c>
      <c r="AB459" t="str">
        <f ca="1"/>
        <v>Regular</v>
      </c>
      <c r="AC459">
        <f ca="1"/>
        <v>45740</v>
      </c>
      <c r="AD459" t="str">
        <f ca="1"/>
        <v/>
      </c>
      <c r="AE459" t="str">
        <f ca="1"/>
        <v>Northern</v>
      </c>
      <c r="AF459" t="str">
        <f ca="1"/>
        <v>Mineral</v>
      </c>
      <c r="AG459" t="str">
        <f ca="1"/>
        <v>MCO</v>
      </c>
      <c r="AH459" t="str">
        <f ca="1"/>
        <v>20W40</v>
      </c>
      <c r="AI459" t="str">
        <f ca="1"/>
        <v>3000</v>
      </c>
      <c r="AJ459">
        <f ca="1"/>
        <v>0</v>
      </c>
      <c r="AK459" t="str">
        <f ca="1"/>
        <v>20x1.2L</v>
      </c>
      <c r="AL459">
        <f ca="1"/>
        <v>9397.9559070121941</v>
      </c>
      <c r="AM459">
        <f ca="1"/>
        <v>1732.4788755965019</v>
      </c>
      <c r="AN459" t="str">
        <f ca="1"/>
        <v>O-45739-D-0023</v>
      </c>
      <c r="AO459" t="str">
        <f ca="1"/>
        <v>Delivered</v>
      </c>
    </row>
    <row r="460" spans="1:41" x14ac:dyDescent="0.5">
      <c r="A460" t="str">
        <f ca="1"/>
        <v>F-221</v>
      </c>
      <c r="B460" s="1">
        <f ca="1"/>
        <v>45739</v>
      </c>
      <c r="C460" t="str">
        <f ca="1"/>
        <v>D-0023</v>
      </c>
      <c r="D460" t="str">
        <f ca="1"/>
        <v>Megha Auto</v>
      </c>
      <c r="E460" t="str">
        <f ca="1"/>
        <v>Joldhaka, Nilphamari 
Tangail Sadar</v>
      </c>
      <c r="F460">
        <f ca="1"/>
        <v>1722254955</v>
      </c>
      <c r="G460" t="str">
        <f ca="1"/>
        <v>Monirul Islam</v>
      </c>
      <c r="H460" t="str">
        <f ca="1"/>
        <v>Raihan Siddiqui</v>
      </c>
      <c r="I460" t="str">
        <f ca="1"/>
        <v>Bondhu Motors</v>
      </c>
      <c r="J460" t="str">
        <f ca="1"/>
        <v>Rangpur</v>
      </c>
      <c r="K460" t="str">
        <f ca="1"/>
        <v>LO00074</v>
      </c>
      <c r="L460" t="str">
        <f ca="1"/>
        <v>7100 4T 10W30 ESTER CORE®</v>
      </c>
      <c r="M460">
        <f ca="1"/>
        <v>12</v>
      </c>
      <c r="N460">
        <f ca="1"/>
        <v>1080</v>
      </c>
      <c r="O460">
        <f ca="1"/>
        <v>12</v>
      </c>
      <c r="P460">
        <f ca="1"/>
        <v>0</v>
      </c>
      <c r="Q460">
        <f ca="1"/>
        <v>0</v>
      </c>
      <c r="R460">
        <f ca="1"/>
        <v>1080</v>
      </c>
      <c r="S460">
        <f ca="1"/>
        <v>12</v>
      </c>
      <c r="T460">
        <f ca="1"/>
        <v>12</v>
      </c>
      <c r="U460">
        <f ca="1"/>
        <v>12960</v>
      </c>
      <c r="V460">
        <f ca="1"/>
        <v>0</v>
      </c>
      <c r="W460">
        <f ca="1"/>
        <v>12960</v>
      </c>
      <c r="X460">
        <f ca="1"/>
        <v>1690.4347826086957</v>
      </c>
      <c r="Y460">
        <f ca="1"/>
        <v>11269.565217391304</v>
      </c>
      <c r="Z460" t="str">
        <f ca="1"/>
        <v>Cash</v>
      </c>
      <c r="AA460">
        <f ca="1"/>
        <v>685</v>
      </c>
      <c r="AB460" t="str">
        <f ca="1"/>
        <v>Regular</v>
      </c>
      <c r="AC460">
        <f ca="1"/>
        <v>45740</v>
      </c>
      <c r="AD460" t="str">
        <f ca="1"/>
        <v/>
      </c>
      <c r="AE460" t="str">
        <f ca="1"/>
        <v>Northern</v>
      </c>
      <c r="AF460" t="str">
        <f ca="1"/>
        <v>Synthetic</v>
      </c>
      <c r="AG460" t="str">
        <f ca="1"/>
        <v>MCO</v>
      </c>
      <c r="AH460" t="str">
        <f ca="1"/>
        <v>10W30</v>
      </c>
      <c r="AI460" t="str">
        <f ca="1"/>
        <v>7100</v>
      </c>
      <c r="AJ460">
        <f ca="1"/>
        <v>0</v>
      </c>
      <c r="AK460" t="str">
        <f ca="1"/>
        <v>12x1L</v>
      </c>
      <c r="AL460">
        <f ca="1"/>
        <v>8278.32</v>
      </c>
      <c r="AM460">
        <f ca="1"/>
        <v>2991.2452173913043</v>
      </c>
      <c r="AN460" t="str">
        <f ca="1"/>
        <v>O-45739-D-0023</v>
      </c>
      <c r="AO460" t="str">
        <f ca="1"/>
        <v>Delivered</v>
      </c>
    </row>
    <row r="461" spans="1:41" x14ac:dyDescent="0.5">
      <c r="A461" t="str">
        <f ca="1"/>
        <v>F-222</v>
      </c>
      <c r="B461" s="1">
        <f ca="1"/>
        <v>45740</v>
      </c>
      <c r="C461" t="str">
        <f ca="1"/>
        <v>D-0001</v>
      </c>
      <c r="D461" t="str">
        <f ca="1"/>
        <v xml:space="preserve">M/S Hasan traders </v>
      </c>
      <c r="E461" t="str">
        <f ca="1"/>
        <v>pangsha</v>
      </c>
      <c r="F461">
        <f ca="1"/>
        <v>1711154387</v>
      </c>
      <c r="G461" t="str">
        <f ca="1"/>
        <v>Md.Mahfuzur Rahman</v>
      </c>
      <c r="H461" t="str">
        <f ca="1"/>
        <v>Abdul Matin</v>
      </c>
      <c r="I461" t="str">
        <f ca="1"/>
        <v>M/S Hasan Traders</v>
      </c>
      <c r="J461" t="str">
        <f ca="1"/>
        <v>Pangsha</v>
      </c>
      <c r="K461" t="str">
        <f ca="1"/>
        <v>LO00041</v>
      </c>
      <c r="L461" t="str">
        <f ca="1"/>
        <v>3000 4T PLUS 10W30</v>
      </c>
      <c r="M461">
        <f ca="1"/>
        <v>400</v>
      </c>
      <c r="N461">
        <f ca="1"/>
        <v>540</v>
      </c>
      <c r="O461">
        <f ca="1"/>
        <v>400</v>
      </c>
      <c r="P461">
        <f ca="1"/>
        <v>3.703703703703709E-2</v>
      </c>
      <c r="Q461">
        <f ca="1"/>
        <v>0</v>
      </c>
      <c r="R461">
        <f ca="1"/>
        <v>520</v>
      </c>
      <c r="S461">
        <f ca="1"/>
        <v>400</v>
      </c>
      <c r="T461">
        <f ca="1"/>
        <v>400</v>
      </c>
      <c r="U461">
        <f ca="1"/>
        <v>216000</v>
      </c>
      <c r="V461">
        <f ca="1"/>
        <v>0</v>
      </c>
      <c r="W461">
        <f ca="1"/>
        <v>208000</v>
      </c>
      <c r="X461">
        <f ca="1"/>
        <v>27130.434782608696</v>
      </c>
      <c r="Y461">
        <f ca="1"/>
        <v>180869.5652173913</v>
      </c>
      <c r="Z461" t="str">
        <f ca="1"/>
        <v>Cash</v>
      </c>
      <c r="AA461">
        <f ca="1"/>
        <v>686</v>
      </c>
      <c r="AB461" t="str">
        <f ca="1"/>
        <v>Flat Discount</v>
      </c>
      <c r="AC461">
        <f ca="1"/>
        <v>45741</v>
      </c>
      <c r="AD461" t="str">
        <f ca="1"/>
        <v/>
      </c>
      <c r="AE461" t="str">
        <f ca="1"/>
        <v>Central</v>
      </c>
      <c r="AF461" t="str">
        <f ca="1"/>
        <v>Mineral</v>
      </c>
      <c r="AG461" t="str">
        <f ca="1"/>
        <v>MCO</v>
      </c>
      <c r="AH461" t="str">
        <f ca="1"/>
        <v>10W30</v>
      </c>
      <c r="AI461" t="str">
        <f ca="1"/>
        <v>3000</v>
      </c>
      <c r="AJ461">
        <f ca="1"/>
        <v>0</v>
      </c>
      <c r="AK461" t="str">
        <f ca="1"/>
        <v>20x1L</v>
      </c>
      <c r="AL461">
        <f ca="1"/>
        <v>151732</v>
      </c>
      <c r="AM461">
        <f ca="1"/>
        <v>29137.565217391297</v>
      </c>
      <c r="AN461" t="str">
        <f ca="1"/>
        <v>O-45740-D-0001</v>
      </c>
      <c r="AO461" t="str">
        <f ca="1"/>
        <v>Delivered</v>
      </c>
    </row>
    <row r="462" spans="1:41" x14ac:dyDescent="0.5">
      <c r="A462" t="str">
        <f ca="1"/>
        <v>F-222</v>
      </c>
      <c r="B462" s="1">
        <f ca="1"/>
        <v>45740</v>
      </c>
      <c r="C462" t="str">
        <f ca="1"/>
        <v>D-0001</v>
      </c>
      <c r="D462" t="str">
        <f ca="1"/>
        <v xml:space="preserve">M/S Hasan traders </v>
      </c>
      <c r="E462" t="str">
        <f ca="1"/>
        <v>pangsha</v>
      </c>
      <c r="F462">
        <f ca="1"/>
        <v>1711154387</v>
      </c>
      <c r="G462" t="str">
        <f ca="1"/>
        <v>Md.Mahfuzur Rahman</v>
      </c>
      <c r="H462" t="str">
        <f ca="1"/>
        <v>Abdul Matin</v>
      </c>
      <c r="I462" t="str">
        <f ca="1"/>
        <v>M/S Hasan Traders</v>
      </c>
      <c r="J462" t="str">
        <f ca="1"/>
        <v>Pangsha</v>
      </c>
      <c r="K462" t="str">
        <f ca="1"/>
        <v>LO00042</v>
      </c>
      <c r="L462" t="str">
        <f ca="1"/>
        <v>3000 4T PLUS 20W40</v>
      </c>
      <c r="M462">
        <f ca="1"/>
        <v>300</v>
      </c>
      <c r="N462">
        <f ca="1"/>
        <v>535</v>
      </c>
      <c r="O462">
        <f ca="1"/>
        <v>300</v>
      </c>
      <c r="P462">
        <f ca="1"/>
        <v>2.8037383177570097E-2</v>
      </c>
      <c r="Q462">
        <f ca="1"/>
        <v>0</v>
      </c>
      <c r="R462">
        <f ca="1"/>
        <v>520</v>
      </c>
      <c r="S462">
        <f ca="1"/>
        <v>300</v>
      </c>
      <c r="T462">
        <f ca="1"/>
        <v>300</v>
      </c>
      <c r="U462">
        <f ca="1"/>
        <v>160500</v>
      </c>
      <c r="V462">
        <f ca="1"/>
        <v>0</v>
      </c>
      <c r="W462">
        <f ca="1"/>
        <v>156000</v>
      </c>
      <c r="X462">
        <f ca="1"/>
        <v>20347.82608695652</v>
      </c>
      <c r="Y462">
        <f ca="1"/>
        <v>135652.17391304349</v>
      </c>
      <c r="Z462" t="str">
        <f ca="1"/>
        <v>Cash</v>
      </c>
      <c r="AA462">
        <f ca="1"/>
        <v>686</v>
      </c>
      <c r="AB462" t="str">
        <f ca="1"/>
        <v>Flat Discount</v>
      </c>
      <c r="AC462">
        <f ca="1"/>
        <v>45741</v>
      </c>
      <c r="AD462" t="str">
        <f ca="1"/>
        <v/>
      </c>
      <c r="AE462" t="str">
        <f ca="1"/>
        <v>Central</v>
      </c>
      <c r="AF462" t="str">
        <f ca="1"/>
        <v>Mineral</v>
      </c>
      <c r="AG462" t="str">
        <f ca="1"/>
        <v>MCO</v>
      </c>
      <c r="AH462" t="str">
        <f ca="1"/>
        <v>20W40</v>
      </c>
      <c r="AI462" t="str">
        <f ca="1"/>
        <v>3000</v>
      </c>
      <c r="AJ462">
        <f ca="1"/>
        <v>0</v>
      </c>
      <c r="AK462" t="str">
        <f ca="1"/>
        <v>20x1L</v>
      </c>
      <c r="AL462">
        <f ca="1"/>
        <v>123828</v>
      </c>
      <c r="AM462">
        <f ca="1"/>
        <v>11824.173913043487</v>
      </c>
      <c r="AN462" t="str">
        <f ca="1"/>
        <v>O-45740-D-0001</v>
      </c>
      <c r="AO462" t="str">
        <f ca="1"/>
        <v>Delivered</v>
      </c>
    </row>
    <row r="463" spans="1:41" x14ac:dyDescent="0.5">
      <c r="A463" t="str">
        <f ca="1"/>
        <v>F-222</v>
      </c>
      <c r="B463" s="1">
        <f ca="1"/>
        <v>45740</v>
      </c>
      <c r="C463" t="str">
        <f ca="1"/>
        <v>D-0001</v>
      </c>
      <c r="D463" t="str">
        <f ca="1"/>
        <v xml:space="preserve">M/S Hasan traders </v>
      </c>
      <c r="E463" t="str">
        <f ca="1"/>
        <v>pangsha</v>
      </c>
      <c r="F463">
        <f ca="1"/>
        <v>1711154387</v>
      </c>
      <c r="G463" t="str">
        <f ca="1"/>
        <v>Md.Mahfuzur Rahman</v>
      </c>
      <c r="H463" t="str">
        <f ca="1"/>
        <v>Abdul Matin</v>
      </c>
      <c r="I463" t="str">
        <f ca="1"/>
        <v>M/S Hasan Traders</v>
      </c>
      <c r="J463" t="str">
        <f ca="1"/>
        <v>Pangsha</v>
      </c>
      <c r="K463" t="str">
        <f ca="1"/>
        <v>LO00043</v>
      </c>
      <c r="L463" t="str">
        <f ca="1"/>
        <v>3000 4T PLUS 10W40</v>
      </c>
      <c r="M463">
        <f ca="1"/>
        <v>1200</v>
      </c>
      <c r="N463">
        <f ca="1"/>
        <v>550</v>
      </c>
      <c r="O463">
        <f ca="1"/>
        <v>1200</v>
      </c>
      <c r="P463">
        <f ca="1"/>
        <v>5.4545454545454564E-2</v>
      </c>
      <c r="Q463">
        <f ca="1"/>
        <v>0</v>
      </c>
      <c r="R463">
        <f ca="1"/>
        <v>520</v>
      </c>
      <c r="S463">
        <f ca="1"/>
        <v>1200</v>
      </c>
      <c r="T463">
        <f ca="1"/>
        <v>1200</v>
      </c>
      <c r="U463">
        <f ca="1"/>
        <v>660000</v>
      </c>
      <c r="V463">
        <f ca="1"/>
        <v>0</v>
      </c>
      <c r="W463">
        <f ca="1"/>
        <v>624000</v>
      </c>
      <c r="X463">
        <f ca="1"/>
        <v>81391.304347826081</v>
      </c>
      <c r="Y463">
        <f ca="1"/>
        <v>542608.69565217395</v>
      </c>
      <c r="Z463" t="str">
        <f ca="1"/>
        <v>Cash</v>
      </c>
      <c r="AA463">
        <f ca="1"/>
        <v>686</v>
      </c>
      <c r="AB463" t="str">
        <f ca="1"/>
        <v>Flat Discount</v>
      </c>
      <c r="AC463">
        <f ca="1"/>
        <v>45741</v>
      </c>
      <c r="AD463" t="str">
        <f ca="1"/>
        <v/>
      </c>
      <c r="AE463" t="str">
        <f ca="1"/>
        <v>Central</v>
      </c>
      <c r="AF463" t="str">
        <f ca="1"/>
        <v>Mineral</v>
      </c>
      <c r="AG463" t="str">
        <f ca="1"/>
        <v>MCO</v>
      </c>
      <c r="AH463" t="str">
        <f ca="1"/>
        <v>10W40</v>
      </c>
      <c r="AI463" t="str">
        <f ca="1"/>
        <v>3000</v>
      </c>
      <c r="AJ463">
        <f ca="1"/>
        <v>0</v>
      </c>
      <c r="AK463" t="str">
        <f ca="1"/>
        <v>20x1L</v>
      </c>
      <c r="AL463">
        <f ca="1"/>
        <v>461820</v>
      </c>
      <c r="AM463">
        <f ca="1"/>
        <v>80788.695652173948</v>
      </c>
      <c r="AN463" t="str">
        <f ca="1"/>
        <v>O-45740-D-0001</v>
      </c>
      <c r="AO463" t="str">
        <f ca="1"/>
        <v>Delivered</v>
      </c>
    </row>
    <row r="464" spans="1:41" x14ac:dyDescent="0.5">
      <c r="A464" t="str">
        <f ca="1"/>
        <v>F-222</v>
      </c>
      <c r="B464" s="1">
        <f ca="1"/>
        <v>45740</v>
      </c>
      <c r="C464" t="str">
        <f ca="1"/>
        <v>D-0001</v>
      </c>
      <c r="D464" t="str">
        <f ca="1"/>
        <v xml:space="preserve">M/S Hasan traders </v>
      </c>
      <c r="E464" t="str">
        <f ca="1"/>
        <v>pangsha</v>
      </c>
      <c r="F464">
        <f ca="1"/>
        <v>1711154387</v>
      </c>
      <c r="G464" t="str">
        <f ca="1"/>
        <v>Md.Mahfuzur Rahman</v>
      </c>
      <c r="H464" t="str">
        <f ca="1"/>
        <v>Abdul Matin</v>
      </c>
      <c r="I464" t="str">
        <f ca="1"/>
        <v>M/S Hasan Traders</v>
      </c>
      <c r="J464" t="str">
        <f ca="1"/>
        <v>Pangsha</v>
      </c>
      <c r="K464" t="str">
        <f ca="1"/>
        <v>LO00096</v>
      </c>
      <c r="L464" t="str">
        <f ca="1"/>
        <v>3000 4T PLUS 20W40</v>
      </c>
      <c r="M464">
        <f ca="1"/>
        <v>200</v>
      </c>
      <c r="N464">
        <f ca="1"/>
        <v>645</v>
      </c>
      <c r="O464">
        <f ca="1"/>
        <v>240</v>
      </c>
      <c r="P464">
        <f ca="1"/>
        <v>1.5503875968992276E-2</v>
      </c>
      <c r="Q464">
        <f ca="1"/>
        <v>0</v>
      </c>
      <c r="R464">
        <f ca="1"/>
        <v>635</v>
      </c>
      <c r="S464">
        <f ca="1"/>
        <v>200</v>
      </c>
      <c r="T464">
        <f ca="1"/>
        <v>240</v>
      </c>
      <c r="U464">
        <f ca="1"/>
        <v>129000</v>
      </c>
      <c r="V464">
        <f ca="1"/>
        <v>0</v>
      </c>
      <c r="W464">
        <f ca="1"/>
        <v>127000</v>
      </c>
      <c r="X464">
        <f ca="1"/>
        <v>16565.217391304348</v>
      </c>
      <c r="Y464">
        <f ca="1"/>
        <v>110434.78260869565</v>
      </c>
      <c r="Z464" t="str">
        <f ca="1"/>
        <v>Cash</v>
      </c>
      <c r="AA464">
        <f ca="1"/>
        <v>686</v>
      </c>
      <c r="AB464" t="str">
        <f ca="1"/>
        <v>Flat Discount</v>
      </c>
      <c r="AC464">
        <f ca="1"/>
        <v>45741</v>
      </c>
      <c r="AD464" t="str">
        <f ca="1"/>
        <v/>
      </c>
      <c r="AE464" t="str">
        <f ca="1"/>
        <v>Central</v>
      </c>
      <c r="AF464" t="str">
        <f ca="1"/>
        <v>Mineral</v>
      </c>
      <c r="AG464" t="str">
        <f ca="1"/>
        <v>MCO</v>
      </c>
      <c r="AH464" t="str">
        <f ca="1"/>
        <v>20W40</v>
      </c>
      <c r="AI464" t="str">
        <f ca="1"/>
        <v>3000</v>
      </c>
      <c r="AJ464">
        <f ca="1"/>
        <v>0</v>
      </c>
      <c r="AK464" t="str">
        <f ca="1"/>
        <v>20x1.2L</v>
      </c>
      <c r="AL464">
        <f ca="1"/>
        <v>93979.559070121948</v>
      </c>
      <c r="AM464">
        <f ca="1"/>
        <v>16455.2235385737</v>
      </c>
      <c r="AN464" t="str">
        <f ca="1"/>
        <v>O-45740-D-0001</v>
      </c>
      <c r="AO464" t="str">
        <f ca="1"/>
        <v>Delivered</v>
      </c>
    </row>
    <row r="465" spans="1:41" x14ac:dyDescent="0.5">
      <c r="A465" t="str">
        <f ca="1"/>
        <v>F-222</v>
      </c>
      <c r="B465" s="1">
        <f ca="1"/>
        <v>45740</v>
      </c>
      <c r="C465" t="str">
        <f ca="1"/>
        <v>D-0001</v>
      </c>
      <c r="D465" t="str">
        <f ca="1"/>
        <v xml:space="preserve">M/S Hasan traders </v>
      </c>
      <c r="E465" t="str">
        <f ca="1"/>
        <v>pangsha</v>
      </c>
      <c r="F465">
        <f ca="1"/>
        <v>1711154387</v>
      </c>
      <c r="G465" t="str">
        <f ca="1"/>
        <v>Md.Mahfuzur Rahman</v>
      </c>
      <c r="H465" t="str">
        <f ca="1"/>
        <v>Abdul Matin</v>
      </c>
      <c r="I465" t="str">
        <f ca="1"/>
        <v>M/S Hasan Traders</v>
      </c>
      <c r="J465" t="str">
        <f ca="1"/>
        <v>Pangsha</v>
      </c>
      <c r="K465" t="str">
        <f ca="1"/>
        <v>LO00119</v>
      </c>
      <c r="L465" t="str">
        <f ca="1"/>
        <v>3000 4T 20W50</v>
      </c>
      <c r="M465">
        <f ca="1"/>
        <v>400</v>
      </c>
      <c r="N465">
        <f ca="1"/>
        <v>495</v>
      </c>
      <c r="O465">
        <f ca="1"/>
        <v>400</v>
      </c>
      <c r="P465">
        <f ca="1"/>
        <v>0.19191919191919193</v>
      </c>
      <c r="Q465">
        <f ca="1"/>
        <v>0</v>
      </c>
      <c r="R465">
        <f ca="1"/>
        <v>400</v>
      </c>
      <c r="S465">
        <f ca="1"/>
        <v>400</v>
      </c>
      <c r="T465">
        <f ca="1"/>
        <v>400</v>
      </c>
      <c r="U465">
        <f ca="1"/>
        <v>198000</v>
      </c>
      <c r="V465">
        <f ca="1"/>
        <v>0</v>
      </c>
      <c r="W465">
        <f ca="1"/>
        <v>160000</v>
      </c>
      <c r="X465">
        <f ca="1"/>
        <v>20869.565217391304</v>
      </c>
      <c r="Y465">
        <f ca="1"/>
        <v>139130.4347826087</v>
      </c>
      <c r="Z465" t="str">
        <f ca="1"/>
        <v>Cash</v>
      </c>
      <c r="AA465">
        <f ca="1"/>
        <v>686</v>
      </c>
      <c r="AB465" t="str">
        <f ca="1"/>
        <v>Flat Discount</v>
      </c>
      <c r="AC465">
        <f ca="1"/>
        <v>45741</v>
      </c>
      <c r="AD465" t="str">
        <f ca="1"/>
        <v/>
      </c>
      <c r="AE465" t="str">
        <f ca="1"/>
        <v>Central</v>
      </c>
      <c r="AF465" t="str">
        <f ca="1"/>
        <v>Mineral</v>
      </c>
      <c r="AG465" t="str">
        <f ca="1"/>
        <v>MCO</v>
      </c>
      <c r="AH465" t="str">
        <f ca="1"/>
        <v>20W50</v>
      </c>
      <c r="AI465" t="str">
        <f ca="1"/>
        <v>3000</v>
      </c>
      <c r="AJ465">
        <f ca="1"/>
        <v>0</v>
      </c>
      <c r="AK465" t="str">
        <f ca="1"/>
        <v>20x1L</v>
      </c>
      <c r="AL465">
        <f ca="1"/>
        <v>145968</v>
      </c>
      <c r="AM465">
        <f ca="1"/>
        <v>-6837.5652173912968</v>
      </c>
      <c r="AN465" t="str">
        <f ca="1"/>
        <v>O-45740-D-0001</v>
      </c>
      <c r="AO465" t="str">
        <f ca="1"/>
        <v>Delivered</v>
      </c>
    </row>
    <row r="466" spans="1:41" x14ac:dyDescent="0.5">
      <c r="A466" t="str">
        <f ca="1"/>
        <v>F-223</v>
      </c>
      <c r="B466" s="1">
        <f ca="1"/>
        <v>45739</v>
      </c>
      <c r="C466" t="str">
        <f ca="1"/>
        <v>D-0006</v>
      </c>
      <c r="D466" t="str">
        <f ca="1"/>
        <v>Maliha Enterprise</v>
      </c>
      <c r="E466" t="str">
        <f ca="1"/>
        <v>Savar</v>
      </c>
      <c r="F466" t="str">
        <f ca="1"/>
        <v/>
      </c>
      <c r="G466" t="str">
        <f ca="1"/>
        <v>Sayed Al Amin Apu</v>
      </c>
      <c r="H466" t="str">
        <f ca="1"/>
        <v>Abdul Matin</v>
      </c>
      <c r="I466" t="str">
        <f ca="1"/>
        <v>Maliha Enterprise</v>
      </c>
      <c r="J466" t="str">
        <f ca="1"/>
        <v>Savar</v>
      </c>
      <c r="K466" t="str">
        <f ca="1"/>
        <v>LO00042</v>
      </c>
      <c r="L466" t="str">
        <f ca="1"/>
        <v>3000 4T PLUS 20W40</v>
      </c>
      <c r="M466">
        <f ca="1"/>
        <v>600</v>
      </c>
      <c r="N466">
        <f ca="1"/>
        <v>535</v>
      </c>
      <c r="O466">
        <f ca="1"/>
        <v>600</v>
      </c>
      <c r="P466">
        <f ca="1"/>
        <v>2.8037383177570097E-2</v>
      </c>
      <c r="Q466">
        <f ca="1"/>
        <v>0</v>
      </c>
      <c r="R466">
        <f ca="1"/>
        <v>520</v>
      </c>
      <c r="S466">
        <f ca="1"/>
        <v>600</v>
      </c>
      <c r="T466">
        <f ca="1"/>
        <v>600</v>
      </c>
      <c r="U466">
        <f ca="1"/>
        <v>321000</v>
      </c>
      <c r="V466">
        <f ca="1"/>
        <v>0</v>
      </c>
      <c r="W466">
        <f ca="1"/>
        <v>312000</v>
      </c>
      <c r="X466">
        <f ca="1"/>
        <v>40695.65217391304</v>
      </c>
      <c r="Y466">
        <f ca="1"/>
        <v>271304.34782608697</v>
      </c>
      <c r="Z466" t="str">
        <f ca="1"/>
        <v>Cash</v>
      </c>
      <c r="AA466">
        <f ca="1"/>
        <v>687</v>
      </c>
      <c r="AB466" t="str">
        <f ca="1"/>
        <v>Custom</v>
      </c>
      <c r="AC466">
        <f ca="1"/>
        <v>45741</v>
      </c>
      <c r="AD466" t="str">
        <f ca="1"/>
        <v>No Transport allowance.</v>
      </c>
      <c r="AE466" t="str">
        <f ca="1"/>
        <v>Central</v>
      </c>
      <c r="AF466" t="str">
        <f ca="1"/>
        <v>Mineral</v>
      </c>
      <c r="AG466" t="str">
        <f ca="1"/>
        <v>MCO</v>
      </c>
      <c r="AH466" t="str">
        <f ca="1"/>
        <v>20W40</v>
      </c>
      <c r="AI466" t="str">
        <f ca="1"/>
        <v>3000</v>
      </c>
      <c r="AJ466">
        <f ca="1"/>
        <v>0</v>
      </c>
      <c r="AK466" t="str">
        <f ca="1"/>
        <v>20x1L</v>
      </c>
      <c r="AL466">
        <f ca="1"/>
        <v>247656</v>
      </c>
      <c r="AM466">
        <f ca="1"/>
        <v>23648.347826086974</v>
      </c>
      <c r="AN466" t="str">
        <f ca="1"/>
        <v>O-45739-D-0006</v>
      </c>
      <c r="AO466" t="str">
        <f ca="1"/>
        <v>Delivered</v>
      </c>
    </row>
    <row r="467" spans="1:41" x14ac:dyDescent="0.5">
      <c r="A467" t="str">
        <f ca="1"/>
        <v>F-223</v>
      </c>
      <c r="B467" s="1">
        <f ca="1"/>
        <v>45739</v>
      </c>
      <c r="C467" t="str">
        <f ca="1"/>
        <v>D-0006</v>
      </c>
      <c r="D467" t="str">
        <f ca="1"/>
        <v>Maliha Enterprise</v>
      </c>
      <c r="E467" t="str">
        <f ca="1"/>
        <v>Savar</v>
      </c>
      <c r="F467" t="str">
        <f ca="1"/>
        <v/>
      </c>
      <c r="G467" t="str">
        <f ca="1"/>
        <v>Sayed Al Amin Apu</v>
      </c>
      <c r="H467" t="str">
        <f ca="1"/>
        <v>Abdul Matin</v>
      </c>
      <c r="I467" t="str">
        <f ca="1"/>
        <v>Maliha Enterprise</v>
      </c>
      <c r="J467" t="str">
        <f ca="1"/>
        <v>Savar</v>
      </c>
      <c r="K467" t="str">
        <f ca="1"/>
        <v>LO00074</v>
      </c>
      <c r="L467" t="str">
        <f ca="1"/>
        <v>7100 4T 10W30 ESTER CORE®</v>
      </c>
      <c r="M467">
        <f ca="1"/>
        <v>120</v>
      </c>
      <c r="N467">
        <f ca="1"/>
        <v>1080</v>
      </c>
      <c r="O467">
        <f ca="1"/>
        <v>120</v>
      </c>
      <c r="P467">
        <f ca="1"/>
        <v>3.703703703703709E-2</v>
      </c>
      <c r="Q467">
        <f ca="1"/>
        <v>0</v>
      </c>
      <c r="R467">
        <f ca="1"/>
        <v>1040</v>
      </c>
      <c r="S467">
        <f ca="1"/>
        <v>120</v>
      </c>
      <c r="T467">
        <f ca="1"/>
        <v>120</v>
      </c>
      <c r="U467">
        <f ca="1"/>
        <v>129600</v>
      </c>
      <c r="V467">
        <f ca="1"/>
        <v>0</v>
      </c>
      <c r="W467">
        <f ca="1"/>
        <v>124800</v>
      </c>
      <c r="X467">
        <f ca="1"/>
        <v>16278.260869565218</v>
      </c>
      <c r="Y467">
        <f ca="1"/>
        <v>108521.73913043478</v>
      </c>
      <c r="Z467" t="str">
        <f ca="1"/>
        <v>Cash</v>
      </c>
      <c r="AA467">
        <f ca="1"/>
        <v>687</v>
      </c>
      <c r="AB467" t="str">
        <f ca="1"/>
        <v>Custom</v>
      </c>
      <c r="AC467">
        <f ca="1"/>
        <v>45741</v>
      </c>
      <c r="AD467" t="str">
        <f ca="1"/>
        <v>No Transport allowance.</v>
      </c>
      <c r="AE467" t="str">
        <f ca="1"/>
        <v>Central</v>
      </c>
      <c r="AF467" t="str">
        <f ca="1"/>
        <v>Synthetic</v>
      </c>
      <c r="AG467" t="str">
        <f ca="1"/>
        <v>MCO</v>
      </c>
      <c r="AH467" t="str">
        <f ca="1"/>
        <v>10W30</v>
      </c>
      <c r="AI467" t="str">
        <f ca="1"/>
        <v>7100</v>
      </c>
      <c r="AJ467">
        <f ca="1"/>
        <v>0</v>
      </c>
      <c r="AK467" t="str">
        <f ca="1"/>
        <v>12x1L</v>
      </c>
      <c r="AL467">
        <f ca="1"/>
        <v>82783.199999999997</v>
      </c>
      <c r="AM467">
        <f ca="1"/>
        <v>25738.539130434787</v>
      </c>
      <c r="AN467" t="str">
        <f ca="1"/>
        <v>O-45739-D-0006</v>
      </c>
      <c r="AO467" t="str">
        <f ca="1"/>
        <v>Delivered</v>
      </c>
    </row>
    <row r="468" spans="1:41" x14ac:dyDescent="0.5">
      <c r="A468" t="str">
        <f ca="1"/>
        <v>F-223</v>
      </c>
      <c r="B468" s="1">
        <f ca="1"/>
        <v>45739</v>
      </c>
      <c r="C468" t="str">
        <f ca="1"/>
        <v>D-0006</v>
      </c>
      <c r="D468" t="str">
        <f ca="1"/>
        <v>Maliha Enterprise</v>
      </c>
      <c r="E468" t="str">
        <f ca="1"/>
        <v>Savar</v>
      </c>
      <c r="F468" t="str">
        <f ca="1"/>
        <v/>
      </c>
      <c r="G468" t="str">
        <f ca="1"/>
        <v>Sayed Al Amin Apu</v>
      </c>
      <c r="H468" t="str">
        <f ca="1"/>
        <v>Abdul Matin</v>
      </c>
      <c r="I468" t="str">
        <f ca="1"/>
        <v>Maliha Enterprise</v>
      </c>
      <c r="J468" t="str">
        <f ca="1"/>
        <v>Savar</v>
      </c>
      <c r="K468" t="str">
        <f ca="1"/>
        <v>LO00048</v>
      </c>
      <c r="L468" t="str">
        <f ca="1"/>
        <v>7100 4T 20W50 ESTER CORE®</v>
      </c>
      <c r="M468">
        <f ca="1"/>
        <v>120</v>
      </c>
      <c r="N468">
        <f ca="1"/>
        <v>1080</v>
      </c>
      <c r="O468">
        <f ca="1"/>
        <v>120</v>
      </c>
      <c r="P468">
        <f ca="1"/>
        <v>3.703703703703709E-2</v>
      </c>
      <c r="Q468">
        <f ca="1"/>
        <v>0</v>
      </c>
      <c r="R468">
        <f ca="1"/>
        <v>1040</v>
      </c>
      <c r="S468">
        <f ca="1"/>
        <v>120</v>
      </c>
      <c r="T468">
        <f ca="1"/>
        <v>120</v>
      </c>
      <c r="U468">
        <f ca="1"/>
        <v>129600</v>
      </c>
      <c r="V468">
        <f ca="1"/>
        <v>0</v>
      </c>
      <c r="W468">
        <f ca="1"/>
        <v>124800</v>
      </c>
      <c r="X468">
        <f ca="1"/>
        <v>16278.260869565218</v>
      </c>
      <c r="Y468">
        <f ca="1"/>
        <v>108521.73913043478</v>
      </c>
      <c r="Z468" t="str">
        <f ca="1"/>
        <v>Cash</v>
      </c>
      <c r="AA468">
        <f ca="1"/>
        <v>687</v>
      </c>
      <c r="AB468" t="str">
        <f ca="1"/>
        <v>Custom</v>
      </c>
      <c r="AC468">
        <f ca="1"/>
        <v>45741</v>
      </c>
      <c r="AD468" t="str">
        <f ca="1"/>
        <v>No Transport allowance.</v>
      </c>
      <c r="AE468" t="str">
        <f ca="1"/>
        <v>Central</v>
      </c>
      <c r="AF468" t="str">
        <f ca="1"/>
        <v>Synthetic</v>
      </c>
      <c r="AG468" t="str">
        <f ca="1"/>
        <v>MCO</v>
      </c>
      <c r="AH468" t="str">
        <f ca="1"/>
        <v>20W50</v>
      </c>
      <c r="AI468" t="str">
        <f ca="1"/>
        <v>7100</v>
      </c>
      <c r="AJ468">
        <f ca="1"/>
        <v>0</v>
      </c>
      <c r="AK468" t="str">
        <f ca="1"/>
        <v>12x1L</v>
      </c>
      <c r="AL468">
        <f ca="1"/>
        <v>91643.808000000005</v>
      </c>
      <c r="AM468">
        <f ca="1"/>
        <v>16877.931130434779</v>
      </c>
      <c r="AN468" t="str">
        <f ca="1"/>
        <v>O-45739-D-0006</v>
      </c>
      <c r="AO468" t="str">
        <f ca="1"/>
        <v>Delivered</v>
      </c>
    </row>
    <row r="469" spans="1:41" x14ac:dyDescent="0.5">
      <c r="A469" t="str">
        <f ca="1"/>
        <v>F-224</v>
      </c>
      <c r="B469" s="1">
        <f ca="1"/>
        <v>45740</v>
      </c>
      <c r="C469" t="str">
        <f ca="1"/>
        <v>D-0023</v>
      </c>
      <c r="D469" t="str">
        <f ca="1"/>
        <v>Jantrik Auto</v>
      </c>
      <c r="E469" t="str">
        <f ca="1"/>
        <v>Saidpur Sadar</v>
      </c>
      <c r="F469">
        <f ca="1"/>
        <v>1912060295</v>
      </c>
      <c r="G469" t="str">
        <f ca="1"/>
        <v>Monirul Islam</v>
      </c>
      <c r="H469" t="str">
        <f ca="1"/>
        <v>Raihan Siddiqui</v>
      </c>
      <c r="I469" t="str">
        <f ca="1"/>
        <v>Bondhu Motors</v>
      </c>
      <c r="J469" t="str">
        <f ca="1"/>
        <v>Rangpur</v>
      </c>
      <c r="K469" t="str">
        <f ca="1"/>
        <v>LO00043</v>
      </c>
      <c r="L469" t="str">
        <f ca="1"/>
        <v>3000 4T PLUS 10W40</v>
      </c>
      <c r="M469">
        <f ca="1"/>
        <v>20</v>
      </c>
      <c r="N469">
        <f ca="1"/>
        <v>550</v>
      </c>
      <c r="O469">
        <f ca="1"/>
        <v>20</v>
      </c>
      <c r="P469">
        <f ca="1"/>
        <v>1.8181818181818188E-2</v>
      </c>
      <c r="Q469">
        <f ca="1"/>
        <v>0</v>
      </c>
      <c r="R469">
        <f ca="1"/>
        <v>540</v>
      </c>
      <c r="S469">
        <f ca="1"/>
        <v>20</v>
      </c>
      <c r="T469">
        <f ca="1"/>
        <v>20</v>
      </c>
      <c r="U469">
        <f ca="1"/>
        <v>11000</v>
      </c>
      <c r="V469">
        <f ca="1"/>
        <v>0</v>
      </c>
      <c r="W469">
        <f ca="1"/>
        <v>10800</v>
      </c>
      <c r="X469">
        <f ca="1"/>
        <v>1408.695652173913</v>
      </c>
      <c r="Y469">
        <f ca="1"/>
        <v>9391.3043478260861</v>
      </c>
      <c r="Z469" t="str">
        <f ca="1"/>
        <v>Cash</v>
      </c>
      <c r="AA469">
        <f ca="1"/>
        <v>688</v>
      </c>
      <c r="AB469" t="str">
        <f ca="1"/>
        <v>Flat Discount</v>
      </c>
      <c r="AC469">
        <f ca="1"/>
        <v>45741</v>
      </c>
      <c r="AD469" t="str">
        <f ca="1"/>
        <v/>
      </c>
      <c r="AE469" t="str">
        <f ca="1"/>
        <v>Northern</v>
      </c>
      <c r="AF469" t="str">
        <f ca="1"/>
        <v>Mineral</v>
      </c>
      <c r="AG469" t="str">
        <f ca="1"/>
        <v>MCO</v>
      </c>
      <c r="AH469" t="str">
        <f ca="1"/>
        <v>10W40</v>
      </c>
      <c r="AI469" t="str">
        <f ca="1"/>
        <v>3000</v>
      </c>
      <c r="AJ469">
        <f ca="1"/>
        <v>0</v>
      </c>
      <c r="AK469" t="str">
        <f ca="1"/>
        <v>20x1L</v>
      </c>
      <c r="AL469">
        <f ca="1"/>
        <v>7697</v>
      </c>
      <c r="AM469">
        <f ca="1"/>
        <v>1694.3043478260861</v>
      </c>
      <c r="AN469" t="str">
        <f ca="1"/>
        <v>O-45740-D-0023</v>
      </c>
      <c r="AO469" t="str">
        <f ca="1"/>
        <v>Delivered</v>
      </c>
    </row>
    <row r="470" spans="1:41" x14ac:dyDescent="0.5">
      <c r="A470" t="str">
        <f ca="1"/>
        <v>F-224</v>
      </c>
      <c r="B470" s="1">
        <f ca="1"/>
        <v>45740</v>
      </c>
      <c r="C470" t="str">
        <f ca="1"/>
        <v>D-0023</v>
      </c>
      <c r="D470" t="str">
        <f ca="1"/>
        <v>Jantrik Auto</v>
      </c>
      <c r="E470" t="str">
        <f ca="1"/>
        <v>Saidpur Sadar</v>
      </c>
      <c r="F470">
        <f ca="1"/>
        <v>1912060295</v>
      </c>
      <c r="G470" t="str">
        <f ca="1"/>
        <v>Monirul Islam</v>
      </c>
      <c r="H470" t="str">
        <f ca="1"/>
        <v>Raihan Siddiqui</v>
      </c>
      <c r="I470" t="str">
        <f ca="1"/>
        <v>Bondhu Motors</v>
      </c>
      <c r="J470" t="str">
        <f ca="1"/>
        <v>Rangpur</v>
      </c>
      <c r="K470" t="str">
        <f ca="1"/>
        <v>LO00076</v>
      </c>
      <c r="L470" t="str">
        <f ca="1"/>
        <v>Inugel Expert Coolant</v>
      </c>
      <c r="M470">
        <f ca="1"/>
        <v>40</v>
      </c>
      <c r="N470">
        <f ca="1"/>
        <v>425</v>
      </c>
      <c r="O470">
        <f ca="1"/>
        <v>40</v>
      </c>
      <c r="P470">
        <f ca="1"/>
        <v>1.1764705882352899E-2</v>
      </c>
      <c r="Q470">
        <f ca="1"/>
        <v>0</v>
      </c>
      <c r="R470">
        <f ca="1"/>
        <v>420</v>
      </c>
      <c r="S470">
        <f ca="1"/>
        <v>40</v>
      </c>
      <c r="T470">
        <f ca="1"/>
        <v>40</v>
      </c>
      <c r="U470">
        <f ca="1"/>
        <v>17000</v>
      </c>
      <c r="V470">
        <f ca="1"/>
        <v>0</v>
      </c>
      <c r="W470">
        <f ca="1"/>
        <v>16800</v>
      </c>
      <c r="X470">
        <f ca="1"/>
        <v>2191.304347826087</v>
      </c>
      <c r="Y470">
        <f ca="1"/>
        <v>14608.695652173914</v>
      </c>
      <c r="Z470" t="str">
        <f ca="1"/>
        <v>Cash</v>
      </c>
      <c r="AA470">
        <f ca="1"/>
        <v>688</v>
      </c>
      <c r="AB470" t="str">
        <f ca="1"/>
        <v>Flat Discount</v>
      </c>
      <c r="AC470">
        <f ca="1"/>
        <v>45741</v>
      </c>
      <c r="AD470" t="str">
        <f ca="1"/>
        <v/>
      </c>
      <c r="AE470" t="str">
        <f ca="1"/>
        <v>Northern</v>
      </c>
      <c r="AF470" t="str">
        <f ca="1"/>
        <v>Care Products</v>
      </c>
      <c r="AG470" t="str">
        <f ca="1"/>
        <v>Care Products</v>
      </c>
      <c r="AH470" t="str">
        <f ca="1"/>
        <v>Care Products</v>
      </c>
      <c r="AI470" t="str">
        <f ca="1"/>
        <v>Coolant</v>
      </c>
      <c r="AJ470">
        <f ca="1"/>
        <v>0</v>
      </c>
      <c r="AK470" t="str">
        <f ca="1"/>
        <v>20x1L</v>
      </c>
      <c r="AL470">
        <f ca="1"/>
        <v>9225.5999999999985</v>
      </c>
      <c r="AM470">
        <f ca="1"/>
        <v>5383.0956521739154</v>
      </c>
      <c r="AN470" t="str">
        <f ca="1"/>
        <v>O-45740-D-0023</v>
      </c>
      <c r="AO470" t="str">
        <f ca="1"/>
        <v>Delivered</v>
      </c>
    </row>
    <row r="471" spans="1:41" x14ac:dyDescent="0.5">
      <c r="A471" t="str">
        <f ca="1"/>
        <v>F-224</v>
      </c>
      <c r="B471" s="1">
        <f ca="1"/>
        <v>45740</v>
      </c>
      <c r="C471" t="str">
        <f ca="1"/>
        <v>D-0023</v>
      </c>
      <c r="D471" t="str">
        <f ca="1"/>
        <v>Jantrik Auto</v>
      </c>
      <c r="E471" t="str">
        <f ca="1"/>
        <v>Saidpur Sadar</v>
      </c>
      <c r="F471">
        <f ca="1"/>
        <v>1912060295</v>
      </c>
      <c r="G471" t="str">
        <f ca="1"/>
        <v>Monirul Islam</v>
      </c>
      <c r="H471" t="str">
        <f ca="1"/>
        <v>Raihan Siddiqui</v>
      </c>
      <c r="I471" t="str">
        <f ca="1"/>
        <v>Bondhu Motors</v>
      </c>
      <c r="J471" t="str">
        <f ca="1"/>
        <v>Rangpur</v>
      </c>
      <c r="K471" t="str">
        <f ca="1"/>
        <v>LO00119</v>
      </c>
      <c r="L471" t="str">
        <f ca="1"/>
        <v>3000 4T 20W50</v>
      </c>
      <c r="M471">
        <f ca="1"/>
        <v>40</v>
      </c>
      <c r="N471">
        <f ca="1"/>
        <v>495</v>
      </c>
      <c r="O471">
        <f ca="1"/>
        <v>40</v>
      </c>
      <c r="P471">
        <f ca="1"/>
        <v>5.0505050505050497E-2</v>
      </c>
      <c r="Q471">
        <f ca="1"/>
        <v>0</v>
      </c>
      <c r="R471">
        <f ca="1"/>
        <v>470</v>
      </c>
      <c r="S471">
        <f ca="1"/>
        <v>40</v>
      </c>
      <c r="T471">
        <f ca="1"/>
        <v>40</v>
      </c>
      <c r="U471">
        <f ca="1"/>
        <v>19800</v>
      </c>
      <c r="V471">
        <f ca="1"/>
        <v>0</v>
      </c>
      <c r="W471">
        <f ca="1"/>
        <v>18800</v>
      </c>
      <c r="X471">
        <f ca="1"/>
        <v>2452.1739130434785</v>
      </c>
      <c r="Y471">
        <f ca="1"/>
        <v>16347.826086956522</v>
      </c>
      <c r="Z471" t="str">
        <f ca="1"/>
        <v>Cash</v>
      </c>
      <c r="AA471">
        <f ca="1"/>
        <v>688</v>
      </c>
      <c r="AB471" t="str">
        <f ca="1"/>
        <v>Flat Discount</v>
      </c>
      <c r="AC471">
        <f ca="1"/>
        <v>45741</v>
      </c>
      <c r="AD471" t="str">
        <f ca="1"/>
        <v/>
      </c>
      <c r="AE471" t="str">
        <f ca="1"/>
        <v>Northern</v>
      </c>
      <c r="AF471" t="str">
        <f ca="1"/>
        <v>Mineral</v>
      </c>
      <c r="AG471" t="str">
        <f ca="1"/>
        <v>MCO</v>
      </c>
      <c r="AH471" t="str">
        <f ca="1"/>
        <v>20W50</v>
      </c>
      <c r="AI471" t="str">
        <f ca="1"/>
        <v>3000</v>
      </c>
      <c r="AJ471">
        <f ca="1"/>
        <v>0</v>
      </c>
      <c r="AK471" t="str">
        <f ca="1"/>
        <v>20x1L</v>
      </c>
      <c r="AL471">
        <f ca="1"/>
        <v>14596.800000000001</v>
      </c>
      <c r="AM471">
        <f ca="1"/>
        <v>1751.0260869565209</v>
      </c>
      <c r="AN471" t="str">
        <f ca="1"/>
        <v>O-45740-D-0023</v>
      </c>
      <c r="AO471" t="str">
        <f ca="1"/>
        <v>Delivered</v>
      </c>
    </row>
    <row r="472" spans="1:41" x14ac:dyDescent="0.5">
      <c r="A472" t="str">
        <f ca="1"/>
        <v>F-225</v>
      </c>
      <c r="B472" s="1">
        <f ca="1"/>
        <v>45741</v>
      </c>
      <c r="C472" t="str">
        <f ca="1"/>
        <v>D-0003</v>
      </c>
      <c r="D472" t="str">
        <f ca="1"/>
        <v>Uttara Auto Parts</v>
      </c>
      <c r="E472" t="str">
        <f ca="1"/>
        <v>Jamaipara, Sunamganj</v>
      </c>
      <c r="F472" t="str">
        <f ca="1"/>
        <v>01705-854256</v>
      </c>
      <c r="G472" t="str">
        <f ca="1"/>
        <v>Md. Robin Sheikh</v>
      </c>
      <c r="H472" t="str">
        <f ca="1"/>
        <v>Razur Rahman (Bipul)</v>
      </c>
      <c r="I472" t="str">
        <f ca="1"/>
        <v>Bajaj Parts Center</v>
      </c>
      <c r="J472" t="str">
        <f ca="1"/>
        <v>Taltola</v>
      </c>
      <c r="K472" t="str">
        <f ca="1"/>
        <v>LO00043</v>
      </c>
      <c r="L472" t="str">
        <f ca="1"/>
        <v>3000 4T PLUS 10W40</v>
      </c>
      <c r="M472">
        <f ca="1"/>
        <v>100</v>
      </c>
      <c r="N472">
        <f ca="1"/>
        <v>550</v>
      </c>
      <c r="O472">
        <f ca="1"/>
        <v>100</v>
      </c>
      <c r="P472">
        <f ca="1"/>
        <v>0</v>
      </c>
      <c r="Q472">
        <f ca="1"/>
        <v>0</v>
      </c>
      <c r="R472">
        <f ca="1"/>
        <v>550</v>
      </c>
      <c r="S472">
        <f ca="1"/>
        <v>100</v>
      </c>
      <c r="T472">
        <f ca="1"/>
        <v>100</v>
      </c>
      <c r="U472">
        <f ca="1"/>
        <v>55000</v>
      </c>
      <c r="V472">
        <f ca="1"/>
        <v>0</v>
      </c>
      <c r="W472">
        <f ca="1"/>
        <v>55000</v>
      </c>
      <c r="X472">
        <f ca="1"/>
        <v>7173.913043478261</v>
      </c>
      <c r="Y472">
        <f ca="1"/>
        <v>47826.086956521736</v>
      </c>
      <c r="Z472" t="str">
        <f ca="1"/>
        <v>Cash</v>
      </c>
      <c r="AA472">
        <f ca="1"/>
        <v>689</v>
      </c>
      <c r="AB472" t="str">
        <f ca="1"/>
        <v>Flat Discount</v>
      </c>
      <c r="AC472">
        <f ca="1"/>
        <v>45741</v>
      </c>
      <c r="AD472" t="str">
        <f ca="1"/>
        <v/>
      </c>
      <c r="AE472" t="str">
        <f ca="1"/>
        <v>Eastern</v>
      </c>
      <c r="AF472" t="str">
        <f ca="1"/>
        <v>Mineral</v>
      </c>
      <c r="AG472" t="str">
        <f ca="1"/>
        <v>MCO</v>
      </c>
      <c r="AH472" t="str">
        <f ca="1"/>
        <v>10W40</v>
      </c>
      <c r="AI472" t="str">
        <f ca="1"/>
        <v>3000</v>
      </c>
      <c r="AJ472">
        <f ca="1"/>
        <v>0</v>
      </c>
      <c r="AK472" t="str">
        <f ca="1"/>
        <v>20x1L</v>
      </c>
      <c r="AL472">
        <f ca="1"/>
        <v>38485</v>
      </c>
      <c r="AM472">
        <f ca="1"/>
        <v>9341.0869565217363</v>
      </c>
      <c r="AN472" t="str">
        <f ca="1"/>
        <v>O-45741-D-0003</v>
      </c>
      <c r="AO472" t="str">
        <f ca="1"/>
        <v>Delivered</v>
      </c>
    </row>
    <row r="473" spans="1:41" x14ac:dyDescent="0.5">
      <c r="A473" t="str">
        <f ca="1"/>
        <v>F-225</v>
      </c>
      <c r="B473" s="1">
        <f ca="1"/>
        <v>45741</v>
      </c>
      <c r="C473" t="str">
        <f ca="1"/>
        <v>D-0003</v>
      </c>
      <c r="D473" t="str">
        <f ca="1"/>
        <v>Uttara Auto Parts</v>
      </c>
      <c r="E473" t="str">
        <f ca="1"/>
        <v>Jamaipara, Sunamganj</v>
      </c>
      <c r="F473" t="str">
        <f ca="1"/>
        <v>01705-854256</v>
      </c>
      <c r="G473" t="str">
        <f ca="1"/>
        <v>Md. Robin Sheikh</v>
      </c>
      <c r="H473" t="str">
        <f ca="1"/>
        <v>Razur Rahman (Bipul)</v>
      </c>
      <c r="I473" t="str">
        <f ca="1"/>
        <v>Bajaj Parts Center</v>
      </c>
      <c r="J473" t="str">
        <f ca="1"/>
        <v>Taltola</v>
      </c>
      <c r="K473" t="str">
        <f ca="1"/>
        <v>LO00048</v>
      </c>
      <c r="L473" t="str">
        <f ca="1"/>
        <v>7100 4T 20W50 ESTER CORE®</v>
      </c>
      <c r="M473">
        <f ca="1"/>
        <v>36</v>
      </c>
      <c r="N473">
        <f ca="1"/>
        <v>1080</v>
      </c>
      <c r="O473">
        <f ca="1"/>
        <v>36</v>
      </c>
      <c r="P473">
        <f ca="1"/>
        <v>0</v>
      </c>
      <c r="Q473">
        <f ca="1"/>
        <v>0</v>
      </c>
      <c r="R473">
        <f ca="1"/>
        <v>1080</v>
      </c>
      <c r="S473">
        <f ca="1"/>
        <v>36</v>
      </c>
      <c r="T473">
        <f ca="1"/>
        <v>36</v>
      </c>
      <c r="U473">
        <f ca="1"/>
        <v>38880</v>
      </c>
      <c r="V473">
        <f ca="1"/>
        <v>0</v>
      </c>
      <c r="W473">
        <f ca="1"/>
        <v>38880</v>
      </c>
      <c r="X473">
        <f ca="1"/>
        <v>5071.304347826087</v>
      </c>
      <c r="Y473">
        <f ca="1"/>
        <v>33808.695652173912</v>
      </c>
      <c r="Z473" t="str">
        <f ca="1"/>
        <v>Cash</v>
      </c>
      <c r="AA473">
        <f ca="1"/>
        <v>689</v>
      </c>
      <c r="AB473" t="str">
        <f ca="1"/>
        <v>Flat Discount</v>
      </c>
      <c r="AC473">
        <f ca="1"/>
        <v>45741</v>
      </c>
      <c r="AD473" t="str">
        <f ca="1"/>
        <v/>
      </c>
      <c r="AE473" t="str">
        <f ca="1"/>
        <v>Eastern</v>
      </c>
      <c r="AF473" t="str">
        <f ca="1"/>
        <v>Synthetic</v>
      </c>
      <c r="AG473" t="str">
        <f ca="1"/>
        <v>MCO</v>
      </c>
      <c r="AH473" t="str">
        <f ca="1"/>
        <v>20W50</v>
      </c>
      <c r="AI473" t="str">
        <f ca="1"/>
        <v>7100</v>
      </c>
      <c r="AJ473">
        <f ca="1"/>
        <v>0</v>
      </c>
      <c r="AK473" t="str">
        <f ca="1"/>
        <v>12x1L</v>
      </c>
      <c r="AL473">
        <f ca="1"/>
        <v>27493.142400000001</v>
      </c>
      <c r="AM473">
        <f ca="1"/>
        <v>6315.5532521739115</v>
      </c>
      <c r="AN473" t="str">
        <f ca="1"/>
        <v>O-45741-D-0003</v>
      </c>
      <c r="AO473" t="str">
        <f ca="1"/>
        <v>Delivered</v>
      </c>
    </row>
    <row r="474" spans="1:41" x14ac:dyDescent="0.5">
      <c r="A474" t="str">
        <f ca="1"/>
        <v>F-226</v>
      </c>
      <c r="B474" s="1">
        <f ca="1"/>
        <v>45754</v>
      </c>
      <c r="C474" t="str">
        <f ca="1"/>
        <v>D-0015</v>
      </c>
      <c r="D474" t="str">
        <f ca="1"/>
        <v>MK Trading Corporation</v>
      </c>
      <c r="E474" t="str">
        <f ca="1"/>
        <v xml:space="preserve">Wari </v>
      </c>
      <c r="F474" t="str">
        <f ca="1"/>
        <v/>
      </c>
      <c r="G474" t="str">
        <f ca="1"/>
        <v>Mahamudul Hasan Milon</v>
      </c>
      <c r="H474" t="str">
        <f ca="1"/>
        <v>Abdul Matin</v>
      </c>
      <c r="I474" t="str">
        <f ca="1"/>
        <v>MK Trading Corporation</v>
      </c>
      <c r="J474" t="str">
        <f ca="1"/>
        <v xml:space="preserve">Wari </v>
      </c>
      <c r="K474" t="str">
        <f ca="1"/>
        <v>LO00041</v>
      </c>
      <c r="L474" t="str">
        <f ca="1"/>
        <v>3000 4T PLUS 10W30</v>
      </c>
      <c r="M474">
        <f ca="1"/>
        <v>1000</v>
      </c>
      <c r="N474">
        <f ca="1"/>
        <v>540</v>
      </c>
      <c r="O474">
        <f ca="1"/>
        <v>1000</v>
      </c>
      <c r="P474">
        <f ca="1"/>
        <v>2.777777777777779E-2</v>
      </c>
      <c r="Q474">
        <f ca="1"/>
        <v>0</v>
      </c>
      <c r="R474">
        <f ca="1"/>
        <v>525</v>
      </c>
      <c r="S474">
        <f ca="1"/>
        <v>1000</v>
      </c>
      <c r="T474">
        <f ca="1"/>
        <v>1000</v>
      </c>
      <c r="U474">
        <f ca="1"/>
        <v>540000</v>
      </c>
      <c r="V474">
        <f ca="1"/>
        <v>0</v>
      </c>
      <c r="W474">
        <f ca="1"/>
        <v>525000</v>
      </c>
      <c r="X474">
        <f ca="1"/>
        <v>68478.260869565216</v>
      </c>
      <c r="Y474">
        <f ca="1"/>
        <v>456521.73913043475</v>
      </c>
      <c r="Z474" t="str">
        <f ca="1"/>
        <v>Cash</v>
      </c>
      <c r="AA474">
        <f ca="1"/>
        <v>690</v>
      </c>
      <c r="AB474" t="str">
        <f ca="1"/>
        <v>Custom</v>
      </c>
      <c r="AC474">
        <f ca="1"/>
        <v>45755</v>
      </c>
      <c r="AD474" t="str">
        <f ca="1"/>
        <v>Customized price</v>
      </c>
      <c r="AE474" t="str">
        <f ca="1"/>
        <v>Central</v>
      </c>
      <c r="AF474" t="str">
        <f ca="1"/>
        <v>Mineral</v>
      </c>
      <c r="AG474" t="str">
        <f ca="1"/>
        <v>MCO</v>
      </c>
      <c r="AH474" t="str">
        <f ca="1"/>
        <v>10W30</v>
      </c>
      <c r="AI474" t="str">
        <f ca="1"/>
        <v>3000</v>
      </c>
      <c r="AJ474">
        <f ca="1"/>
        <v>0</v>
      </c>
      <c r="AK474" t="str">
        <f ca="1"/>
        <v>20x1L</v>
      </c>
      <c r="AL474">
        <f ca="1"/>
        <v>379330</v>
      </c>
      <c r="AM474">
        <f ca="1"/>
        <v>77191.739130434755</v>
      </c>
      <c r="AN474" t="str">
        <f ca="1"/>
        <v>O-45754-D-0015</v>
      </c>
      <c r="AO474" t="str">
        <f ca="1"/>
        <v>Delivered</v>
      </c>
    </row>
    <row r="475" spans="1:41" x14ac:dyDescent="0.5">
      <c r="A475" t="str">
        <f ca="1"/>
        <v>F-226</v>
      </c>
      <c r="B475" s="1">
        <f ca="1"/>
        <v>45754</v>
      </c>
      <c r="C475" t="str">
        <f ca="1"/>
        <v>D-0015</v>
      </c>
      <c r="D475" t="str">
        <f ca="1"/>
        <v>MK Trading Corporation</v>
      </c>
      <c r="E475" t="str">
        <f ca="1"/>
        <v xml:space="preserve">Wari </v>
      </c>
      <c r="F475" t="str">
        <f ca="1"/>
        <v/>
      </c>
      <c r="G475" t="str">
        <f ca="1"/>
        <v>Mahamudul Hasan Milon</v>
      </c>
      <c r="H475" t="str">
        <f ca="1"/>
        <v>Abdul Matin</v>
      </c>
      <c r="I475" t="str">
        <f ca="1"/>
        <v>MK Trading Corporation</v>
      </c>
      <c r="J475" t="str">
        <f ca="1"/>
        <v xml:space="preserve">Wari </v>
      </c>
      <c r="K475" t="str">
        <f ca="1"/>
        <v>LO00042</v>
      </c>
      <c r="L475" t="str">
        <f ca="1"/>
        <v>3000 4T PLUS 20W40</v>
      </c>
      <c r="M475">
        <f ca="1"/>
        <v>380</v>
      </c>
      <c r="N475">
        <f ca="1"/>
        <v>535</v>
      </c>
      <c r="O475">
        <f ca="1"/>
        <v>380</v>
      </c>
      <c r="P475">
        <f ca="1"/>
        <v>1.8691588785046731E-2</v>
      </c>
      <c r="Q475">
        <f ca="1"/>
        <v>0</v>
      </c>
      <c r="R475">
        <f ca="1"/>
        <v>525</v>
      </c>
      <c r="S475">
        <f ca="1"/>
        <v>380</v>
      </c>
      <c r="T475">
        <f ca="1"/>
        <v>380</v>
      </c>
      <c r="U475">
        <f ca="1"/>
        <v>203300</v>
      </c>
      <c r="V475">
        <f ca="1"/>
        <v>0</v>
      </c>
      <c r="W475">
        <f ca="1"/>
        <v>199500</v>
      </c>
      <c r="X475">
        <f ca="1"/>
        <v>26021.739130434784</v>
      </c>
      <c r="Y475">
        <f ca="1"/>
        <v>173478.26086956522</v>
      </c>
      <c r="Z475" t="str">
        <f ca="1"/>
        <v>Cash</v>
      </c>
      <c r="AA475">
        <f ca="1"/>
        <v>690</v>
      </c>
      <c r="AB475" t="str">
        <f ca="1"/>
        <v>Custom</v>
      </c>
      <c r="AC475">
        <f ca="1"/>
        <v>45755</v>
      </c>
      <c r="AD475" t="str">
        <f ca="1"/>
        <v>Customized price</v>
      </c>
      <c r="AE475" t="str">
        <f ca="1"/>
        <v>Central</v>
      </c>
      <c r="AF475" t="str">
        <f ca="1"/>
        <v>Mineral</v>
      </c>
      <c r="AG475" t="str">
        <f ca="1"/>
        <v>MCO</v>
      </c>
      <c r="AH475" t="str">
        <f ca="1"/>
        <v>20W40</v>
      </c>
      <c r="AI475" t="str">
        <f ca="1"/>
        <v>3000</v>
      </c>
      <c r="AJ475">
        <f ca="1"/>
        <v>0</v>
      </c>
      <c r="AK475" t="str">
        <f ca="1"/>
        <v>20x1L</v>
      </c>
      <c r="AL475">
        <f ca="1"/>
        <v>156848.79999999999</v>
      </c>
      <c r="AM475">
        <f ca="1"/>
        <v>16629.460869565228</v>
      </c>
      <c r="AN475" t="str">
        <f ca="1"/>
        <v>O-45754-D-0015</v>
      </c>
      <c r="AO475" t="str">
        <f ca="1"/>
        <v>Delivered</v>
      </c>
    </row>
    <row r="476" spans="1:41" x14ac:dyDescent="0.5">
      <c r="A476" t="str">
        <f ca="1"/>
        <v>F-226</v>
      </c>
      <c r="B476" s="1">
        <f ca="1"/>
        <v>45754</v>
      </c>
      <c r="C476" t="str">
        <f ca="1"/>
        <v>D-0015</v>
      </c>
      <c r="D476" t="str">
        <f ca="1"/>
        <v>MK Trading Corporation</v>
      </c>
      <c r="E476" t="str">
        <f ca="1"/>
        <v xml:space="preserve">Wari </v>
      </c>
      <c r="F476" t="str">
        <f ca="1"/>
        <v/>
      </c>
      <c r="G476" t="str">
        <f ca="1"/>
        <v>Mahamudul Hasan Milon</v>
      </c>
      <c r="H476" t="str">
        <f ca="1"/>
        <v>Abdul Matin</v>
      </c>
      <c r="I476" t="str">
        <f ca="1"/>
        <v>MK Trading Corporation</v>
      </c>
      <c r="J476" t="str">
        <f ca="1"/>
        <v xml:space="preserve">Wari </v>
      </c>
      <c r="K476" t="str">
        <f ca="1"/>
        <v>LO00043</v>
      </c>
      <c r="L476" t="str">
        <f ca="1"/>
        <v>3000 4T PLUS 10W40</v>
      </c>
      <c r="M476">
        <f ca="1"/>
        <v>1000</v>
      </c>
      <c r="N476">
        <f ca="1"/>
        <v>550</v>
      </c>
      <c r="O476">
        <f ca="1"/>
        <v>1000</v>
      </c>
      <c r="P476">
        <f ca="1"/>
        <v>4.5454545454545414E-2</v>
      </c>
      <c r="Q476">
        <f ca="1"/>
        <v>0</v>
      </c>
      <c r="R476">
        <f ca="1"/>
        <v>525</v>
      </c>
      <c r="S476">
        <f ca="1"/>
        <v>1000</v>
      </c>
      <c r="T476">
        <f ca="1"/>
        <v>1000</v>
      </c>
      <c r="U476">
        <f ca="1"/>
        <v>550000</v>
      </c>
      <c r="V476">
        <f ca="1"/>
        <v>0</v>
      </c>
      <c r="W476">
        <f ca="1"/>
        <v>525000</v>
      </c>
      <c r="X476">
        <f ca="1"/>
        <v>68478.260869565216</v>
      </c>
      <c r="Y476">
        <f ca="1"/>
        <v>456521.73913043475</v>
      </c>
      <c r="Z476" t="str">
        <f ca="1"/>
        <v>Cash</v>
      </c>
      <c r="AA476">
        <f ca="1"/>
        <v>690</v>
      </c>
      <c r="AB476" t="str">
        <f ca="1"/>
        <v>Custom</v>
      </c>
      <c r="AC476">
        <f ca="1"/>
        <v>45755</v>
      </c>
      <c r="AD476" t="str">
        <f ca="1"/>
        <v>Customized price</v>
      </c>
      <c r="AE476" t="str">
        <f ca="1"/>
        <v>Central</v>
      </c>
      <c r="AF476" t="str">
        <f ca="1"/>
        <v>Mineral</v>
      </c>
      <c r="AG476" t="str">
        <f ca="1"/>
        <v>MCO</v>
      </c>
      <c r="AH476" t="str">
        <f ca="1"/>
        <v>10W40</v>
      </c>
      <c r="AI476" t="str">
        <f ca="1"/>
        <v>3000</v>
      </c>
      <c r="AJ476">
        <f ca="1"/>
        <v>0</v>
      </c>
      <c r="AK476" t="str">
        <f ca="1"/>
        <v>20x1L</v>
      </c>
      <c r="AL476">
        <f ca="1"/>
        <v>384850</v>
      </c>
      <c r="AM476">
        <f ca="1"/>
        <v>71671.739130434755</v>
      </c>
      <c r="AN476" t="str">
        <f ca="1"/>
        <v>O-45754-D-0015</v>
      </c>
      <c r="AO476" t="str">
        <f ca="1"/>
        <v>Delivered</v>
      </c>
    </row>
    <row r="477" spans="1:41" x14ac:dyDescent="0.5">
      <c r="A477" t="str">
        <f ca="1"/>
        <v>F-226</v>
      </c>
      <c r="B477" s="1">
        <f ca="1"/>
        <v>45754</v>
      </c>
      <c r="C477" t="str">
        <f ca="1"/>
        <v>D-0015</v>
      </c>
      <c r="D477" t="str">
        <f ca="1"/>
        <v>MK Trading Corporation</v>
      </c>
      <c r="E477" t="str">
        <f ca="1"/>
        <v xml:space="preserve">Wari </v>
      </c>
      <c r="F477" t="str">
        <f ca="1"/>
        <v/>
      </c>
      <c r="G477" t="str">
        <f ca="1"/>
        <v>Mahamudul Hasan Milon</v>
      </c>
      <c r="H477" t="str">
        <f ca="1"/>
        <v>Abdul Matin</v>
      </c>
      <c r="I477" t="str">
        <f ca="1"/>
        <v>MK Trading Corporation</v>
      </c>
      <c r="J477" t="str">
        <f ca="1"/>
        <v xml:space="preserve">Wari </v>
      </c>
      <c r="K477" t="str">
        <f ca="1"/>
        <v>LO00096</v>
      </c>
      <c r="L477" t="str">
        <f ca="1"/>
        <v>3000 4T PLUS 20W40</v>
      </c>
      <c r="M477">
        <f ca="1"/>
        <v>400</v>
      </c>
      <c r="N477">
        <f ca="1"/>
        <v>645</v>
      </c>
      <c r="O477">
        <f ca="1"/>
        <v>480</v>
      </c>
      <c r="P477">
        <f ca="1"/>
        <v>2.3255813953488413E-2</v>
      </c>
      <c r="Q477">
        <f ca="1"/>
        <v>0</v>
      </c>
      <c r="R477">
        <f ca="1"/>
        <v>630</v>
      </c>
      <c r="S477">
        <f ca="1"/>
        <v>400</v>
      </c>
      <c r="T477">
        <f ca="1"/>
        <v>480</v>
      </c>
      <c r="U477">
        <f ca="1"/>
        <v>258000</v>
      </c>
      <c r="V477">
        <f ca="1"/>
        <v>0</v>
      </c>
      <c r="W477">
        <f ca="1"/>
        <v>252000</v>
      </c>
      <c r="X477">
        <f ca="1"/>
        <v>32869.565217391304</v>
      </c>
      <c r="Y477">
        <f ca="1"/>
        <v>219130.4347826087</v>
      </c>
      <c r="Z477" t="str">
        <f ca="1"/>
        <v>Cash</v>
      </c>
      <c r="AA477">
        <f ca="1"/>
        <v>690</v>
      </c>
      <c r="AB477" t="str">
        <f ca="1"/>
        <v>Custom</v>
      </c>
      <c r="AC477">
        <f ca="1"/>
        <v>45755</v>
      </c>
      <c r="AD477" t="str">
        <f ca="1"/>
        <v>Customized price</v>
      </c>
      <c r="AE477" t="str">
        <f ca="1"/>
        <v>Central</v>
      </c>
      <c r="AF477" t="str">
        <f ca="1"/>
        <v>Mineral</v>
      </c>
      <c r="AG477" t="str">
        <f ca="1"/>
        <v>MCO</v>
      </c>
      <c r="AH477" t="str">
        <f ca="1"/>
        <v>20W40</v>
      </c>
      <c r="AI477" t="str">
        <f ca="1"/>
        <v>3000</v>
      </c>
      <c r="AJ477">
        <f ca="1"/>
        <v>0</v>
      </c>
      <c r="AK477" t="str">
        <f ca="1"/>
        <v>20x1.2L</v>
      </c>
      <c r="AL477">
        <f ca="1"/>
        <v>187959.1181402439</v>
      </c>
      <c r="AM477">
        <f ca="1"/>
        <v>31171.316642364807</v>
      </c>
      <c r="AN477" t="str">
        <f ca="1"/>
        <v>O-45754-D-0015</v>
      </c>
      <c r="AO477" t="str">
        <f ca="1"/>
        <v>Delivered</v>
      </c>
    </row>
    <row r="478" spans="1:41" x14ac:dyDescent="0.5">
      <c r="A478" t="str">
        <f ca="1"/>
        <v>F-226</v>
      </c>
      <c r="B478" s="1">
        <f ca="1"/>
        <v>45754</v>
      </c>
      <c r="C478" t="str">
        <f ca="1"/>
        <v>D-0015</v>
      </c>
      <c r="D478" t="str">
        <f ca="1"/>
        <v>MK Trading Corporation</v>
      </c>
      <c r="E478" t="str">
        <f ca="1"/>
        <v xml:space="preserve">Wari </v>
      </c>
      <c r="F478" t="str">
        <f ca="1"/>
        <v/>
      </c>
      <c r="G478" t="str">
        <f ca="1"/>
        <v>Mahamudul Hasan Milon</v>
      </c>
      <c r="H478" t="str">
        <f ca="1"/>
        <v>Abdul Matin</v>
      </c>
      <c r="I478" t="str">
        <f ca="1"/>
        <v>MK Trading Corporation</v>
      </c>
      <c r="J478" t="str">
        <f ca="1"/>
        <v xml:space="preserve">Wari </v>
      </c>
      <c r="K478" t="str">
        <f ca="1"/>
        <v>LO00044</v>
      </c>
      <c r="L478" t="str">
        <f ca="1"/>
        <v>31004T GOLD 20W50</v>
      </c>
      <c r="M478">
        <f ca="1"/>
        <v>400</v>
      </c>
      <c r="N478">
        <f ca="1"/>
        <v>600</v>
      </c>
      <c r="O478">
        <f ca="1"/>
        <v>400</v>
      </c>
      <c r="P478">
        <f ca="1"/>
        <v>1.6666666666666718E-2</v>
      </c>
      <c r="Q478">
        <f ca="1"/>
        <v>0</v>
      </c>
      <c r="R478">
        <f ca="1"/>
        <v>590</v>
      </c>
      <c r="S478">
        <f ca="1"/>
        <v>400</v>
      </c>
      <c r="T478">
        <f ca="1"/>
        <v>400</v>
      </c>
      <c r="U478">
        <f ca="1"/>
        <v>240000</v>
      </c>
      <c r="V478">
        <f ca="1"/>
        <v>0</v>
      </c>
      <c r="W478">
        <f ca="1"/>
        <v>236000</v>
      </c>
      <c r="X478">
        <f ca="1"/>
        <v>30782.608695652172</v>
      </c>
      <c r="Y478">
        <f ca="1"/>
        <v>205217.39130434784</v>
      </c>
      <c r="Z478" t="str">
        <f ca="1"/>
        <v>Cash</v>
      </c>
      <c r="AA478">
        <f ca="1"/>
        <v>690</v>
      </c>
      <c r="AB478" t="str">
        <f ca="1"/>
        <v>Custom</v>
      </c>
      <c r="AC478">
        <f ca="1"/>
        <v>45755</v>
      </c>
      <c r="AD478" t="str">
        <f ca="1"/>
        <v>Customized price</v>
      </c>
      <c r="AE478" t="str">
        <f ca="1"/>
        <v>Central</v>
      </c>
      <c r="AF478" t="str">
        <f ca="1"/>
        <v>Technosynthese</v>
      </c>
      <c r="AG478" t="str">
        <f ca="1"/>
        <v>MCO</v>
      </c>
      <c r="AH478" t="str">
        <f ca="1"/>
        <v>20W50</v>
      </c>
      <c r="AI478" t="str">
        <f ca="1"/>
        <v>3100</v>
      </c>
      <c r="AJ478">
        <f ca="1"/>
        <v>0</v>
      </c>
      <c r="AK478" t="str">
        <f ca="1"/>
        <v>20x1L</v>
      </c>
      <c r="AL478">
        <f ca="1"/>
        <v>187756</v>
      </c>
      <c r="AM478">
        <f ca="1"/>
        <v>17461.391304347839</v>
      </c>
      <c r="AN478" t="str">
        <f ca="1"/>
        <v>O-45754-D-0015</v>
      </c>
      <c r="AO478" t="str">
        <f ca="1"/>
        <v>Delivered</v>
      </c>
    </row>
    <row r="479" spans="1:41" x14ac:dyDescent="0.5">
      <c r="A479" t="str">
        <f ca="1"/>
        <v>F-226</v>
      </c>
      <c r="B479" s="1">
        <f ca="1"/>
        <v>45754</v>
      </c>
      <c r="C479" t="str">
        <f ca="1"/>
        <v>D-0015</v>
      </c>
      <c r="D479" t="str">
        <f ca="1"/>
        <v>MK Trading Corporation</v>
      </c>
      <c r="E479" t="str">
        <f ca="1"/>
        <v xml:space="preserve">Wari </v>
      </c>
      <c r="F479" t="str">
        <f ca="1"/>
        <v/>
      </c>
      <c r="G479" t="str">
        <f ca="1"/>
        <v>Mahamudul Hasan Milon</v>
      </c>
      <c r="H479" t="str">
        <f ca="1"/>
        <v>Abdul Matin</v>
      </c>
      <c r="I479" t="str">
        <f ca="1"/>
        <v>MK Trading Corporation</v>
      </c>
      <c r="J479" t="str">
        <f ca="1"/>
        <v xml:space="preserve">Wari </v>
      </c>
      <c r="K479" t="str">
        <f ca="1"/>
        <v>LO00074</v>
      </c>
      <c r="L479" t="str">
        <f ca="1"/>
        <v>7100 4T 10W30 ESTER CORE®</v>
      </c>
      <c r="M479">
        <f ca="1"/>
        <v>300</v>
      </c>
      <c r="N479">
        <f ca="1"/>
        <v>1080</v>
      </c>
      <c r="O479">
        <f ca="1"/>
        <v>300</v>
      </c>
      <c r="P479">
        <f ca="1"/>
        <v>3.703703703703709E-2</v>
      </c>
      <c r="Q479">
        <f ca="1"/>
        <v>0</v>
      </c>
      <c r="R479">
        <f ca="1"/>
        <v>1040</v>
      </c>
      <c r="S479">
        <f ca="1"/>
        <v>300</v>
      </c>
      <c r="T479">
        <f ca="1"/>
        <v>300</v>
      </c>
      <c r="U479">
        <f ca="1"/>
        <v>324000</v>
      </c>
      <c r="V479">
        <f ca="1"/>
        <v>0</v>
      </c>
      <c r="W479">
        <f ca="1"/>
        <v>312000</v>
      </c>
      <c r="X479">
        <f ca="1"/>
        <v>40695.65217391304</v>
      </c>
      <c r="Y479">
        <f ca="1"/>
        <v>271304.34782608697</v>
      </c>
      <c r="Z479" t="str">
        <f ca="1"/>
        <v>Cash</v>
      </c>
      <c r="AA479">
        <f ca="1"/>
        <v>690</v>
      </c>
      <c r="AB479" t="str">
        <f ca="1"/>
        <v>Custom</v>
      </c>
      <c r="AC479">
        <f ca="1"/>
        <v>45755</v>
      </c>
      <c r="AD479" t="str">
        <f ca="1"/>
        <v>Customized price</v>
      </c>
      <c r="AE479" t="str">
        <f ca="1"/>
        <v>Central</v>
      </c>
      <c r="AF479" t="str">
        <f ca="1"/>
        <v>Synthetic</v>
      </c>
      <c r="AG479" t="str">
        <f ca="1"/>
        <v>MCO</v>
      </c>
      <c r="AH479" t="str">
        <f ca="1"/>
        <v>10W30</v>
      </c>
      <c r="AI479" t="str">
        <f ca="1"/>
        <v>7100</v>
      </c>
      <c r="AJ479">
        <f ca="1"/>
        <v>0</v>
      </c>
      <c r="AK479" t="str">
        <f ca="1"/>
        <v>12x1L</v>
      </c>
      <c r="AL479">
        <f ca="1"/>
        <v>206958</v>
      </c>
      <c r="AM479">
        <f ca="1"/>
        <v>64346.347826086974</v>
      </c>
      <c r="AN479" t="str">
        <f ca="1"/>
        <v>O-45754-D-0015</v>
      </c>
      <c r="AO479" t="str">
        <f ca="1"/>
        <v>Delivered</v>
      </c>
    </row>
    <row r="480" spans="1:41" x14ac:dyDescent="0.5">
      <c r="A480" t="str">
        <f ca="1"/>
        <v>F-226</v>
      </c>
      <c r="B480" s="1">
        <f ca="1"/>
        <v>45754</v>
      </c>
      <c r="C480" t="str">
        <f ca="1"/>
        <v>D-0015</v>
      </c>
      <c r="D480" t="str">
        <f ca="1"/>
        <v>MK Trading Corporation</v>
      </c>
      <c r="E480" t="str">
        <f ca="1"/>
        <v xml:space="preserve">Wari </v>
      </c>
      <c r="F480" t="str">
        <f ca="1"/>
        <v/>
      </c>
      <c r="G480" t="str">
        <f ca="1"/>
        <v>Mahamudul Hasan Milon</v>
      </c>
      <c r="H480" t="str">
        <f ca="1"/>
        <v>Abdul Matin</v>
      </c>
      <c r="I480" t="str">
        <f ca="1"/>
        <v>MK Trading Corporation</v>
      </c>
      <c r="J480" t="str">
        <f ca="1"/>
        <v xml:space="preserve">Wari </v>
      </c>
      <c r="K480" t="str">
        <f ca="1"/>
        <v>LO00048</v>
      </c>
      <c r="L480" t="str">
        <f ca="1"/>
        <v>7100 4T 20W50 ESTER CORE®</v>
      </c>
      <c r="M480">
        <f ca="1"/>
        <v>300</v>
      </c>
      <c r="N480">
        <f ca="1"/>
        <v>1080</v>
      </c>
      <c r="O480">
        <f ca="1"/>
        <v>300</v>
      </c>
      <c r="P480">
        <f ca="1"/>
        <v>3.703703703703709E-2</v>
      </c>
      <c r="Q480">
        <f ca="1"/>
        <v>0</v>
      </c>
      <c r="R480">
        <f ca="1"/>
        <v>1040</v>
      </c>
      <c r="S480">
        <f ca="1"/>
        <v>300</v>
      </c>
      <c r="T480">
        <f ca="1"/>
        <v>300</v>
      </c>
      <c r="U480">
        <f ca="1"/>
        <v>324000</v>
      </c>
      <c r="V480">
        <f ca="1"/>
        <v>0</v>
      </c>
      <c r="W480">
        <f ca="1"/>
        <v>312000</v>
      </c>
      <c r="X480">
        <f ca="1"/>
        <v>40695.65217391304</v>
      </c>
      <c r="Y480">
        <f ca="1"/>
        <v>271304.34782608697</v>
      </c>
      <c r="Z480" t="str">
        <f ca="1"/>
        <v>Cash</v>
      </c>
      <c r="AA480">
        <f ca="1"/>
        <v>690</v>
      </c>
      <c r="AB480" t="str">
        <f ca="1"/>
        <v>Custom</v>
      </c>
      <c r="AC480">
        <f ca="1"/>
        <v>45755</v>
      </c>
      <c r="AD480" t="str">
        <f ca="1"/>
        <v>Customized price</v>
      </c>
      <c r="AE480" t="str">
        <f ca="1"/>
        <v>Central</v>
      </c>
      <c r="AF480" t="str">
        <f ca="1"/>
        <v>Synthetic</v>
      </c>
      <c r="AG480" t="str">
        <f ca="1"/>
        <v>MCO</v>
      </c>
      <c r="AH480" t="str">
        <f ca="1"/>
        <v>20W50</v>
      </c>
      <c r="AI480" t="str">
        <f ca="1"/>
        <v>7100</v>
      </c>
      <c r="AJ480">
        <f ca="1"/>
        <v>0</v>
      </c>
      <c r="AK480" t="str">
        <f ca="1"/>
        <v>12x1L</v>
      </c>
      <c r="AL480">
        <f ca="1"/>
        <v>229109.52</v>
      </c>
      <c r="AM480">
        <f ca="1"/>
        <v>42194.827826086985</v>
      </c>
      <c r="AN480" t="str">
        <f ca="1"/>
        <v>O-45754-D-0015</v>
      </c>
      <c r="AO480" t="str">
        <f ca="1"/>
        <v>Delivered</v>
      </c>
    </row>
    <row r="481" spans="1:41" x14ac:dyDescent="0.5">
      <c r="A481" t="str">
        <f ca="1"/>
        <v>F-226</v>
      </c>
      <c r="B481" s="1">
        <f ca="1"/>
        <v>45754</v>
      </c>
      <c r="C481" t="str">
        <f ca="1"/>
        <v>D-0015</v>
      </c>
      <c r="D481" t="str">
        <f ca="1"/>
        <v>MK Trading Corporation</v>
      </c>
      <c r="E481" t="str">
        <f ca="1"/>
        <v xml:space="preserve">Wari </v>
      </c>
      <c r="F481" t="str">
        <f ca="1"/>
        <v/>
      </c>
      <c r="G481" t="str">
        <f ca="1"/>
        <v>Mahamudul Hasan Milon</v>
      </c>
      <c r="H481" t="str">
        <f ca="1"/>
        <v>Abdul Matin</v>
      </c>
      <c r="I481" t="str">
        <f ca="1"/>
        <v>MK Trading Corporation</v>
      </c>
      <c r="J481" t="str">
        <f ca="1"/>
        <v xml:space="preserve">Wari </v>
      </c>
      <c r="K481" t="str">
        <f ca="1"/>
        <v>LO00104</v>
      </c>
      <c r="L481" t="str">
        <f ca="1"/>
        <v>7100 4T 10W30 ESTER CORE®</v>
      </c>
      <c r="M481">
        <f ca="1"/>
        <v>516</v>
      </c>
      <c r="N481">
        <f ca="1"/>
        <v>1295</v>
      </c>
      <c r="O481">
        <f ca="1"/>
        <v>619.19999999999993</v>
      </c>
      <c r="P481">
        <f ca="1"/>
        <v>2.7027027027026973E-2</v>
      </c>
      <c r="Q481">
        <f ca="1"/>
        <v>0</v>
      </c>
      <c r="R481">
        <f ca="1"/>
        <v>1260</v>
      </c>
      <c r="S481">
        <f ca="1"/>
        <v>516</v>
      </c>
      <c r="T481">
        <f ca="1"/>
        <v>619.19999999999993</v>
      </c>
      <c r="U481">
        <f ca="1"/>
        <v>668220</v>
      </c>
      <c r="V481">
        <f ca="1"/>
        <v>0</v>
      </c>
      <c r="W481">
        <f ca="1"/>
        <v>650160</v>
      </c>
      <c r="X481">
        <f ca="1"/>
        <v>84803.478260869568</v>
      </c>
      <c r="Y481">
        <f ca="1"/>
        <v>565356.52173913049</v>
      </c>
      <c r="Z481" t="str">
        <f ca="1"/>
        <v>Cash</v>
      </c>
      <c r="AA481">
        <f ca="1"/>
        <v>690</v>
      </c>
      <c r="AB481" t="str">
        <f ca="1"/>
        <v>Custom</v>
      </c>
      <c r="AC481">
        <f ca="1"/>
        <v>45755</v>
      </c>
      <c r="AD481" t="str">
        <f ca="1"/>
        <v>Customized price</v>
      </c>
      <c r="AE481" t="str">
        <f ca="1"/>
        <v>Central</v>
      </c>
      <c r="AF481" t="str">
        <f ca="1"/>
        <v>Synthetic</v>
      </c>
      <c r="AG481" t="str">
        <f ca="1"/>
        <v>MCO</v>
      </c>
      <c r="AH481" t="str">
        <f ca="1"/>
        <v>10W30</v>
      </c>
      <c r="AI481" t="str">
        <f ca="1"/>
        <v>7100</v>
      </c>
      <c r="AJ481">
        <f ca="1"/>
        <v>0</v>
      </c>
      <c r="AK481" t="str">
        <f ca="1"/>
        <v>20x1.2L</v>
      </c>
      <c r="AL481">
        <f ca="1"/>
        <v>401086.8</v>
      </c>
      <c r="AM481">
        <f ca="1"/>
        <v>164269.7217391305</v>
      </c>
      <c r="AN481" t="str">
        <f ca="1"/>
        <v>O-45754-D-0015</v>
      </c>
      <c r="AO481" t="str">
        <f ca="1"/>
        <v>Delivered</v>
      </c>
    </row>
    <row r="482" spans="1:41" x14ac:dyDescent="0.5">
      <c r="A482" t="str">
        <f ca="1"/>
        <v>F-227</v>
      </c>
      <c r="B482" s="1">
        <f ca="1"/>
        <v>45754</v>
      </c>
      <c r="C482" t="str">
        <f ca="1"/>
        <v>D-0030</v>
      </c>
      <c r="D482" t="str">
        <f ca="1"/>
        <v>Uttara auto Eng Ltd</v>
      </c>
      <c r="E482" t="str">
        <f ca="1"/>
        <v>Uttara</v>
      </c>
      <c r="F482" t="str">
        <f ca="1"/>
        <v>+88001828136692</v>
      </c>
      <c r="G482" t="str">
        <f ca="1"/>
        <v>Sayed Al Amin Apu</v>
      </c>
      <c r="H482" t="str">
        <f ca="1"/>
        <v>Abdul Matin</v>
      </c>
      <c r="I482" t="str">
        <f ca="1"/>
        <v>Mahim Motors</v>
      </c>
      <c r="J482" t="str">
        <f ca="1"/>
        <v>Uttara</v>
      </c>
      <c r="K482" t="str">
        <f ca="1"/>
        <v>LO00119</v>
      </c>
      <c r="L482" t="str">
        <f ca="1"/>
        <v>3000 4T 20W50</v>
      </c>
      <c r="M482">
        <f ca="1"/>
        <v>100</v>
      </c>
      <c r="N482">
        <f ca="1"/>
        <v>495</v>
      </c>
      <c r="O482">
        <f ca="1"/>
        <v>100</v>
      </c>
      <c r="P482">
        <f ca="1"/>
        <v>9.0909090909090939E-2</v>
      </c>
      <c r="Q482">
        <f ca="1"/>
        <v>0</v>
      </c>
      <c r="R482">
        <f ca="1"/>
        <v>450</v>
      </c>
      <c r="S482">
        <f ca="1"/>
        <v>100</v>
      </c>
      <c r="T482">
        <f ca="1"/>
        <v>100</v>
      </c>
      <c r="U482">
        <f ca="1"/>
        <v>49500</v>
      </c>
      <c r="V482">
        <f ca="1"/>
        <v>0</v>
      </c>
      <c r="W482">
        <f ca="1"/>
        <v>45000</v>
      </c>
      <c r="X482">
        <f ca="1"/>
        <v>5869.565217391304</v>
      </c>
      <c r="Y482">
        <f ca="1"/>
        <v>39130.434782608696</v>
      </c>
      <c r="Z482" t="str">
        <f ca="1"/>
        <v>Cash</v>
      </c>
      <c r="AA482">
        <f ca="1"/>
        <v>691</v>
      </c>
      <c r="AB482" t="str">
        <f ca="1"/>
        <v>Custom</v>
      </c>
      <c r="AC482">
        <f ca="1"/>
        <v>45755</v>
      </c>
      <c r="AD482" t="str">
        <f ca="1"/>
        <v/>
      </c>
      <c r="AE482" t="str">
        <f ca="1"/>
        <v>Central</v>
      </c>
      <c r="AF482" t="str">
        <f ca="1"/>
        <v>Mineral</v>
      </c>
      <c r="AG482" t="str">
        <f ca="1"/>
        <v>MCO</v>
      </c>
      <c r="AH482" t="str">
        <f ca="1"/>
        <v>20W50</v>
      </c>
      <c r="AI482" t="str">
        <f ca="1"/>
        <v>3000</v>
      </c>
      <c r="AJ482">
        <f ca="1"/>
        <v>0</v>
      </c>
      <c r="AK482" t="str">
        <f ca="1"/>
        <v>20x1L</v>
      </c>
      <c r="AL482">
        <f ca="1"/>
        <v>36492</v>
      </c>
      <c r="AM482">
        <f ca="1"/>
        <v>2638.434782608696</v>
      </c>
      <c r="AN482" t="str">
        <f ca="1"/>
        <v>O-45754-D-0030</v>
      </c>
      <c r="AO482" t="str">
        <f ca="1"/>
        <v>Delivered</v>
      </c>
    </row>
    <row r="483" spans="1:41" x14ac:dyDescent="0.5">
      <c r="A483" t="str">
        <f ca="1"/>
        <v>F-228</v>
      </c>
      <c r="B483" s="1">
        <f ca="1"/>
        <v>45756</v>
      </c>
      <c r="C483" t="str">
        <f ca="1"/>
        <v>D-0001</v>
      </c>
      <c r="D483" t="str">
        <f ca="1"/>
        <v xml:space="preserve">M/S Hasan traders </v>
      </c>
      <c r="E483" t="str">
        <f ca="1"/>
        <v>pangsha</v>
      </c>
      <c r="F483">
        <f ca="1"/>
        <v>1711154387</v>
      </c>
      <c r="G483" t="str">
        <f ca="1"/>
        <v>Md.Mahfuzur Rahman</v>
      </c>
      <c r="H483" t="str">
        <f ca="1"/>
        <v>Abdul Matin</v>
      </c>
      <c r="I483" t="str">
        <f ca="1"/>
        <v>M/S Hasan Traders</v>
      </c>
      <c r="J483" t="str">
        <f ca="1"/>
        <v>Pangsha</v>
      </c>
      <c r="K483" t="str">
        <f ca="1"/>
        <v>LO00041</v>
      </c>
      <c r="L483" t="str">
        <f ca="1"/>
        <v>3000 4T PLUS 10W30</v>
      </c>
      <c r="M483">
        <f ca="1"/>
        <v>400</v>
      </c>
      <c r="N483">
        <f ca="1"/>
        <v>520</v>
      </c>
      <c r="O483">
        <f ca="1"/>
        <v>400</v>
      </c>
      <c r="P483">
        <f ca="1"/>
        <v>0</v>
      </c>
      <c r="Q483">
        <f ca="1"/>
        <v>0</v>
      </c>
      <c r="R483">
        <f ca="1"/>
        <v>520</v>
      </c>
      <c r="S483">
        <f ca="1"/>
        <v>400</v>
      </c>
      <c r="T483">
        <f ca="1"/>
        <v>400</v>
      </c>
      <c r="U483">
        <f ca="1"/>
        <v>208000</v>
      </c>
      <c r="V483">
        <f ca="1"/>
        <v>0</v>
      </c>
      <c r="W483">
        <f ca="1"/>
        <v>208000</v>
      </c>
      <c r="X483">
        <f ca="1"/>
        <v>27130.434782608696</v>
      </c>
      <c r="Y483">
        <f ca="1"/>
        <v>180869.5652173913</v>
      </c>
      <c r="Z483" t="str">
        <f ca="1"/>
        <v>Cash</v>
      </c>
      <c r="AA483">
        <f ca="1"/>
        <v>692</v>
      </c>
      <c r="AB483" t="str">
        <f ca="1"/>
        <v>Flat Discount</v>
      </c>
      <c r="AC483">
        <f ca="1"/>
        <v>45756</v>
      </c>
      <c r="AD483" t="str">
        <f ca="1"/>
        <v/>
      </c>
      <c r="AE483" t="str">
        <f ca="1"/>
        <v>Central</v>
      </c>
      <c r="AF483" t="str">
        <f ca="1"/>
        <v>Mineral</v>
      </c>
      <c r="AG483" t="str">
        <f ca="1"/>
        <v>MCO</v>
      </c>
      <c r="AH483" t="str">
        <f ca="1"/>
        <v>10W30</v>
      </c>
      <c r="AI483" t="str">
        <f ca="1"/>
        <v>3000</v>
      </c>
      <c r="AJ483">
        <f ca="1"/>
        <v>0</v>
      </c>
      <c r="AK483" t="str">
        <f ca="1"/>
        <v>20x1L</v>
      </c>
      <c r="AL483">
        <f ca="1"/>
        <v>151732</v>
      </c>
      <c r="AM483">
        <f ca="1"/>
        <v>29137.565217391297</v>
      </c>
      <c r="AN483" t="str">
        <f ca="1"/>
        <v>O-45756-D-0001</v>
      </c>
      <c r="AO483" t="str">
        <f ca="1"/>
        <v>Delivered</v>
      </c>
    </row>
    <row r="484" spans="1:41" x14ac:dyDescent="0.5">
      <c r="A484" t="str">
        <f ca="1"/>
        <v>F-228</v>
      </c>
      <c r="B484" s="1">
        <f ca="1"/>
        <v>45756</v>
      </c>
      <c r="C484" t="str">
        <f ca="1"/>
        <v>D-0001</v>
      </c>
      <c r="D484" t="str">
        <f ca="1"/>
        <v xml:space="preserve">M/S Hasan traders </v>
      </c>
      <c r="E484" t="str">
        <f ca="1"/>
        <v>pangsha</v>
      </c>
      <c r="F484">
        <f ca="1"/>
        <v>1711154387</v>
      </c>
      <c r="G484" t="str">
        <f ca="1"/>
        <v>Md.Mahfuzur Rahman</v>
      </c>
      <c r="H484" t="str">
        <f ca="1"/>
        <v>Abdul Matin</v>
      </c>
      <c r="I484" t="str">
        <f ca="1"/>
        <v>M/S Hasan Traders</v>
      </c>
      <c r="J484" t="str">
        <f ca="1"/>
        <v>Pangsha</v>
      </c>
      <c r="K484" t="str">
        <f ca="1"/>
        <v>LO00042</v>
      </c>
      <c r="L484" t="str">
        <f ca="1"/>
        <v>3000 4T PLUS 20W40</v>
      </c>
      <c r="M484">
        <f ca="1"/>
        <v>200</v>
      </c>
      <c r="N484">
        <f ca="1"/>
        <v>520</v>
      </c>
      <c r="O484">
        <f ca="1"/>
        <v>200</v>
      </c>
      <c r="P484">
        <f ca="1"/>
        <v>0</v>
      </c>
      <c r="Q484">
        <f ca="1"/>
        <v>0</v>
      </c>
      <c r="R484">
        <f ca="1"/>
        <v>520</v>
      </c>
      <c r="S484">
        <f ca="1"/>
        <v>200</v>
      </c>
      <c r="T484">
        <f ca="1"/>
        <v>200</v>
      </c>
      <c r="U484">
        <f ca="1"/>
        <v>104000</v>
      </c>
      <c r="V484">
        <f ca="1"/>
        <v>0</v>
      </c>
      <c r="W484">
        <f ca="1"/>
        <v>104000</v>
      </c>
      <c r="X484">
        <f ca="1"/>
        <v>13565.217391304348</v>
      </c>
      <c r="Y484">
        <f ca="1"/>
        <v>90434.782608695648</v>
      </c>
      <c r="Z484" t="str">
        <f ca="1"/>
        <v>Cash</v>
      </c>
      <c r="AA484">
        <f ca="1"/>
        <v>692</v>
      </c>
      <c r="AB484" t="str">
        <f ca="1"/>
        <v>Flat Discount</v>
      </c>
      <c r="AC484">
        <f ca="1"/>
        <v>45756</v>
      </c>
      <c r="AD484" t="str">
        <f ca="1"/>
        <v/>
      </c>
      <c r="AE484" t="str">
        <f ca="1"/>
        <v>Central</v>
      </c>
      <c r="AF484" t="str">
        <f ca="1"/>
        <v>Mineral</v>
      </c>
      <c r="AG484" t="str">
        <f ca="1"/>
        <v>MCO</v>
      </c>
      <c r="AH484" t="str">
        <f ca="1"/>
        <v>20W40</v>
      </c>
      <c r="AI484" t="str">
        <f ca="1"/>
        <v>3000</v>
      </c>
      <c r="AJ484">
        <f ca="1"/>
        <v>0</v>
      </c>
      <c r="AK484" t="str">
        <f ca="1"/>
        <v>20x1L</v>
      </c>
      <c r="AL484">
        <f ca="1"/>
        <v>82552</v>
      </c>
      <c r="AM484">
        <f ca="1"/>
        <v>7882.7826086956484</v>
      </c>
      <c r="AN484" t="str">
        <f ca="1"/>
        <v>O-45756-D-0001</v>
      </c>
      <c r="AO484" t="str">
        <f ca="1"/>
        <v>Delivered</v>
      </c>
    </row>
    <row r="485" spans="1:41" x14ac:dyDescent="0.5">
      <c r="A485" t="str">
        <f ca="1"/>
        <v>F-228</v>
      </c>
      <c r="B485" s="1">
        <f ca="1"/>
        <v>45756</v>
      </c>
      <c r="C485" t="str">
        <f ca="1"/>
        <v>D-0001</v>
      </c>
      <c r="D485" t="str">
        <f ca="1"/>
        <v xml:space="preserve">M/S Hasan traders </v>
      </c>
      <c r="E485" t="str">
        <f ca="1"/>
        <v>pangsha</v>
      </c>
      <c r="F485">
        <f ca="1"/>
        <v>1711154387</v>
      </c>
      <c r="G485" t="str">
        <f ca="1"/>
        <v>Md.Mahfuzur Rahman</v>
      </c>
      <c r="H485" t="str">
        <f ca="1"/>
        <v>Abdul Matin</v>
      </c>
      <c r="I485" t="str">
        <f ca="1"/>
        <v>M/S Hasan Traders</v>
      </c>
      <c r="J485" t="str">
        <f ca="1"/>
        <v>Pangsha</v>
      </c>
      <c r="K485" t="str">
        <f ca="1"/>
        <v>LO00043</v>
      </c>
      <c r="L485" t="str">
        <f ca="1"/>
        <v>3000 4T PLUS 10W40</v>
      </c>
      <c r="M485">
        <f ca="1"/>
        <v>800</v>
      </c>
      <c r="N485">
        <f ca="1"/>
        <v>520</v>
      </c>
      <c r="O485">
        <f ca="1"/>
        <v>800</v>
      </c>
      <c r="P485">
        <f ca="1"/>
        <v>0</v>
      </c>
      <c r="Q485">
        <f ca="1"/>
        <v>0</v>
      </c>
      <c r="R485">
        <f ca="1"/>
        <v>520</v>
      </c>
      <c r="S485">
        <f ca="1"/>
        <v>800</v>
      </c>
      <c r="T485">
        <f ca="1"/>
        <v>800</v>
      </c>
      <c r="U485">
        <f ca="1"/>
        <v>416000</v>
      </c>
      <c r="V485">
        <f ca="1"/>
        <v>0</v>
      </c>
      <c r="W485">
        <f ca="1"/>
        <v>416000</v>
      </c>
      <c r="X485">
        <f ca="1"/>
        <v>54260.869565217392</v>
      </c>
      <c r="Y485">
        <f ca="1"/>
        <v>361739.13043478259</v>
      </c>
      <c r="Z485" t="str">
        <f ca="1"/>
        <v>Cash</v>
      </c>
      <c r="AA485">
        <f ca="1"/>
        <v>692</v>
      </c>
      <c r="AB485" t="str">
        <f ca="1"/>
        <v>Flat Discount</v>
      </c>
      <c r="AC485">
        <f ca="1"/>
        <v>45756</v>
      </c>
      <c r="AD485" t="str">
        <f ca="1"/>
        <v/>
      </c>
      <c r="AE485" t="str">
        <f ca="1"/>
        <v>Central</v>
      </c>
      <c r="AF485" t="str">
        <f ca="1"/>
        <v>Mineral</v>
      </c>
      <c r="AG485" t="str">
        <f ca="1"/>
        <v>MCO</v>
      </c>
      <c r="AH485" t="str">
        <f ca="1"/>
        <v>10W40</v>
      </c>
      <c r="AI485" t="str">
        <f ca="1"/>
        <v>3000</v>
      </c>
      <c r="AJ485">
        <f ca="1"/>
        <v>0</v>
      </c>
      <c r="AK485" t="str">
        <f ca="1"/>
        <v>20x1L</v>
      </c>
      <c r="AL485">
        <f ca="1"/>
        <v>307880</v>
      </c>
      <c r="AM485">
        <f ca="1"/>
        <v>53859.130434782594</v>
      </c>
      <c r="AN485" t="str">
        <f ca="1"/>
        <v>O-45756-D-0001</v>
      </c>
      <c r="AO485" t="str">
        <f ca="1"/>
        <v>Delivered</v>
      </c>
    </row>
    <row r="486" spans="1:41" x14ac:dyDescent="0.5">
      <c r="A486" t="str">
        <f ca="1"/>
        <v>F-228</v>
      </c>
      <c r="B486" s="1">
        <f ca="1"/>
        <v>45756</v>
      </c>
      <c r="C486" t="str">
        <f ca="1"/>
        <v>D-0001</v>
      </c>
      <c r="D486" t="str">
        <f ca="1"/>
        <v xml:space="preserve">M/S Hasan traders </v>
      </c>
      <c r="E486" t="str">
        <f ca="1"/>
        <v>pangsha</v>
      </c>
      <c r="F486">
        <f ca="1"/>
        <v>1711154387</v>
      </c>
      <c r="G486" t="str">
        <f ca="1"/>
        <v>Md.Mahfuzur Rahman</v>
      </c>
      <c r="H486" t="str">
        <f ca="1"/>
        <v>Abdul Matin</v>
      </c>
      <c r="I486" t="str">
        <f ca="1"/>
        <v>M/S Hasan Traders</v>
      </c>
      <c r="J486" t="str">
        <f ca="1"/>
        <v>Pangsha</v>
      </c>
      <c r="K486" t="str">
        <f ca="1"/>
        <v>LO00096</v>
      </c>
      <c r="L486" t="str">
        <f ca="1"/>
        <v>3000 4T PLUS 20W40</v>
      </c>
      <c r="M486">
        <f ca="1"/>
        <v>387</v>
      </c>
      <c r="N486">
        <f ca="1"/>
        <v>630</v>
      </c>
      <c r="O486">
        <f ca="1"/>
        <v>464.4</v>
      </c>
      <c r="P486">
        <f ca="1"/>
        <v>0</v>
      </c>
      <c r="Q486">
        <f ca="1"/>
        <v>0</v>
      </c>
      <c r="R486">
        <f ca="1"/>
        <v>630</v>
      </c>
      <c r="S486">
        <f ca="1"/>
        <v>387</v>
      </c>
      <c r="T486">
        <f ca="1"/>
        <v>464.4</v>
      </c>
      <c r="U486">
        <f ca="1"/>
        <v>243810</v>
      </c>
      <c r="V486">
        <f ca="1"/>
        <v>0</v>
      </c>
      <c r="W486">
        <f ca="1"/>
        <v>243810</v>
      </c>
      <c r="X486">
        <f ca="1"/>
        <v>31801.304347826088</v>
      </c>
      <c r="Y486">
        <f ca="1"/>
        <v>212008.69565217392</v>
      </c>
      <c r="Z486" t="str">
        <f ca="1"/>
        <v>Cash</v>
      </c>
      <c r="AA486">
        <f ca="1"/>
        <v>692</v>
      </c>
      <c r="AB486" t="str">
        <f ca="1"/>
        <v>Flat Discount</v>
      </c>
      <c r="AC486">
        <f ca="1"/>
        <v>45756</v>
      </c>
      <c r="AD486" t="str">
        <f ca="1"/>
        <v/>
      </c>
      <c r="AE486" t="str">
        <f ca="1"/>
        <v>Central</v>
      </c>
      <c r="AF486" t="str">
        <f ca="1"/>
        <v>Mineral</v>
      </c>
      <c r="AG486" t="str">
        <f ca="1"/>
        <v>MCO</v>
      </c>
      <c r="AH486" t="str">
        <f ca="1"/>
        <v>20W40</v>
      </c>
      <c r="AI486" t="str">
        <f ca="1"/>
        <v>3000</v>
      </c>
      <c r="AJ486">
        <f ca="1"/>
        <v>0</v>
      </c>
      <c r="AK486" t="str">
        <f ca="1"/>
        <v>20x1.2L</v>
      </c>
      <c r="AL486">
        <f ca="1"/>
        <v>181850.44680068595</v>
      </c>
      <c r="AM486">
        <f ca="1"/>
        <v>30158.248851487966</v>
      </c>
      <c r="AN486" t="str">
        <f ca="1"/>
        <v>O-45756-D-0001</v>
      </c>
      <c r="AO486" t="str">
        <f ca="1"/>
        <v>Delivered</v>
      </c>
    </row>
    <row r="487" spans="1:41" x14ac:dyDescent="0.5">
      <c r="A487" t="str">
        <f ca="1"/>
        <v>F-228</v>
      </c>
      <c r="B487" s="1">
        <f ca="1"/>
        <v>45756</v>
      </c>
      <c r="C487" t="str">
        <f ca="1"/>
        <v>D-0001</v>
      </c>
      <c r="D487" t="str">
        <f ca="1"/>
        <v xml:space="preserve">M/S Hasan traders </v>
      </c>
      <c r="E487" t="str">
        <f ca="1"/>
        <v>pangsha</v>
      </c>
      <c r="F487">
        <f ca="1"/>
        <v>1711154387</v>
      </c>
      <c r="G487" t="str">
        <f ca="1"/>
        <v>Md.Mahfuzur Rahman</v>
      </c>
      <c r="H487" t="str">
        <f ca="1"/>
        <v>Abdul Matin</v>
      </c>
      <c r="I487" t="str">
        <f ca="1"/>
        <v>M/S Hasan Traders</v>
      </c>
      <c r="J487" t="str">
        <f ca="1"/>
        <v>Pangsha</v>
      </c>
      <c r="K487" t="str">
        <f ca="1"/>
        <v>LO00044</v>
      </c>
      <c r="L487" t="str">
        <f ca="1"/>
        <v>31004T GOLD 20W50</v>
      </c>
      <c r="M487">
        <f ca="1"/>
        <v>200</v>
      </c>
      <c r="N487">
        <f ca="1"/>
        <v>570</v>
      </c>
      <c r="O487">
        <f ca="1"/>
        <v>200</v>
      </c>
      <c r="P487">
        <f ca="1"/>
        <v>0</v>
      </c>
      <c r="Q487">
        <f ca="1"/>
        <v>0</v>
      </c>
      <c r="R487">
        <f ca="1"/>
        <v>570</v>
      </c>
      <c r="S487">
        <f ca="1"/>
        <v>200</v>
      </c>
      <c r="T487">
        <f ca="1"/>
        <v>200</v>
      </c>
      <c r="U487">
        <f ca="1"/>
        <v>114000</v>
      </c>
      <c r="V487">
        <f ca="1"/>
        <v>0</v>
      </c>
      <c r="W487">
        <f ca="1"/>
        <v>114000</v>
      </c>
      <c r="X487">
        <f ca="1"/>
        <v>14869.565217391304</v>
      </c>
      <c r="Y487">
        <f ca="1"/>
        <v>99130.434782608689</v>
      </c>
      <c r="Z487" t="str">
        <f ca="1"/>
        <v>Cash</v>
      </c>
      <c r="AA487">
        <f ca="1"/>
        <v>692</v>
      </c>
      <c r="AB487" t="str">
        <f ca="1"/>
        <v>Flat Discount</v>
      </c>
      <c r="AC487">
        <f ca="1"/>
        <v>45756</v>
      </c>
      <c r="AD487" t="str">
        <f ca="1"/>
        <v/>
      </c>
      <c r="AE487" t="str">
        <f ca="1"/>
        <v>Central</v>
      </c>
      <c r="AF487" t="str">
        <f ca="1"/>
        <v>Technosynthese</v>
      </c>
      <c r="AG487" t="str">
        <f ca="1"/>
        <v>MCO</v>
      </c>
      <c r="AH487" t="str">
        <f ca="1"/>
        <v>20W50</v>
      </c>
      <c r="AI487" t="str">
        <f ca="1"/>
        <v>3100</v>
      </c>
      <c r="AJ487">
        <f ca="1"/>
        <v>0</v>
      </c>
      <c r="AK487" t="str">
        <f ca="1"/>
        <v>20x1L</v>
      </c>
      <c r="AL487">
        <f ca="1"/>
        <v>93878</v>
      </c>
      <c r="AM487">
        <f ca="1"/>
        <v>5252.4347826086887</v>
      </c>
      <c r="AN487" t="str">
        <f ca="1"/>
        <v>O-45756-D-0001</v>
      </c>
      <c r="AO487" t="str">
        <f ca="1"/>
        <v>Delivered</v>
      </c>
    </row>
    <row r="488" spans="1:41" x14ac:dyDescent="0.5">
      <c r="A488" t="str">
        <f ca="1"/>
        <v>F-228</v>
      </c>
      <c r="B488" s="1">
        <f ca="1"/>
        <v>45756</v>
      </c>
      <c r="C488" t="str">
        <f ca="1"/>
        <v>D-0001</v>
      </c>
      <c r="D488" t="str">
        <f ca="1"/>
        <v xml:space="preserve">M/S Hasan traders </v>
      </c>
      <c r="E488" t="str">
        <f ca="1"/>
        <v>pangsha</v>
      </c>
      <c r="F488">
        <f ca="1"/>
        <v>1711154387</v>
      </c>
      <c r="G488" t="str">
        <f ca="1"/>
        <v>Md.Mahfuzur Rahman</v>
      </c>
      <c r="H488" t="str">
        <f ca="1"/>
        <v>Abdul Matin</v>
      </c>
      <c r="I488" t="str">
        <f ca="1"/>
        <v>M/S Hasan Traders</v>
      </c>
      <c r="J488" t="str">
        <f ca="1"/>
        <v>Pangsha</v>
      </c>
      <c r="K488" t="str">
        <f ca="1"/>
        <v>LO00074</v>
      </c>
      <c r="L488" t="str">
        <f ca="1"/>
        <v>7100 4T 10W30 ESTER CORE®</v>
      </c>
      <c r="M488">
        <f ca="1"/>
        <v>60</v>
      </c>
      <c r="N488">
        <f ca="1"/>
        <v>1040</v>
      </c>
      <c r="O488">
        <f ca="1"/>
        <v>60</v>
      </c>
      <c r="P488">
        <f ca="1"/>
        <v>0</v>
      </c>
      <c r="Q488">
        <f ca="1"/>
        <v>0</v>
      </c>
      <c r="R488">
        <f ca="1"/>
        <v>1040</v>
      </c>
      <c r="S488">
        <f ca="1"/>
        <v>60</v>
      </c>
      <c r="T488">
        <f ca="1"/>
        <v>60</v>
      </c>
      <c r="U488">
        <f ca="1"/>
        <v>62400</v>
      </c>
      <c r="V488">
        <f ca="1"/>
        <v>0</v>
      </c>
      <c r="W488">
        <f ca="1"/>
        <v>62400</v>
      </c>
      <c r="X488">
        <f ca="1"/>
        <v>8139.130434782609</v>
      </c>
      <c r="Y488">
        <f ca="1"/>
        <v>54260.869565217392</v>
      </c>
      <c r="Z488" t="str">
        <f ca="1"/>
        <v>Cash</v>
      </c>
      <c r="AA488">
        <f ca="1"/>
        <v>692</v>
      </c>
      <c r="AB488" t="str">
        <f ca="1"/>
        <v>Flat Discount</v>
      </c>
      <c r="AC488">
        <f ca="1"/>
        <v>45756</v>
      </c>
      <c r="AD488" t="str">
        <f ca="1"/>
        <v/>
      </c>
      <c r="AE488" t="str">
        <f ca="1"/>
        <v>Central</v>
      </c>
      <c r="AF488" t="str">
        <f ca="1"/>
        <v>Synthetic</v>
      </c>
      <c r="AG488" t="str">
        <f ca="1"/>
        <v>MCO</v>
      </c>
      <c r="AH488" t="str">
        <f ca="1"/>
        <v>10W30</v>
      </c>
      <c r="AI488" t="str">
        <f ca="1"/>
        <v>7100</v>
      </c>
      <c r="AJ488">
        <f ca="1"/>
        <v>0</v>
      </c>
      <c r="AK488" t="str">
        <f ca="1"/>
        <v>12x1L</v>
      </c>
      <c r="AL488">
        <f ca="1"/>
        <v>41391.599999999999</v>
      </c>
      <c r="AM488">
        <f ca="1"/>
        <v>12869.269565217393</v>
      </c>
      <c r="AN488" t="str">
        <f ca="1"/>
        <v>O-45756-D-0001</v>
      </c>
      <c r="AO488" t="str">
        <f ca="1"/>
        <v>Delivered</v>
      </c>
    </row>
    <row r="489" spans="1:41" x14ac:dyDescent="0.5">
      <c r="A489" t="str">
        <f ca="1"/>
        <v>F-228</v>
      </c>
      <c r="B489" s="1">
        <f ca="1"/>
        <v>45756</v>
      </c>
      <c r="C489" t="str">
        <f ca="1"/>
        <v>D-0001</v>
      </c>
      <c r="D489" t="str">
        <f ca="1"/>
        <v xml:space="preserve">M/S Hasan traders </v>
      </c>
      <c r="E489" t="str">
        <f ca="1"/>
        <v>pangsha</v>
      </c>
      <c r="F489">
        <f ca="1"/>
        <v>1711154387</v>
      </c>
      <c r="G489" t="str">
        <f ca="1"/>
        <v>Md.Mahfuzur Rahman</v>
      </c>
      <c r="H489" t="str">
        <f ca="1"/>
        <v>Abdul Matin</v>
      </c>
      <c r="I489" t="str">
        <f ca="1"/>
        <v>M/S Hasan Traders</v>
      </c>
      <c r="J489" t="str">
        <f ca="1"/>
        <v>Pangsha</v>
      </c>
      <c r="K489" t="str">
        <f ca="1"/>
        <v>LO00048</v>
      </c>
      <c r="L489" t="str">
        <f ca="1"/>
        <v>7100 4T 20W50 ESTER CORE®</v>
      </c>
      <c r="M489">
        <f ca="1"/>
        <v>60</v>
      </c>
      <c r="N489">
        <f ca="1"/>
        <v>1040</v>
      </c>
      <c r="O489">
        <f ca="1"/>
        <v>60</v>
      </c>
      <c r="P489">
        <f ca="1"/>
        <v>0</v>
      </c>
      <c r="Q489">
        <f ca="1"/>
        <v>0</v>
      </c>
      <c r="R489">
        <f ca="1"/>
        <v>1040</v>
      </c>
      <c r="S489">
        <f ca="1"/>
        <v>60</v>
      </c>
      <c r="T489">
        <f ca="1"/>
        <v>60</v>
      </c>
      <c r="U489">
        <f ca="1"/>
        <v>62400</v>
      </c>
      <c r="V489">
        <f ca="1"/>
        <v>0</v>
      </c>
      <c r="W489">
        <f ca="1"/>
        <v>62400</v>
      </c>
      <c r="X489">
        <f ca="1"/>
        <v>8139.130434782609</v>
      </c>
      <c r="Y489">
        <f ca="1"/>
        <v>54260.869565217392</v>
      </c>
      <c r="Z489" t="str">
        <f ca="1"/>
        <v>Cash</v>
      </c>
      <c r="AA489">
        <f ca="1"/>
        <v>692</v>
      </c>
      <c r="AB489" t="str">
        <f ca="1"/>
        <v>Flat Discount</v>
      </c>
      <c r="AC489">
        <f ca="1"/>
        <v>45756</v>
      </c>
      <c r="AD489" t="str">
        <f ca="1"/>
        <v/>
      </c>
      <c r="AE489" t="str">
        <f ca="1"/>
        <v>Central</v>
      </c>
      <c r="AF489" t="str">
        <f ca="1"/>
        <v>Synthetic</v>
      </c>
      <c r="AG489" t="str">
        <f ca="1"/>
        <v>MCO</v>
      </c>
      <c r="AH489" t="str">
        <f ca="1"/>
        <v>20W50</v>
      </c>
      <c r="AI489" t="str">
        <f ca="1"/>
        <v>7100</v>
      </c>
      <c r="AJ489">
        <f ca="1"/>
        <v>0</v>
      </c>
      <c r="AK489" t="str">
        <f ca="1"/>
        <v>12x1L</v>
      </c>
      <c r="AL489">
        <f ca="1"/>
        <v>45821.904000000002</v>
      </c>
      <c r="AM489">
        <f ca="1"/>
        <v>8438.9655652173897</v>
      </c>
      <c r="AN489" t="str">
        <f ca="1"/>
        <v>O-45756-D-0001</v>
      </c>
      <c r="AO489" t="str">
        <f ca="1"/>
        <v>Delivered</v>
      </c>
    </row>
    <row r="490" spans="1:41" x14ac:dyDescent="0.5">
      <c r="A490" t="str">
        <f ca="1"/>
        <v>F-229</v>
      </c>
      <c r="B490" s="1">
        <f ca="1"/>
        <v>45756</v>
      </c>
      <c r="C490" t="str">
        <f ca="1"/>
        <v>D-0025</v>
      </c>
      <c r="D490" t="str">
        <f ca="1"/>
        <v>Noman</v>
      </c>
      <c r="E490" t="str">
        <f ca="1"/>
        <v/>
      </c>
      <c r="F490" t="str">
        <f ca="1"/>
        <v/>
      </c>
      <c r="G490" t="str">
        <f ca="1"/>
        <v>Captive Sales</v>
      </c>
      <c r="H490" t="str">
        <f ca="1"/>
        <v>Captive Sales</v>
      </c>
      <c r="I490" t="str">
        <f ca="1"/>
        <v>Rancon Motor Bikes Ltd</v>
      </c>
      <c r="J490" t="str">
        <f ca="1"/>
        <v>Dhaka</v>
      </c>
      <c r="K490" t="str">
        <f ca="1"/>
        <v>LO00119</v>
      </c>
      <c r="L490" t="str">
        <f ca="1"/>
        <v>3000 4T 20W50</v>
      </c>
      <c r="M490">
        <f ca="1"/>
        <v>20</v>
      </c>
      <c r="N490">
        <f ca="1"/>
        <v>495</v>
      </c>
      <c r="O490">
        <f ca="1"/>
        <v>20</v>
      </c>
      <c r="P490">
        <f ca="1"/>
        <v>1</v>
      </c>
      <c r="Q490">
        <f ca="1"/>
        <v>0</v>
      </c>
      <c r="R490">
        <f ca="1"/>
        <v>1.0000000000000001E-18</v>
      </c>
      <c r="S490">
        <f ca="1"/>
        <v>20</v>
      </c>
      <c r="T490">
        <f ca="1"/>
        <v>20</v>
      </c>
      <c r="U490">
        <f ca="1"/>
        <v>9900</v>
      </c>
      <c r="V490">
        <f ca="1"/>
        <v>0</v>
      </c>
      <c r="W490">
        <f ca="1"/>
        <v>2.0000000000000001E-17</v>
      </c>
      <c r="X490">
        <f ca="1"/>
        <v>2.6086956521739134E-18</v>
      </c>
      <c r="Y490">
        <f ca="1"/>
        <v>1.7391304347826087E-17</v>
      </c>
      <c r="Z490" t="str">
        <f ca="1"/>
        <v>Cash</v>
      </c>
      <c r="AA490" t="str">
        <f ca="1"/>
        <v/>
      </c>
      <c r="AB490" t="str">
        <f ca="1"/>
        <v>Custom</v>
      </c>
      <c r="AC490" t="str">
        <f ca="1"/>
        <v/>
      </c>
      <c r="AD490" t="str">
        <f ca="1"/>
        <v>Free of cost (Sample)</v>
      </c>
      <c r="AE490" t="str">
        <f ca="1"/>
        <v>Captive Sales</v>
      </c>
      <c r="AF490" t="str">
        <f ca="1"/>
        <v>Mineral</v>
      </c>
      <c r="AG490" t="str">
        <f ca="1"/>
        <v>MCO</v>
      </c>
      <c r="AH490" t="str">
        <f ca="1"/>
        <v>20W50</v>
      </c>
      <c r="AI490" t="str">
        <f ca="1"/>
        <v>3000</v>
      </c>
      <c r="AJ490">
        <f ca="1"/>
        <v>0</v>
      </c>
      <c r="AK490" t="str">
        <f ca="1"/>
        <v>20x1L</v>
      </c>
      <c r="AL490">
        <f ca="1"/>
        <v>7298.4000000000005</v>
      </c>
      <c r="AM490">
        <f ca="1"/>
        <v>-7298.4000000000005</v>
      </c>
      <c r="AN490" t="str">
        <f ca="1"/>
        <v>O-45756-D-0025</v>
      </c>
      <c r="AO490" t="str">
        <f ca="1"/>
        <v>Delivered</v>
      </c>
    </row>
    <row r="491" spans="1:41" x14ac:dyDescent="0.5">
      <c r="A491" t="str">
        <f ca="1"/>
        <v>Fd-230</v>
      </c>
      <c r="B491" s="1">
        <f ca="1"/>
        <v>45762</v>
      </c>
      <c r="C491" t="str">
        <f ca="1"/>
        <v>D-0015</v>
      </c>
      <c r="D491" t="str">
        <f ca="1"/>
        <v>MK Trading</v>
      </c>
      <c r="E491" t="str">
        <f ca="1"/>
        <v/>
      </c>
      <c r="F491" t="str">
        <f ca="1"/>
        <v/>
      </c>
      <c r="G491" t="str">
        <f ca="1"/>
        <v>Mahamudul Hasan Milon</v>
      </c>
      <c r="H491" t="str">
        <f ca="1"/>
        <v>Abdul Matin</v>
      </c>
      <c r="I491" t="str">
        <f ca="1"/>
        <v>MK Trading Corporation</v>
      </c>
      <c r="J491" t="str">
        <f ca="1"/>
        <v xml:space="preserve">Wari </v>
      </c>
      <c r="K491" t="str">
        <f ca="1"/>
        <v>LO00043</v>
      </c>
      <c r="L491" t="str">
        <f ca="1"/>
        <v>3000 4T PLUS 10W40</v>
      </c>
      <c r="M491">
        <f ca="1"/>
        <v>2870</v>
      </c>
      <c r="N491">
        <f ca="1"/>
        <v>550</v>
      </c>
      <c r="O491">
        <f ca="1"/>
        <v>2870</v>
      </c>
      <c r="P491">
        <f ca="1"/>
        <v>0.63636363636363635</v>
      </c>
      <c r="Q491">
        <f ca="1"/>
        <v>0</v>
      </c>
      <c r="R491">
        <f ca="1"/>
        <v>200</v>
      </c>
      <c r="S491">
        <f ca="1"/>
        <v>2870</v>
      </c>
      <c r="T491">
        <f ca="1"/>
        <v>2870</v>
      </c>
      <c r="U491">
        <f ca="1"/>
        <v>1578500</v>
      </c>
      <c r="V491">
        <f ca="1"/>
        <v>0</v>
      </c>
      <c r="W491">
        <f ca="1"/>
        <v>574000</v>
      </c>
      <c r="X491">
        <f ca="1"/>
        <v>74869.565217391311</v>
      </c>
      <c r="Y491">
        <f ca="1"/>
        <v>499130.4347826087</v>
      </c>
      <c r="Z491" t="str">
        <f ca="1"/>
        <v>Cash</v>
      </c>
      <c r="AA491" t="str">
        <f ca="1"/>
        <v/>
      </c>
      <c r="AB491" t="str">
        <f ca="1"/>
        <v>Custom</v>
      </c>
      <c r="AC491">
        <f ca="1"/>
        <v>45762</v>
      </c>
      <c r="AD491" t="str">
        <f ca="1"/>
        <v>Damaged Products</v>
      </c>
      <c r="AE491" t="str">
        <f ca="1"/>
        <v>Central</v>
      </c>
      <c r="AF491" t="str">
        <f ca="1"/>
        <v>Mineral</v>
      </c>
      <c r="AG491" t="str">
        <f ca="1"/>
        <v>MCO</v>
      </c>
      <c r="AH491" t="str">
        <f ca="1"/>
        <v>10W40</v>
      </c>
      <c r="AI491" t="str">
        <f ca="1"/>
        <v>3000</v>
      </c>
      <c r="AJ491">
        <f ca="1"/>
        <v>0</v>
      </c>
      <c r="AK491" t="str">
        <f ca="1"/>
        <v>20x1L</v>
      </c>
      <c r="AL491">
        <f ca="1"/>
        <v>1104519.5</v>
      </c>
      <c r="AM491">
        <f ca="1"/>
        <v>-605389.06521739135</v>
      </c>
      <c r="AN491" t="str">
        <f ca="1"/>
        <v>O-45762-D-0015</v>
      </c>
      <c r="AO491" t="str">
        <f ca="1"/>
        <v>DMG-Sold</v>
      </c>
    </row>
    <row r="492" spans="1:41" x14ac:dyDescent="0.5">
      <c r="A492" t="str">
        <f ca="1"/>
        <v>F-231</v>
      </c>
      <c r="B492" s="1">
        <f ca="1"/>
        <v>45757</v>
      </c>
      <c r="C492" t="str">
        <f ca="1"/>
        <v>D-0003</v>
      </c>
      <c r="D492" t="str">
        <f ca="1"/>
        <v>Bismillah Servicing &amp; Auto Parts</v>
      </c>
      <c r="E492" t="str">
        <f ca="1"/>
        <v>Kaoutoli, Brahmanbaria</v>
      </c>
      <c r="F492" t="str">
        <f ca="1"/>
        <v>+88001727-251558</v>
      </c>
      <c r="G492" t="str">
        <f ca="1"/>
        <v>Md. Robin Sheikh</v>
      </c>
      <c r="H492" t="str">
        <f ca="1"/>
        <v>Razur Rahman (Bipul)</v>
      </c>
      <c r="I492" t="str">
        <f ca="1"/>
        <v>Bajaj Parts Center</v>
      </c>
      <c r="J492" t="str">
        <f ca="1"/>
        <v>Taltola</v>
      </c>
      <c r="K492" t="str">
        <f ca="1"/>
        <v>LO00042</v>
      </c>
      <c r="L492" t="str">
        <f ca="1"/>
        <v>3000 4T PLUS 20W40</v>
      </c>
      <c r="M492">
        <f ca="1"/>
        <v>80</v>
      </c>
      <c r="N492">
        <f ca="1"/>
        <v>535</v>
      </c>
      <c r="O492">
        <f ca="1"/>
        <v>80</v>
      </c>
      <c r="P492">
        <f ca="1"/>
        <v>0</v>
      </c>
      <c r="Q492">
        <f ca="1"/>
        <v>0</v>
      </c>
      <c r="R492">
        <f ca="1"/>
        <v>535</v>
      </c>
      <c r="S492">
        <f ca="1"/>
        <v>80</v>
      </c>
      <c r="T492">
        <f ca="1"/>
        <v>80</v>
      </c>
      <c r="U492">
        <f ca="1"/>
        <v>42800</v>
      </c>
      <c r="V492">
        <f ca="1"/>
        <v>0</v>
      </c>
      <c r="W492">
        <f ca="1"/>
        <v>42800</v>
      </c>
      <c r="X492">
        <f ca="1"/>
        <v>5582.608695652174</v>
      </c>
      <c r="Y492">
        <f ca="1"/>
        <v>37217.391304347824</v>
      </c>
      <c r="Z492" t="str">
        <f ca="1"/>
        <v>Cash</v>
      </c>
      <c r="AA492">
        <f ca="1"/>
        <v>693</v>
      </c>
      <c r="AB492" t="str">
        <f ca="1"/>
        <v>Custom</v>
      </c>
      <c r="AC492">
        <f ca="1"/>
        <v>45760</v>
      </c>
      <c r="AD492" t="str">
        <f ca="1"/>
        <v/>
      </c>
      <c r="AE492" t="str">
        <f ca="1"/>
        <v>Eastern</v>
      </c>
      <c r="AF492" t="str">
        <f ca="1"/>
        <v>Mineral</v>
      </c>
      <c r="AG492" t="str">
        <f ca="1"/>
        <v>MCO</v>
      </c>
      <c r="AH492" t="str">
        <f ca="1"/>
        <v>20W40</v>
      </c>
      <c r="AI492" t="str">
        <f ca="1"/>
        <v>3000</v>
      </c>
      <c r="AJ492">
        <f ca="1"/>
        <v>0</v>
      </c>
      <c r="AK492" t="str">
        <f ca="1"/>
        <v>20x1L</v>
      </c>
      <c r="AL492">
        <f ca="1"/>
        <v>33020.800000000003</v>
      </c>
      <c r="AM492">
        <f ca="1"/>
        <v>4196.5913043478213</v>
      </c>
      <c r="AN492" t="str">
        <f ca="1"/>
        <v>O-45757-D-0003</v>
      </c>
      <c r="AO492" t="str">
        <f ca="1"/>
        <v>Delivered</v>
      </c>
    </row>
    <row r="493" spans="1:41" x14ac:dyDescent="0.5">
      <c r="A493" t="str">
        <f ca="1"/>
        <v>F-231</v>
      </c>
      <c r="B493" s="1">
        <f ca="1"/>
        <v>45757</v>
      </c>
      <c r="C493" t="str">
        <f ca="1"/>
        <v>D-0003</v>
      </c>
      <c r="D493" t="str">
        <f ca="1"/>
        <v>Bismillah Servicing &amp; Auto Parts</v>
      </c>
      <c r="E493" t="str">
        <f ca="1"/>
        <v>Kaoutoli, Brahmanbaria</v>
      </c>
      <c r="F493" t="str">
        <f ca="1"/>
        <v>+88001727-251558</v>
      </c>
      <c r="G493" t="str">
        <f ca="1"/>
        <v>Md. Robin Sheikh</v>
      </c>
      <c r="H493" t="str">
        <f ca="1"/>
        <v>Razur Rahman (Bipul)</v>
      </c>
      <c r="I493" t="str">
        <f ca="1"/>
        <v>Bajaj Parts Center</v>
      </c>
      <c r="J493" t="str">
        <f ca="1"/>
        <v>Taltola</v>
      </c>
      <c r="K493" t="str">
        <f ca="1"/>
        <v>LO00043</v>
      </c>
      <c r="L493" t="str">
        <f ca="1"/>
        <v>3000 4T PLUS 10W40</v>
      </c>
      <c r="M493">
        <f ca="1"/>
        <v>80</v>
      </c>
      <c r="N493">
        <f ca="1"/>
        <v>550</v>
      </c>
      <c r="O493">
        <f ca="1"/>
        <v>80</v>
      </c>
      <c r="P493">
        <f ca="1"/>
        <v>2.7272727272727226E-2</v>
      </c>
      <c r="Q493">
        <f ca="1"/>
        <v>0</v>
      </c>
      <c r="R493">
        <f ca="1"/>
        <v>535</v>
      </c>
      <c r="S493">
        <f ca="1"/>
        <v>80</v>
      </c>
      <c r="T493">
        <f ca="1"/>
        <v>80</v>
      </c>
      <c r="U493">
        <f ca="1"/>
        <v>44000</v>
      </c>
      <c r="V493">
        <f ca="1"/>
        <v>0</v>
      </c>
      <c r="W493">
        <f ca="1"/>
        <v>42800</v>
      </c>
      <c r="X493">
        <f ca="1"/>
        <v>5582.608695652174</v>
      </c>
      <c r="Y493">
        <f ca="1"/>
        <v>37217.391304347824</v>
      </c>
      <c r="Z493" t="str">
        <f ca="1"/>
        <v>Cash</v>
      </c>
      <c r="AA493">
        <f ca="1"/>
        <v>693</v>
      </c>
      <c r="AB493" t="str">
        <f ca="1"/>
        <v>Custom</v>
      </c>
      <c r="AC493">
        <f ca="1"/>
        <v>45760</v>
      </c>
      <c r="AD493" t="str">
        <f ca="1"/>
        <v/>
      </c>
      <c r="AE493" t="str">
        <f ca="1"/>
        <v>Eastern</v>
      </c>
      <c r="AF493" t="str">
        <f ca="1"/>
        <v>Mineral</v>
      </c>
      <c r="AG493" t="str">
        <f ca="1"/>
        <v>MCO</v>
      </c>
      <c r="AH493" t="str">
        <f ca="1"/>
        <v>10W40</v>
      </c>
      <c r="AI493" t="str">
        <f ca="1"/>
        <v>3000</v>
      </c>
      <c r="AJ493">
        <f ca="1"/>
        <v>0</v>
      </c>
      <c r="AK493" t="str">
        <f ca="1"/>
        <v>20x1L</v>
      </c>
      <c r="AL493">
        <f ca="1"/>
        <v>30788</v>
      </c>
      <c r="AM493">
        <f ca="1"/>
        <v>6429.3913043478242</v>
      </c>
      <c r="AN493" t="str">
        <f ca="1"/>
        <v>O-45757-D-0003</v>
      </c>
      <c r="AO493" t="str">
        <f ca="1"/>
        <v>Delivered</v>
      </c>
    </row>
    <row r="494" spans="1:41" x14ac:dyDescent="0.5">
      <c r="A494" t="str">
        <f ca="1"/>
        <v>F-231</v>
      </c>
      <c r="B494" s="1">
        <f ca="1"/>
        <v>45757</v>
      </c>
      <c r="C494" t="str">
        <f ca="1"/>
        <v>D-0003</v>
      </c>
      <c r="D494" t="str">
        <f ca="1"/>
        <v>Bismillah Servicing &amp; Auto Parts</v>
      </c>
      <c r="E494" t="str">
        <f ca="1"/>
        <v>Kaoutoli, Brahmanbaria</v>
      </c>
      <c r="F494" t="str">
        <f ca="1"/>
        <v>+88001727-251558</v>
      </c>
      <c r="G494" t="str">
        <f ca="1"/>
        <v>Md. Robin Sheikh</v>
      </c>
      <c r="H494" t="str">
        <f ca="1"/>
        <v>Razur Rahman (Bipul)</v>
      </c>
      <c r="I494" t="str">
        <f ca="1"/>
        <v>Bajaj Parts Center</v>
      </c>
      <c r="J494" t="str">
        <f ca="1"/>
        <v>Taltola</v>
      </c>
      <c r="K494" t="str">
        <f ca="1"/>
        <v>LO00046</v>
      </c>
      <c r="L494" t="str">
        <f ca="1"/>
        <v>51004T 10W40 ESTER</v>
      </c>
      <c r="M494">
        <f ca="1"/>
        <v>12</v>
      </c>
      <c r="N494">
        <f ca="1"/>
        <v>860</v>
      </c>
      <c r="O494">
        <f ca="1"/>
        <v>12</v>
      </c>
      <c r="P494">
        <f ca="1"/>
        <v>1.1627906976744207E-2</v>
      </c>
      <c r="Q494">
        <f ca="1"/>
        <v>0</v>
      </c>
      <c r="R494">
        <f ca="1"/>
        <v>850</v>
      </c>
      <c r="S494">
        <f ca="1"/>
        <v>12</v>
      </c>
      <c r="T494">
        <f ca="1"/>
        <v>12</v>
      </c>
      <c r="U494">
        <f ca="1"/>
        <v>10320</v>
      </c>
      <c r="V494">
        <f ca="1"/>
        <v>0</v>
      </c>
      <c r="W494">
        <f ca="1"/>
        <v>10200</v>
      </c>
      <c r="X494">
        <f ca="1"/>
        <v>1330.4347826086957</v>
      </c>
      <c r="Y494">
        <f ca="1"/>
        <v>8869.565217391304</v>
      </c>
      <c r="Z494" t="str">
        <f ca="1"/>
        <v>Cash</v>
      </c>
      <c r="AA494">
        <f ca="1"/>
        <v>693</v>
      </c>
      <c r="AB494" t="str">
        <f ca="1"/>
        <v>Custom</v>
      </c>
      <c r="AC494">
        <f ca="1"/>
        <v>45760</v>
      </c>
      <c r="AD494" t="str">
        <f ca="1"/>
        <v/>
      </c>
      <c r="AE494" t="str">
        <f ca="1"/>
        <v>Eastern</v>
      </c>
      <c r="AF494" t="str">
        <f ca="1"/>
        <v>Technosynthese</v>
      </c>
      <c r="AG494" t="str">
        <f ca="1"/>
        <v>MCO</v>
      </c>
      <c r="AH494" t="str">
        <f ca="1"/>
        <v>10W40</v>
      </c>
      <c r="AI494" t="str">
        <f ca="1"/>
        <v>5100</v>
      </c>
      <c r="AJ494">
        <f ca="1"/>
        <v>0</v>
      </c>
      <c r="AK494" t="str">
        <f ca="1"/>
        <v>12x1L</v>
      </c>
      <c r="AL494">
        <f ca="1"/>
        <v>7299.9600000000009</v>
      </c>
      <c r="AM494">
        <f ca="1"/>
        <v>1569.6052173913031</v>
      </c>
      <c r="AN494" t="str">
        <f ca="1"/>
        <v>O-45757-D-0003</v>
      </c>
      <c r="AO494" t="str">
        <f ca="1"/>
        <v>Delivered</v>
      </c>
    </row>
    <row r="495" spans="1:41" x14ac:dyDescent="0.5">
      <c r="A495" t="str">
        <f ca="1"/>
        <v>F-231</v>
      </c>
      <c r="B495" s="1">
        <f ca="1"/>
        <v>45757</v>
      </c>
      <c r="C495" t="str">
        <f ca="1"/>
        <v>D-0003</v>
      </c>
      <c r="D495" t="str">
        <f ca="1"/>
        <v>Bismillah Servicing &amp; Auto Parts</v>
      </c>
      <c r="E495" t="str">
        <f ca="1"/>
        <v>Kaoutoli, Brahmanbaria</v>
      </c>
      <c r="F495" t="str">
        <f ca="1"/>
        <v>+88001727-251558</v>
      </c>
      <c r="G495" t="str">
        <f ca="1"/>
        <v>Md. Robin Sheikh</v>
      </c>
      <c r="H495" t="str">
        <f ca="1"/>
        <v>Razur Rahman (Bipul)</v>
      </c>
      <c r="I495" t="str">
        <f ca="1"/>
        <v>Bajaj Parts Center</v>
      </c>
      <c r="J495" t="str">
        <f ca="1"/>
        <v>Taltola</v>
      </c>
      <c r="K495" t="str">
        <f ca="1"/>
        <v>LO00119</v>
      </c>
      <c r="L495" t="str">
        <f ca="1"/>
        <v>3000 4T 20W50</v>
      </c>
      <c r="M495">
        <f ca="1"/>
        <v>40</v>
      </c>
      <c r="N495">
        <f ca="1"/>
        <v>495</v>
      </c>
      <c r="O495">
        <f ca="1"/>
        <v>40</v>
      </c>
      <c r="P495">
        <f ca="1"/>
        <v>3.0303030303030276E-2</v>
      </c>
      <c r="Q495">
        <f ca="1"/>
        <v>0</v>
      </c>
      <c r="R495">
        <f ca="1"/>
        <v>480</v>
      </c>
      <c r="S495">
        <f ca="1"/>
        <v>40</v>
      </c>
      <c r="T495">
        <f ca="1"/>
        <v>40</v>
      </c>
      <c r="U495">
        <f ca="1"/>
        <v>19800</v>
      </c>
      <c r="V495">
        <f ca="1"/>
        <v>0</v>
      </c>
      <c r="W495">
        <f ca="1"/>
        <v>19200</v>
      </c>
      <c r="X495">
        <f ca="1"/>
        <v>2504.3478260869565</v>
      </c>
      <c r="Y495">
        <f ca="1"/>
        <v>16695.652173913044</v>
      </c>
      <c r="Z495" t="str">
        <f ca="1"/>
        <v>Cash</v>
      </c>
      <c r="AA495">
        <f ca="1"/>
        <v>693</v>
      </c>
      <c r="AB495" t="str">
        <f ca="1"/>
        <v>Custom</v>
      </c>
      <c r="AC495">
        <f ca="1"/>
        <v>45760</v>
      </c>
      <c r="AD495" t="str">
        <f ca="1"/>
        <v/>
      </c>
      <c r="AE495" t="str">
        <f ca="1"/>
        <v>Eastern</v>
      </c>
      <c r="AF495" t="str">
        <f ca="1"/>
        <v>Mineral</v>
      </c>
      <c r="AG495" t="str">
        <f ca="1"/>
        <v>MCO</v>
      </c>
      <c r="AH495" t="str">
        <f ca="1"/>
        <v>20W50</v>
      </c>
      <c r="AI495" t="str">
        <f ca="1"/>
        <v>3000</v>
      </c>
      <c r="AJ495">
        <f ca="1"/>
        <v>0</v>
      </c>
      <c r="AK495" t="str">
        <f ca="1"/>
        <v>20x1L</v>
      </c>
      <c r="AL495">
        <f ca="1"/>
        <v>14596.800000000001</v>
      </c>
      <c r="AM495">
        <f ca="1"/>
        <v>2098.8521739130429</v>
      </c>
      <c r="AN495" t="str">
        <f ca="1"/>
        <v>O-45757-D-0003</v>
      </c>
      <c r="AO495" t="str">
        <f ca="1"/>
        <v>Delivered</v>
      </c>
    </row>
    <row r="496" spans="1:41" x14ac:dyDescent="0.5">
      <c r="A496" t="str">
        <f ca="1"/>
        <v>F-231</v>
      </c>
      <c r="B496" s="1">
        <f ca="1"/>
        <v>45757</v>
      </c>
      <c r="C496" t="str">
        <f ca="1"/>
        <v>D-0003</v>
      </c>
      <c r="D496" t="str">
        <f ca="1"/>
        <v>Bismillah Servicing &amp; Auto Parts</v>
      </c>
      <c r="E496" t="str">
        <f ca="1"/>
        <v>Kaoutoli, Brahmanbaria</v>
      </c>
      <c r="F496" t="str">
        <f ca="1"/>
        <v>+88001727-251558</v>
      </c>
      <c r="G496" t="str">
        <f ca="1"/>
        <v>Md. Robin Sheikh</v>
      </c>
      <c r="H496" t="str">
        <f ca="1"/>
        <v>Razur Rahman (Bipul)</v>
      </c>
      <c r="I496" t="str">
        <f ca="1"/>
        <v>Bajaj Parts Center</v>
      </c>
      <c r="J496" t="str">
        <f ca="1"/>
        <v>Taltola</v>
      </c>
      <c r="K496" t="str">
        <f ca="1"/>
        <v>LO00120</v>
      </c>
      <c r="L496" t="str">
        <f ca="1"/>
        <v>3000 4T 20W50</v>
      </c>
      <c r="M496">
        <f ca="1"/>
        <v>20</v>
      </c>
      <c r="N496">
        <f ca="1"/>
        <v>595</v>
      </c>
      <c r="O496">
        <f ca="1"/>
        <v>24</v>
      </c>
      <c r="P496">
        <f ca="1"/>
        <v>2.5210084033613467E-2</v>
      </c>
      <c r="Q496">
        <f ca="1"/>
        <v>0</v>
      </c>
      <c r="R496">
        <f ca="1"/>
        <v>580</v>
      </c>
      <c r="S496">
        <f ca="1"/>
        <v>20</v>
      </c>
      <c r="T496">
        <f ca="1"/>
        <v>24</v>
      </c>
      <c r="U496">
        <f ca="1"/>
        <v>11900</v>
      </c>
      <c r="V496">
        <f ca="1"/>
        <v>0</v>
      </c>
      <c r="W496">
        <f ca="1"/>
        <v>11600</v>
      </c>
      <c r="X496">
        <f ca="1"/>
        <v>1513.0434782608695</v>
      </c>
      <c r="Y496">
        <f ca="1"/>
        <v>10086.95652173913</v>
      </c>
      <c r="Z496" t="str">
        <f ca="1"/>
        <v>Cash</v>
      </c>
      <c r="AA496">
        <f ca="1"/>
        <v>693</v>
      </c>
      <c r="AB496" t="str">
        <f ca="1"/>
        <v>Custom</v>
      </c>
      <c r="AC496">
        <f ca="1"/>
        <v>45760</v>
      </c>
      <c r="AD496" t="str">
        <f ca="1"/>
        <v/>
      </c>
      <c r="AE496" t="str">
        <f ca="1"/>
        <v>Eastern</v>
      </c>
      <c r="AF496" t="str">
        <f ca="1"/>
        <v>Mineral</v>
      </c>
      <c r="AG496" t="str">
        <f ca="1"/>
        <v>MCO</v>
      </c>
      <c r="AH496" t="str">
        <f ca="1"/>
        <v>20W50</v>
      </c>
      <c r="AI496" t="str">
        <f ca="1"/>
        <v>3000</v>
      </c>
      <c r="AJ496">
        <f ca="1"/>
        <v>0</v>
      </c>
      <c r="AK496" t="str">
        <f ca="1"/>
        <v>20x1.2L</v>
      </c>
      <c r="AL496">
        <f ca="1"/>
        <v>8692.2000000000007</v>
      </c>
      <c r="AM496">
        <f ca="1"/>
        <v>1394.7565217391293</v>
      </c>
      <c r="AN496" t="str">
        <f ca="1"/>
        <v>O-45757-D-0003</v>
      </c>
      <c r="AO496" t="str">
        <f ca="1"/>
        <v>Delivered</v>
      </c>
    </row>
    <row r="497" spans="1:41" x14ac:dyDescent="0.5">
      <c r="A497" t="str">
        <f ca="1"/>
        <v>F-232</v>
      </c>
      <c r="B497" s="1">
        <f ca="1"/>
        <v>45754</v>
      </c>
      <c r="C497" t="str">
        <f ca="1"/>
        <v>D-0023</v>
      </c>
      <c r="D497" t="str">
        <f ca="1"/>
        <v xml:space="preserve">Bondhu Motors and Mobil Ghor </v>
      </c>
      <c r="E497" t="str">
        <f ca="1"/>
        <v>Salo Market, Rangpur</v>
      </c>
      <c r="F497">
        <f ca="1"/>
        <v>1737144950</v>
      </c>
      <c r="G497" t="str">
        <f ca="1"/>
        <v>Monirul Islam</v>
      </c>
      <c r="H497" t="str">
        <f ca="1"/>
        <v>Raihan Siddiqui</v>
      </c>
      <c r="I497" t="str">
        <f ca="1"/>
        <v>Bondhu Motors</v>
      </c>
      <c r="J497" t="str">
        <f ca="1"/>
        <v>Rangpur</v>
      </c>
      <c r="K497" t="str">
        <f ca="1"/>
        <v>LO00041</v>
      </c>
      <c r="L497" t="str">
        <f ca="1"/>
        <v>3000 4T PLUS 10W30</v>
      </c>
      <c r="M497">
        <f ca="1"/>
        <v>200</v>
      </c>
      <c r="N497">
        <f ca="1"/>
        <v>525</v>
      </c>
      <c r="O497">
        <f ca="1"/>
        <v>200</v>
      </c>
      <c r="P497">
        <f ca="1"/>
        <v>0</v>
      </c>
      <c r="Q497">
        <f ca="1"/>
        <v>0</v>
      </c>
      <c r="R497">
        <f ca="1"/>
        <v>525</v>
      </c>
      <c r="S497">
        <f ca="1"/>
        <v>200</v>
      </c>
      <c r="T497">
        <f ca="1"/>
        <v>200</v>
      </c>
      <c r="U497">
        <f ca="1"/>
        <v>105000</v>
      </c>
      <c r="V497">
        <f ca="1"/>
        <v>0</v>
      </c>
      <c r="W497">
        <f ca="1"/>
        <v>105000</v>
      </c>
      <c r="X497">
        <f ca="1"/>
        <v>13695.652173913044</v>
      </c>
      <c r="Y497">
        <f ca="1"/>
        <v>91304.34782608696</v>
      </c>
      <c r="Z497" t="str">
        <f ca="1"/>
        <v>Cash</v>
      </c>
      <c r="AA497">
        <f ca="1"/>
        <v>694</v>
      </c>
      <c r="AB497" t="str">
        <f ca="1"/>
        <v>Regular</v>
      </c>
      <c r="AC497">
        <f ca="1"/>
        <v>45760</v>
      </c>
      <c r="AD497" t="str">
        <f ca="1"/>
        <v/>
      </c>
      <c r="AE497" t="str">
        <f ca="1"/>
        <v>Northern</v>
      </c>
      <c r="AF497" t="str">
        <f ca="1"/>
        <v>Mineral</v>
      </c>
      <c r="AG497" t="str">
        <f ca="1"/>
        <v>MCO</v>
      </c>
      <c r="AH497" t="str">
        <f ca="1"/>
        <v>10W30</v>
      </c>
      <c r="AI497" t="str">
        <f ca="1"/>
        <v>3000</v>
      </c>
      <c r="AJ497">
        <f ca="1"/>
        <v>0</v>
      </c>
      <c r="AK497" t="str">
        <f ca="1"/>
        <v>20x1L</v>
      </c>
      <c r="AL497">
        <f ca="1"/>
        <v>75866</v>
      </c>
      <c r="AM497">
        <f ca="1"/>
        <v>15438.34782608696</v>
      </c>
      <c r="AN497" t="str">
        <f ca="1"/>
        <v>O-45754-D-0023</v>
      </c>
      <c r="AO497" t="str">
        <f ca="1"/>
        <v>Delivered</v>
      </c>
    </row>
    <row r="498" spans="1:41" x14ac:dyDescent="0.5">
      <c r="A498" t="str">
        <f ca="1"/>
        <v>F-232</v>
      </c>
      <c r="B498" s="1">
        <f ca="1"/>
        <v>45754</v>
      </c>
      <c r="C498" t="str">
        <f ca="1"/>
        <v>D-0023</v>
      </c>
      <c r="D498" t="str">
        <f ca="1"/>
        <v xml:space="preserve">Bondhu Motors and Mobil Ghor </v>
      </c>
      <c r="E498" t="str">
        <f ca="1"/>
        <v>Salo Market, Rangpur</v>
      </c>
      <c r="F498">
        <f ca="1"/>
        <v>1737144950</v>
      </c>
      <c r="G498" t="str">
        <f ca="1"/>
        <v>Monirul Islam</v>
      </c>
      <c r="H498" t="str">
        <f ca="1"/>
        <v>Raihan Siddiqui</v>
      </c>
      <c r="I498" t="str">
        <f ca="1"/>
        <v>Bondhu Motors</v>
      </c>
      <c r="J498" t="str">
        <f ca="1"/>
        <v>Rangpur</v>
      </c>
      <c r="K498" t="str">
        <f ca="1"/>
        <v>LO00042</v>
      </c>
      <c r="L498" t="str">
        <f ca="1"/>
        <v>3000 4T PLUS 20W40</v>
      </c>
      <c r="M498">
        <f ca="1"/>
        <v>40</v>
      </c>
      <c r="N498">
        <f ca="1"/>
        <v>525</v>
      </c>
      <c r="O498">
        <f ca="1"/>
        <v>40</v>
      </c>
      <c r="P498">
        <f ca="1"/>
        <v>0</v>
      </c>
      <c r="Q498">
        <f ca="1"/>
        <v>0</v>
      </c>
      <c r="R498">
        <f ca="1"/>
        <v>525</v>
      </c>
      <c r="S498">
        <f ca="1"/>
        <v>40</v>
      </c>
      <c r="T498">
        <f ca="1"/>
        <v>40</v>
      </c>
      <c r="U498">
        <f ca="1"/>
        <v>21000</v>
      </c>
      <c r="V498">
        <f ca="1"/>
        <v>0</v>
      </c>
      <c r="W498">
        <f ca="1"/>
        <v>21000</v>
      </c>
      <c r="X498">
        <f ca="1"/>
        <v>2739.1304347826085</v>
      </c>
      <c r="Y498">
        <f ca="1"/>
        <v>18260.869565217392</v>
      </c>
      <c r="Z498" t="str">
        <f ca="1"/>
        <v>Cash</v>
      </c>
      <c r="AA498">
        <f ca="1"/>
        <v>694</v>
      </c>
      <c r="AB498" t="str">
        <f ca="1"/>
        <v>Regular</v>
      </c>
      <c r="AC498">
        <f ca="1"/>
        <v>45760</v>
      </c>
      <c r="AD498" t="str">
        <f ca="1"/>
        <v/>
      </c>
      <c r="AE498" t="str">
        <f ca="1"/>
        <v>Northern</v>
      </c>
      <c r="AF498" t="str">
        <f ca="1"/>
        <v>Mineral</v>
      </c>
      <c r="AG498" t="str">
        <f ca="1"/>
        <v>MCO</v>
      </c>
      <c r="AH498" t="str">
        <f ca="1"/>
        <v>20W40</v>
      </c>
      <c r="AI498" t="str">
        <f ca="1"/>
        <v>3000</v>
      </c>
      <c r="AJ498">
        <f ca="1"/>
        <v>0</v>
      </c>
      <c r="AK498" t="str">
        <f ca="1"/>
        <v>20x1L</v>
      </c>
      <c r="AL498">
        <f ca="1"/>
        <v>16510.400000000001</v>
      </c>
      <c r="AM498">
        <f ca="1"/>
        <v>1750.4695652173905</v>
      </c>
      <c r="AN498" t="str">
        <f ca="1"/>
        <v>O-45754-D-0023</v>
      </c>
      <c r="AO498" t="str">
        <f ca="1"/>
        <v>Delivered</v>
      </c>
    </row>
    <row r="499" spans="1:41" x14ac:dyDescent="0.5">
      <c r="A499" t="str">
        <f ca="1"/>
        <v>F-232</v>
      </c>
      <c r="B499" s="1">
        <f ca="1"/>
        <v>45754</v>
      </c>
      <c r="C499" t="str">
        <f ca="1"/>
        <v>D-0023</v>
      </c>
      <c r="D499" t="str">
        <f ca="1"/>
        <v xml:space="preserve">Bondhu Motors and Mobil Ghor </v>
      </c>
      <c r="E499" t="str">
        <f ca="1"/>
        <v>Salo Market, Rangpur</v>
      </c>
      <c r="F499">
        <f ca="1"/>
        <v>1737144950</v>
      </c>
      <c r="G499" t="str">
        <f ca="1"/>
        <v>Monirul Islam</v>
      </c>
      <c r="H499" t="str">
        <f ca="1"/>
        <v>Raihan Siddiqui</v>
      </c>
      <c r="I499" t="str">
        <f ca="1"/>
        <v>Bondhu Motors</v>
      </c>
      <c r="J499" t="str">
        <f ca="1"/>
        <v>Rangpur</v>
      </c>
      <c r="K499" t="str">
        <f ca="1"/>
        <v>LO00043</v>
      </c>
      <c r="L499" t="str">
        <f ca="1"/>
        <v>3000 4T PLUS 10W40</v>
      </c>
      <c r="M499">
        <f ca="1"/>
        <v>300</v>
      </c>
      <c r="N499">
        <f ca="1"/>
        <v>525</v>
      </c>
      <c r="O499">
        <f ca="1"/>
        <v>300</v>
      </c>
      <c r="P499">
        <f ca="1"/>
        <v>0</v>
      </c>
      <c r="Q499">
        <f ca="1"/>
        <v>0</v>
      </c>
      <c r="R499">
        <f ca="1"/>
        <v>525</v>
      </c>
      <c r="S499">
        <f ca="1"/>
        <v>300</v>
      </c>
      <c r="T499">
        <f ca="1"/>
        <v>300</v>
      </c>
      <c r="U499">
        <f ca="1"/>
        <v>157500</v>
      </c>
      <c r="V499">
        <f ca="1"/>
        <v>0</v>
      </c>
      <c r="W499">
        <f ca="1"/>
        <v>157500</v>
      </c>
      <c r="X499">
        <f ca="1"/>
        <v>20543.478260869564</v>
      </c>
      <c r="Y499">
        <f ca="1"/>
        <v>136956.52173913043</v>
      </c>
      <c r="Z499" t="str">
        <f ca="1"/>
        <v>Cash</v>
      </c>
      <c r="AA499">
        <f ca="1"/>
        <v>694</v>
      </c>
      <c r="AB499" t="str">
        <f ca="1"/>
        <v>Regular</v>
      </c>
      <c r="AC499">
        <f ca="1"/>
        <v>45760</v>
      </c>
      <c r="AD499" t="str">
        <f ca="1"/>
        <v/>
      </c>
      <c r="AE499" t="str">
        <f ca="1"/>
        <v>Northern</v>
      </c>
      <c r="AF499" t="str">
        <f ca="1"/>
        <v>Mineral</v>
      </c>
      <c r="AG499" t="str">
        <f ca="1"/>
        <v>MCO</v>
      </c>
      <c r="AH499" t="str">
        <f ca="1"/>
        <v>10W40</v>
      </c>
      <c r="AI499" t="str">
        <f ca="1"/>
        <v>3000</v>
      </c>
      <c r="AJ499">
        <f ca="1"/>
        <v>0</v>
      </c>
      <c r="AK499" t="str">
        <f ca="1"/>
        <v>20x1L</v>
      </c>
      <c r="AL499">
        <f ca="1"/>
        <v>115455</v>
      </c>
      <c r="AM499">
        <f ca="1"/>
        <v>21501.521739130432</v>
      </c>
      <c r="AN499" t="str">
        <f ca="1"/>
        <v>O-45754-D-0023</v>
      </c>
      <c r="AO499" t="str">
        <f ca="1"/>
        <v>Delivered</v>
      </c>
    </row>
    <row r="500" spans="1:41" x14ac:dyDescent="0.5">
      <c r="A500" t="str">
        <f ca="1"/>
        <v>F-232</v>
      </c>
      <c r="B500" s="1">
        <f ca="1"/>
        <v>45754</v>
      </c>
      <c r="C500" t="str">
        <f ca="1"/>
        <v>D-0023</v>
      </c>
      <c r="D500" t="str">
        <f ca="1"/>
        <v xml:space="preserve">Bondhu Motors and Mobil Ghor </v>
      </c>
      <c r="E500" t="str">
        <f ca="1"/>
        <v>Salo Market, Rangpur</v>
      </c>
      <c r="F500">
        <f ca="1"/>
        <v>1737144950</v>
      </c>
      <c r="G500" t="str">
        <f ca="1"/>
        <v>Monirul Islam</v>
      </c>
      <c r="H500" t="str">
        <f ca="1"/>
        <v>Raihan Siddiqui</v>
      </c>
      <c r="I500" t="str">
        <f ca="1"/>
        <v>Bondhu Motors</v>
      </c>
      <c r="J500" t="str">
        <f ca="1"/>
        <v>Rangpur</v>
      </c>
      <c r="K500" t="str">
        <f ca="1"/>
        <v>LO00074</v>
      </c>
      <c r="L500" t="str">
        <f ca="1"/>
        <v>7100 4T 10W30 ESTER CORE®</v>
      </c>
      <c r="M500">
        <f ca="1"/>
        <v>36</v>
      </c>
      <c r="N500">
        <f ca="1"/>
        <v>1040</v>
      </c>
      <c r="O500">
        <f ca="1"/>
        <v>36</v>
      </c>
      <c r="P500">
        <f ca="1"/>
        <v>0</v>
      </c>
      <c r="Q500">
        <f ca="1"/>
        <v>0</v>
      </c>
      <c r="R500">
        <f ca="1"/>
        <v>1040</v>
      </c>
      <c r="S500">
        <f ca="1"/>
        <v>36</v>
      </c>
      <c r="T500">
        <f ca="1"/>
        <v>36</v>
      </c>
      <c r="U500">
        <f ca="1"/>
        <v>37440</v>
      </c>
      <c r="V500">
        <f ca="1"/>
        <v>0</v>
      </c>
      <c r="W500">
        <f ca="1"/>
        <v>37440</v>
      </c>
      <c r="X500">
        <f ca="1"/>
        <v>4883.478260869565</v>
      </c>
      <c r="Y500">
        <f ca="1"/>
        <v>32556.521739130436</v>
      </c>
      <c r="Z500" t="str">
        <f ca="1"/>
        <v>Cash</v>
      </c>
      <c r="AA500">
        <f ca="1"/>
        <v>694</v>
      </c>
      <c r="AB500" t="str">
        <f ca="1"/>
        <v>Regular</v>
      </c>
      <c r="AC500">
        <f ca="1"/>
        <v>45760</v>
      </c>
      <c r="AD500" t="str">
        <f ca="1"/>
        <v/>
      </c>
      <c r="AE500" t="str">
        <f ca="1"/>
        <v>Northern</v>
      </c>
      <c r="AF500" t="str">
        <f ca="1"/>
        <v>Synthetic</v>
      </c>
      <c r="AG500" t="str">
        <f ca="1"/>
        <v>MCO</v>
      </c>
      <c r="AH500" t="str">
        <f ca="1"/>
        <v>10W30</v>
      </c>
      <c r="AI500" t="str">
        <f ca="1"/>
        <v>7100</v>
      </c>
      <c r="AJ500">
        <f ca="1"/>
        <v>0</v>
      </c>
      <c r="AK500" t="str">
        <f ca="1"/>
        <v>12x1L</v>
      </c>
      <c r="AL500">
        <f ca="1"/>
        <v>24834.959999999999</v>
      </c>
      <c r="AM500">
        <f ca="1"/>
        <v>7721.5617391304368</v>
      </c>
      <c r="AN500" t="str">
        <f ca="1"/>
        <v>O-45754-D-0023</v>
      </c>
      <c r="AO500" t="str">
        <f ca="1"/>
        <v>Delivered</v>
      </c>
    </row>
    <row r="501" spans="1:41" x14ac:dyDescent="0.5">
      <c r="A501" t="str">
        <f ca="1"/>
        <v>F-232</v>
      </c>
      <c r="B501" s="1">
        <f ca="1"/>
        <v>45754</v>
      </c>
      <c r="C501" t="str">
        <f ca="1"/>
        <v>D-0023</v>
      </c>
      <c r="D501" t="str">
        <f ca="1"/>
        <v xml:space="preserve">Bondhu Motors and Mobil Ghor </v>
      </c>
      <c r="E501" t="str">
        <f ca="1"/>
        <v>Salo Market, Rangpur</v>
      </c>
      <c r="F501">
        <f ca="1"/>
        <v>1737144950</v>
      </c>
      <c r="G501" t="str">
        <f ca="1"/>
        <v>Monirul Islam</v>
      </c>
      <c r="H501" t="str">
        <f ca="1"/>
        <v>Raihan Siddiqui</v>
      </c>
      <c r="I501" t="str">
        <f ca="1"/>
        <v>Bondhu Motors</v>
      </c>
      <c r="J501" t="str">
        <f ca="1"/>
        <v>Rangpur</v>
      </c>
      <c r="K501" t="str">
        <f ca="1"/>
        <v>LO00048</v>
      </c>
      <c r="L501" t="str">
        <f ca="1"/>
        <v>7100 4T 20W50 ESTER CORE®</v>
      </c>
      <c r="M501">
        <f ca="1"/>
        <v>24</v>
      </c>
      <c r="N501">
        <f ca="1"/>
        <v>1040</v>
      </c>
      <c r="O501">
        <f ca="1"/>
        <v>24</v>
      </c>
      <c r="P501">
        <f ca="1"/>
        <v>0</v>
      </c>
      <c r="Q501">
        <f ca="1"/>
        <v>0</v>
      </c>
      <c r="R501">
        <f ca="1"/>
        <v>1040</v>
      </c>
      <c r="S501">
        <f ca="1"/>
        <v>24</v>
      </c>
      <c r="T501">
        <f ca="1"/>
        <v>24</v>
      </c>
      <c r="U501">
        <f ca="1"/>
        <v>24960</v>
      </c>
      <c r="V501">
        <f ca="1"/>
        <v>0</v>
      </c>
      <c r="W501">
        <f ca="1"/>
        <v>24960</v>
      </c>
      <c r="X501">
        <f ca="1"/>
        <v>3255.6521739130435</v>
      </c>
      <c r="Y501">
        <f ca="1"/>
        <v>21704.347826086956</v>
      </c>
      <c r="Z501" t="str">
        <f ca="1"/>
        <v>Cash</v>
      </c>
      <c r="AA501">
        <f ca="1"/>
        <v>694</v>
      </c>
      <c r="AB501" t="str">
        <f ca="1"/>
        <v>Regular</v>
      </c>
      <c r="AC501">
        <f ca="1"/>
        <v>45760</v>
      </c>
      <c r="AD501" t="str">
        <f ca="1"/>
        <v/>
      </c>
      <c r="AE501" t="str">
        <f ca="1"/>
        <v>Northern</v>
      </c>
      <c r="AF501" t="str">
        <f ca="1"/>
        <v>Synthetic</v>
      </c>
      <c r="AG501" t="str">
        <f ca="1"/>
        <v>MCO</v>
      </c>
      <c r="AH501" t="str">
        <f ca="1"/>
        <v>20W50</v>
      </c>
      <c r="AI501" t="str">
        <f ca="1"/>
        <v>7100</v>
      </c>
      <c r="AJ501">
        <f ca="1"/>
        <v>0</v>
      </c>
      <c r="AK501" t="str">
        <f ca="1"/>
        <v>12x1L</v>
      </c>
      <c r="AL501">
        <f ca="1"/>
        <v>18328.761599999998</v>
      </c>
      <c r="AM501">
        <f ca="1"/>
        <v>3375.586226086958</v>
      </c>
      <c r="AN501" t="str">
        <f ca="1"/>
        <v>O-45754-D-0023</v>
      </c>
      <c r="AO501" t="str">
        <f ca="1"/>
        <v>Delivered</v>
      </c>
    </row>
    <row r="502" spans="1:41" x14ac:dyDescent="0.5">
      <c r="A502" t="str">
        <f ca="1"/>
        <v>F-233</v>
      </c>
      <c r="B502" s="1">
        <f ca="1"/>
        <v>45760</v>
      </c>
      <c r="C502" t="str">
        <f ca="1"/>
        <v>D-0023</v>
      </c>
      <c r="D502" t="str">
        <f ca="1"/>
        <v xml:space="preserve">Roni Enterprise </v>
      </c>
      <c r="E502" t="str">
        <f ca="1"/>
        <v>Munshipara, Dinajpur Sadar</v>
      </c>
      <c r="F502">
        <f ca="1"/>
        <v>1533399630</v>
      </c>
      <c r="G502" t="str">
        <f ca="1"/>
        <v>Monirul Islam</v>
      </c>
      <c r="H502" t="str">
        <f ca="1"/>
        <v>Raihan Siddiqui</v>
      </c>
      <c r="I502" t="str">
        <f ca="1"/>
        <v>Bondhu Motors</v>
      </c>
      <c r="J502" t="str">
        <f ca="1"/>
        <v>Rangpur</v>
      </c>
      <c r="K502" t="str">
        <f ca="1"/>
        <v>LO00041</v>
      </c>
      <c r="L502" t="str">
        <f ca="1"/>
        <v>3000 4T PLUS 10W30</v>
      </c>
      <c r="M502">
        <f ca="1"/>
        <v>200</v>
      </c>
      <c r="N502">
        <f ca="1"/>
        <v>525</v>
      </c>
      <c r="O502">
        <f ca="1"/>
        <v>200</v>
      </c>
      <c r="P502">
        <f ca="1"/>
        <v>0</v>
      </c>
      <c r="Q502">
        <f ca="1"/>
        <v>0</v>
      </c>
      <c r="R502">
        <f ca="1"/>
        <v>525</v>
      </c>
      <c r="S502">
        <f ca="1"/>
        <v>200</v>
      </c>
      <c r="T502">
        <f ca="1"/>
        <v>200</v>
      </c>
      <c r="U502">
        <f ca="1"/>
        <v>105000</v>
      </c>
      <c r="V502">
        <f ca="1"/>
        <v>0</v>
      </c>
      <c r="W502">
        <f ca="1"/>
        <v>105000</v>
      </c>
      <c r="X502">
        <f ca="1"/>
        <v>13695.652173913044</v>
      </c>
      <c r="Y502">
        <f ca="1"/>
        <v>91304.34782608696</v>
      </c>
      <c r="Z502" t="str">
        <f ca="1"/>
        <v>Cash</v>
      </c>
      <c r="AA502">
        <f ca="1"/>
        <v>695</v>
      </c>
      <c r="AB502" t="str">
        <f ca="1"/>
        <v>Regular</v>
      </c>
      <c r="AC502">
        <f ca="1"/>
        <v>45760</v>
      </c>
      <c r="AD502" t="str">
        <f ca="1"/>
        <v/>
      </c>
      <c r="AE502" t="str">
        <f ca="1"/>
        <v>Northern</v>
      </c>
      <c r="AF502" t="str">
        <f ca="1"/>
        <v>Mineral</v>
      </c>
      <c r="AG502" t="str">
        <f ca="1"/>
        <v>MCO</v>
      </c>
      <c r="AH502" t="str">
        <f ca="1"/>
        <v>10W30</v>
      </c>
      <c r="AI502" t="str">
        <f ca="1"/>
        <v>3000</v>
      </c>
      <c r="AJ502">
        <f ca="1"/>
        <v>0</v>
      </c>
      <c r="AK502" t="str">
        <f ca="1"/>
        <v>20x1L</v>
      </c>
      <c r="AL502">
        <f ca="1"/>
        <v>75866</v>
      </c>
      <c r="AM502">
        <f ca="1"/>
        <v>15438.34782608696</v>
      </c>
      <c r="AN502" t="str">
        <f ca="1"/>
        <v>O-45760-D-0023</v>
      </c>
      <c r="AO502" t="str">
        <f ca="1"/>
        <v>Delivered</v>
      </c>
    </row>
    <row r="503" spans="1:41" x14ac:dyDescent="0.5">
      <c r="A503" t="str">
        <f ca="1"/>
        <v>F-233</v>
      </c>
      <c r="B503" s="1">
        <f ca="1"/>
        <v>45760</v>
      </c>
      <c r="C503" t="str">
        <f ca="1"/>
        <v>D-0023</v>
      </c>
      <c r="D503" t="str">
        <f ca="1"/>
        <v xml:space="preserve">Roni Enterprise </v>
      </c>
      <c r="E503" t="str">
        <f ca="1"/>
        <v>Munshipara, Dinajpur Sadar</v>
      </c>
      <c r="F503">
        <f ca="1"/>
        <v>1533399630</v>
      </c>
      <c r="G503" t="str">
        <f ca="1"/>
        <v>Monirul Islam</v>
      </c>
      <c r="H503" t="str">
        <f ca="1"/>
        <v>Raihan Siddiqui</v>
      </c>
      <c r="I503" t="str">
        <f ca="1"/>
        <v>Bondhu Motors</v>
      </c>
      <c r="J503" t="str">
        <f ca="1"/>
        <v>Rangpur</v>
      </c>
      <c r="K503" t="str">
        <f ca="1"/>
        <v>LO00043</v>
      </c>
      <c r="L503" t="str">
        <f ca="1"/>
        <v>3000 4T PLUS 10W40</v>
      </c>
      <c r="M503">
        <f ca="1"/>
        <v>100</v>
      </c>
      <c r="N503">
        <f ca="1"/>
        <v>525</v>
      </c>
      <c r="O503">
        <f ca="1"/>
        <v>100</v>
      </c>
      <c r="P503">
        <f ca="1"/>
        <v>0</v>
      </c>
      <c r="Q503">
        <f ca="1"/>
        <v>0</v>
      </c>
      <c r="R503">
        <f ca="1"/>
        <v>525</v>
      </c>
      <c r="S503">
        <f ca="1"/>
        <v>100</v>
      </c>
      <c r="T503">
        <f ca="1"/>
        <v>100</v>
      </c>
      <c r="U503">
        <f ca="1"/>
        <v>52500</v>
      </c>
      <c r="V503">
        <f ca="1"/>
        <v>0</v>
      </c>
      <c r="W503">
        <f ca="1"/>
        <v>52500</v>
      </c>
      <c r="X503">
        <f ca="1"/>
        <v>6847.826086956522</v>
      </c>
      <c r="Y503">
        <f ca="1"/>
        <v>45652.17391304348</v>
      </c>
      <c r="Z503" t="str">
        <f ca="1"/>
        <v>Cash</v>
      </c>
      <c r="AA503">
        <f ca="1"/>
        <v>695</v>
      </c>
      <c r="AB503" t="str">
        <f ca="1"/>
        <v>Regular</v>
      </c>
      <c r="AC503">
        <f ca="1"/>
        <v>45760</v>
      </c>
      <c r="AD503" t="str">
        <f ca="1"/>
        <v/>
      </c>
      <c r="AE503" t="str">
        <f ca="1"/>
        <v>Northern</v>
      </c>
      <c r="AF503" t="str">
        <f ca="1"/>
        <v>Mineral</v>
      </c>
      <c r="AG503" t="str">
        <f ca="1"/>
        <v>MCO</v>
      </c>
      <c r="AH503" t="str">
        <f ca="1"/>
        <v>10W40</v>
      </c>
      <c r="AI503" t="str">
        <f ca="1"/>
        <v>3000</v>
      </c>
      <c r="AJ503">
        <f ca="1"/>
        <v>0</v>
      </c>
      <c r="AK503" t="str">
        <f ca="1"/>
        <v>20x1L</v>
      </c>
      <c r="AL503">
        <f ca="1"/>
        <v>38485</v>
      </c>
      <c r="AM503">
        <f ca="1"/>
        <v>7167.1739130434798</v>
      </c>
      <c r="AN503" t="str">
        <f ca="1"/>
        <v>O-45760-D-0023</v>
      </c>
      <c r="AO503" t="str">
        <f ca="1"/>
        <v>Delivered</v>
      </c>
    </row>
    <row r="504" spans="1:41" x14ac:dyDescent="0.5">
      <c r="A504" t="str">
        <f ca="1"/>
        <v>F-234</v>
      </c>
      <c r="B504" s="1">
        <f ca="1"/>
        <v>45762</v>
      </c>
      <c r="C504" t="str">
        <f ca="1"/>
        <v>D-0030</v>
      </c>
      <c r="D504" t="str">
        <f ca="1"/>
        <v>Sunrise autos</v>
      </c>
      <c r="E504" t="str">
        <f ca="1"/>
        <v>Bangla Motor</v>
      </c>
      <c r="F504" t="str">
        <f ca="1"/>
        <v>+88001779099593</v>
      </c>
      <c r="G504" t="str">
        <f ca="1"/>
        <v>Sayed Al Amin Apu</v>
      </c>
      <c r="H504" t="str">
        <f ca="1"/>
        <v>Abdul Matin</v>
      </c>
      <c r="I504" t="str">
        <f ca="1"/>
        <v>Mahim Motors</v>
      </c>
      <c r="J504" t="str">
        <f ca="1"/>
        <v>Uttara</v>
      </c>
      <c r="K504" t="str">
        <f ca="1"/>
        <v>LO00075</v>
      </c>
      <c r="L504" t="str">
        <f ca="1"/>
        <v>2000 Multi Power 20W50</v>
      </c>
      <c r="M504">
        <f ca="1"/>
        <v>400</v>
      </c>
      <c r="N504">
        <f ca="1"/>
        <v>2350</v>
      </c>
      <c r="O504">
        <f ca="1"/>
        <v>1600</v>
      </c>
      <c r="P504">
        <f ca="1"/>
        <v>0.57446808510638303</v>
      </c>
      <c r="Q504">
        <f ca="1"/>
        <v>0</v>
      </c>
      <c r="R504">
        <f ca="1"/>
        <v>1000</v>
      </c>
      <c r="S504">
        <f ca="1"/>
        <v>400</v>
      </c>
      <c r="T504">
        <f ca="1"/>
        <v>1600</v>
      </c>
      <c r="U504">
        <f ca="1"/>
        <v>940000</v>
      </c>
      <c r="V504">
        <f ca="1"/>
        <v>0</v>
      </c>
      <c r="W504">
        <f ca="1"/>
        <v>400000</v>
      </c>
      <c r="X504">
        <f ca="1"/>
        <v>52173.913043478264</v>
      </c>
      <c r="Y504">
        <f ca="1"/>
        <v>347826.08695652173</v>
      </c>
      <c r="Z504" t="str">
        <f ca="1"/>
        <v>Cash</v>
      </c>
      <c r="AA504">
        <f ca="1"/>
        <v>696</v>
      </c>
      <c r="AB504" t="str">
        <f ca="1"/>
        <v>Custom</v>
      </c>
      <c r="AC504">
        <f ca="1"/>
        <v>45767</v>
      </c>
      <c r="AD504" t="str">
        <f ca="1"/>
        <v>No Transport allowance.</v>
      </c>
      <c r="AE504" t="str">
        <f ca="1"/>
        <v>Central</v>
      </c>
      <c r="AF504" t="str">
        <f ca="1"/>
        <v>Mineral</v>
      </c>
      <c r="AG504" t="str">
        <f ca="1"/>
        <v>PCMO</v>
      </c>
      <c r="AH504" t="str">
        <f ca="1"/>
        <v>20W50</v>
      </c>
      <c r="AI504" t="str">
        <f ca="1"/>
        <v>2000</v>
      </c>
      <c r="AJ504">
        <f ca="1"/>
        <v>0</v>
      </c>
      <c r="AK504" t="str">
        <f ca="1"/>
        <v>4X4L</v>
      </c>
      <c r="AL504">
        <f ca="1"/>
        <v>438180</v>
      </c>
      <c r="AM504">
        <f ca="1"/>
        <v>-90353.913043478271</v>
      </c>
      <c r="AN504" t="str">
        <f ca="1"/>
        <v>O-45762-D-0030</v>
      </c>
      <c r="AO504" t="str">
        <f ca="1"/>
        <v>Delivered</v>
      </c>
    </row>
    <row r="505" spans="1:41" x14ac:dyDescent="0.5">
      <c r="A505" t="str">
        <f ca="1"/>
        <v>F-234</v>
      </c>
      <c r="B505" s="1">
        <f ca="1"/>
        <v>45762</v>
      </c>
      <c r="C505" t="str">
        <f ca="1"/>
        <v>D-0030</v>
      </c>
      <c r="D505" t="str">
        <f ca="1"/>
        <v>Sunrise autos</v>
      </c>
      <c r="E505" t="str">
        <f ca="1"/>
        <v>Bangla Motor</v>
      </c>
      <c r="F505" t="str">
        <f ca="1"/>
        <v>+88001779099593</v>
      </c>
      <c r="G505" t="str">
        <f ca="1"/>
        <v>Sayed Al Amin Apu</v>
      </c>
      <c r="H505" t="str">
        <f ca="1"/>
        <v>Abdul Matin</v>
      </c>
      <c r="I505" t="str">
        <f ca="1"/>
        <v>Mahim Motors</v>
      </c>
      <c r="J505" t="str">
        <f ca="1"/>
        <v>Uttara</v>
      </c>
      <c r="K505" t="str">
        <f ca="1"/>
        <v>LO00109</v>
      </c>
      <c r="L505" t="str">
        <f ca="1"/>
        <v>2000 Multi Power 20W50</v>
      </c>
      <c r="M505">
        <f ca="1"/>
        <v>760</v>
      </c>
      <c r="N505">
        <f ca="1"/>
        <v>585</v>
      </c>
      <c r="O505">
        <f ca="1"/>
        <v>760</v>
      </c>
      <c r="P505">
        <f ca="1"/>
        <v>0.57264957264957261</v>
      </c>
      <c r="Q505">
        <f ca="1"/>
        <v>0</v>
      </c>
      <c r="R505">
        <f ca="1"/>
        <v>250</v>
      </c>
      <c r="S505">
        <f ca="1"/>
        <v>760</v>
      </c>
      <c r="T505">
        <f ca="1"/>
        <v>760</v>
      </c>
      <c r="U505">
        <f ca="1"/>
        <v>444600</v>
      </c>
      <c r="V505">
        <f ca="1"/>
        <v>0</v>
      </c>
      <c r="W505">
        <f ca="1"/>
        <v>190000</v>
      </c>
      <c r="X505">
        <f ca="1"/>
        <v>24782.608695652172</v>
      </c>
      <c r="Y505">
        <f ca="1"/>
        <v>165217.39130434784</v>
      </c>
      <c r="Z505" t="str">
        <f ca="1"/>
        <v>Cash</v>
      </c>
      <c r="AA505">
        <f ca="1"/>
        <v>696</v>
      </c>
      <c r="AB505" t="str">
        <f ca="1"/>
        <v>Custom</v>
      </c>
      <c r="AC505">
        <f ca="1"/>
        <v>45767</v>
      </c>
      <c r="AD505" t="str">
        <f ca="1"/>
        <v>No Transport allowance.</v>
      </c>
      <c r="AE505" t="str">
        <f ca="1"/>
        <v>Central</v>
      </c>
      <c r="AF505" t="str">
        <f ca="1"/>
        <v>Mineral</v>
      </c>
      <c r="AG505" t="str">
        <f ca="1"/>
        <v>PCMO</v>
      </c>
      <c r="AH505" t="str">
        <f ca="1"/>
        <v>20W50</v>
      </c>
      <c r="AI505" t="str">
        <f ca="1"/>
        <v>2000</v>
      </c>
      <c r="AJ505">
        <f ca="1"/>
        <v>0</v>
      </c>
      <c r="AK505" t="str">
        <f ca="1"/>
        <v>20x1L</v>
      </c>
      <c r="AL505">
        <f ca="1"/>
        <v>304076</v>
      </c>
      <c r="AM505">
        <f ca="1"/>
        <v>-138858.60869565216</v>
      </c>
      <c r="AN505" t="str">
        <f ca="1"/>
        <v>O-45762-D-0030</v>
      </c>
      <c r="AO505" t="str">
        <f ca="1"/>
        <v>Delivered</v>
      </c>
    </row>
    <row r="506" spans="1:41" x14ac:dyDescent="0.5">
      <c r="A506" t="str">
        <f ca="1"/>
        <v>F-235</v>
      </c>
      <c r="B506" s="1">
        <f ca="1"/>
        <v>45767</v>
      </c>
      <c r="C506" t="str">
        <f ca="1"/>
        <v>D-0009</v>
      </c>
      <c r="D506" t="str">
        <f ca="1"/>
        <v>Surma Trading Agency</v>
      </c>
      <c r="E506" t="str">
        <f ca="1"/>
        <v>4/4, Saidabad, Dhaka-1100.</v>
      </c>
      <c r="F506" t="str">
        <f ca="1"/>
        <v>+88001784398413</v>
      </c>
      <c r="G506" t="str">
        <f ca="1"/>
        <v>Mahamudul Hasan Milon</v>
      </c>
      <c r="H506" t="str">
        <f ca="1"/>
        <v>Abdul Matin</v>
      </c>
      <c r="I506" t="str">
        <f ca="1"/>
        <v>Surma trading</v>
      </c>
      <c r="J506" t="str">
        <f ca="1"/>
        <v>Saydabad</v>
      </c>
      <c r="K506" t="str">
        <f ca="1"/>
        <v>LO00046</v>
      </c>
      <c r="L506" t="str">
        <f ca="1"/>
        <v>51004T 10W40 ESTER</v>
      </c>
      <c r="M506">
        <f ca="1"/>
        <v>120</v>
      </c>
      <c r="N506">
        <f ca="1"/>
        <v>860</v>
      </c>
      <c r="O506">
        <f ca="1"/>
        <v>120</v>
      </c>
      <c r="P506">
        <f ca="1"/>
        <v>1.1627906976744207E-2</v>
      </c>
      <c r="Q506">
        <f ca="1"/>
        <v>0</v>
      </c>
      <c r="R506">
        <f ca="1"/>
        <v>850</v>
      </c>
      <c r="S506">
        <f ca="1"/>
        <v>120</v>
      </c>
      <c r="T506">
        <f ca="1"/>
        <v>120</v>
      </c>
      <c r="U506">
        <f ca="1"/>
        <v>103200</v>
      </c>
      <c r="V506">
        <f ca="1"/>
        <v>0</v>
      </c>
      <c r="W506">
        <f ca="1"/>
        <v>102000</v>
      </c>
      <c r="X506">
        <f ca="1"/>
        <v>13304.347826086956</v>
      </c>
      <c r="Y506">
        <f ca="1"/>
        <v>88695.65217391304</v>
      </c>
      <c r="Z506" t="str">
        <f ca="1"/>
        <v>Cash</v>
      </c>
      <c r="AA506">
        <f ca="1"/>
        <v>697</v>
      </c>
      <c r="AB506" t="str">
        <f ca="1"/>
        <v>Custom</v>
      </c>
      <c r="AC506">
        <f ca="1"/>
        <v>45767</v>
      </c>
      <c r="AD506" t="str">
        <f ca="1"/>
        <v>No Transport allowance.</v>
      </c>
      <c r="AE506" t="str">
        <f ca="1"/>
        <v>Central</v>
      </c>
      <c r="AF506" t="str">
        <f ca="1"/>
        <v>Technosynthese</v>
      </c>
      <c r="AG506" t="str">
        <f ca="1"/>
        <v>MCO</v>
      </c>
      <c r="AH506" t="str">
        <f ca="1"/>
        <v>10W40</v>
      </c>
      <c r="AI506" t="str">
        <f ca="1"/>
        <v>5100</v>
      </c>
      <c r="AJ506">
        <f ca="1"/>
        <v>0</v>
      </c>
      <c r="AK506" t="str">
        <f ca="1"/>
        <v>12x1L</v>
      </c>
      <c r="AL506">
        <f ca="1"/>
        <v>72999.600000000006</v>
      </c>
      <c r="AM506">
        <f ca="1"/>
        <v>15696.052173913034</v>
      </c>
      <c r="AN506" t="str">
        <f ca="1"/>
        <v>O-45767-D-0009</v>
      </c>
      <c r="AO506" t="str">
        <f ca="1"/>
        <v>Delivered</v>
      </c>
    </row>
    <row r="507" spans="1:41" x14ac:dyDescent="0.5">
      <c r="A507" t="str">
        <f ca="1"/>
        <v>F-235</v>
      </c>
      <c r="B507" s="1">
        <f ca="1"/>
        <v>45767</v>
      </c>
      <c r="C507" t="str">
        <f ca="1"/>
        <v>D-0009</v>
      </c>
      <c r="D507" t="str">
        <f ca="1"/>
        <v>Surma Trading Agency</v>
      </c>
      <c r="E507" t="str">
        <f ca="1"/>
        <v>4/4, Saidabad, Dhaka-1100.</v>
      </c>
      <c r="F507" t="str">
        <f ca="1"/>
        <v>+88001784398413</v>
      </c>
      <c r="G507" t="str">
        <f ca="1"/>
        <v>Mahamudul Hasan Milon</v>
      </c>
      <c r="H507" t="str">
        <f ca="1"/>
        <v>Abdul Matin</v>
      </c>
      <c r="I507" t="str">
        <f ca="1"/>
        <v>Surma trading</v>
      </c>
      <c r="J507" t="str">
        <f ca="1"/>
        <v>Saydabad</v>
      </c>
      <c r="K507" t="str">
        <f ca="1"/>
        <v>LO00074</v>
      </c>
      <c r="L507" t="str">
        <f ca="1"/>
        <v>7100 4T 10W30 ESTER CORE®</v>
      </c>
      <c r="M507">
        <f ca="1"/>
        <v>120</v>
      </c>
      <c r="N507">
        <f ca="1"/>
        <v>1080</v>
      </c>
      <c r="O507">
        <f ca="1"/>
        <v>120</v>
      </c>
      <c r="P507">
        <f ca="1"/>
        <v>4.629629629629628E-2</v>
      </c>
      <c r="Q507">
        <f ca="1"/>
        <v>0</v>
      </c>
      <c r="R507">
        <f ca="1"/>
        <v>1030</v>
      </c>
      <c r="S507">
        <f ca="1"/>
        <v>120</v>
      </c>
      <c r="T507">
        <f ca="1"/>
        <v>120</v>
      </c>
      <c r="U507">
        <f ca="1"/>
        <v>129600</v>
      </c>
      <c r="V507">
        <f ca="1"/>
        <v>0</v>
      </c>
      <c r="W507">
        <f ca="1"/>
        <v>123600</v>
      </c>
      <c r="X507">
        <f ca="1"/>
        <v>16121.739130434782</v>
      </c>
      <c r="Y507">
        <f ca="1"/>
        <v>107478.26086956522</v>
      </c>
      <c r="Z507" t="str">
        <f ca="1"/>
        <v>Cash</v>
      </c>
      <c r="AA507">
        <f ca="1"/>
        <v>697</v>
      </c>
      <c r="AB507" t="str">
        <f ca="1"/>
        <v>Custom</v>
      </c>
      <c r="AC507">
        <f ca="1"/>
        <v>45767</v>
      </c>
      <c r="AD507" t="str">
        <f ca="1"/>
        <v>No Transport allowance.</v>
      </c>
      <c r="AE507" t="str">
        <f ca="1"/>
        <v>Central</v>
      </c>
      <c r="AF507" t="str">
        <f ca="1"/>
        <v>Synthetic</v>
      </c>
      <c r="AG507" t="str">
        <f ca="1"/>
        <v>MCO</v>
      </c>
      <c r="AH507" t="str">
        <f ca="1"/>
        <v>10W30</v>
      </c>
      <c r="AI507" t="str">
        <f ca="1"/>
        <v>7100</v>
      </c>
      <c r="AJ507">
        <f ca="1"/>
        <v>0</v>
      </c>
      <c r="AK507" t="str">
        <f ca="1"/>
        <v>12x1L</v>
      </c>
      <c r="AL507">
        <f ca="1"/>
        <v>82783.199999999997</v>
      </c>
      <c r="AM507">
        <f ca="1"/>
        <v>24695.060869565219</v>
      </c>
      <c r="AN507" t="str">
        <f ca="1"/>
        <v>O-45767-D-0009</v>
      </c>
      <c r="AO507" t="str">
        <f ca="1"/>
        <v>Delivered</v>
      </c>
    </row>
    <row r="508" spans="1:41" x14ac:dyDescent="0.5">
      <c r="A508" t="str">
        <f ca="1"/>
        <v>F-235</v>
      </c>
      <c r="B508" s="1">
        <f ca="1"/>
        <v>45767</v>
      </c>
      <c r="C508" t="str">
        <f ca="1"/>
        <v>D-0009</v>
      </c>
      <c r="D508" t="str">
        <f ca="1"/>
        <v>Surma Trading Agency</v>
      </c>
      <c r="E508" t="str">
        <f ca="1"/>
        <v>4/4, Saidabad, Dhaka-1100.</v>
      </c>
      <c r="F508" t="str">
        <f ca="1"/>
        <v>+88001784398413</v>
      </c>
      <c r="G508" t="str">
        <f ca="1"/>
        <v>Mahamudul Hasan Milon</v>
      </c>
      <c r="H508" t="str">
        <f ca="1"/>
        <v>Abdul Matin</v>
      </c>
      <c r="I508" t="str">
        <f ca="1"/>
        <v>Surma trading</v>
      </c>
      <c r="J508" t="str">
        <f ca="1"/>
        <v>Saydabad</v>
      </c>
      <c r="K508" t="str">
        <f ca="1"/>
        <v>LO00048</v>
      </c>
      <c r="L508" t="str">
        <f ca="1"/>
        <v>7100 4T 20W50 ESTER CORE®</v>
      </c>
      <c r="M508">
        <f ca="1"/>
        <v>60</v>
      </c>
      <c r="N508">
        <f ca="1"/>
        <v>1080</v>
      </c>
      <c r="O508">
        <f ca="1"/>
        <v>60</v>
      </c>
      <c r="P508">
        <f ca="1"/>
        <v>4.629629629629628E-2</v>
      </c>
      <c r="Q508">
        <f ca="1"/>
        <v>0</v>
      </c>
      <c r="R508">
        <f ca="1"/>
        <v>1030</v>
      </c>
      <c r="S508">
        <f ca="1"/>
        <v>60</v>
      </c>
      <c r="T508">
        <f ca="1"/>
        <v>60</v>
      </c>
      <c r="U508">
        <f ca="1"/>
        <v>64800</v>
      </c>
      <c r="V508">
        <f ca="1"/>
        <v>0</v>
      </c>
      <c r="W508">
        <f ca="1"/>
        <v>61800</v>
      </c>
      <c r="X508">
        <f ca="1"/>
        <v>8060.869565217391</v>
      </c>
      <c r="Y508">
        <f ca="1"/>
        <v>53739.130434782608</v>
      </c>
      <c r="Z508" t="str">
        <f ca="1"/>
        <v>Cash</v>
      </c>
      <c r="AA508">
        <f ca="1"/>
        <v>697</v>
      </c>
      <c r="AB508" t="str">
        <f ca="1"/>
        <v>Custom</v>
      </c>
      <c r="AC508">
        <f ca="1"/>
        <v>45767</v>
      </c>
      <c r="AD508" t="str">
        <f ca="1"/>
        <v>No Transport allowance.</v>
      </c>
      <c r="AE508" t="str">
        <f ca="1"/>
        <v>Central</v>
      </c>
      <c r="AF508" t="str">
        <f ca="1"/>
        <v>Synthetic</v>
      </c>
      <c r="AG508" t="str">
        <f ca="1"/>
        <v>MCO</v>
      </c>
      <c r="AH508" t="str">
        <f ca="1"/>
        <v>20W50</v>
      </c>
      <c r="AI508" t="str">
        <f ca="1"/>
        <v>7100</v>
      </c>
      <c r="AJ508">
        <f ca="1"/>
        <v>0</v>
      </c>
      <c r="AK508" t="str">
        <f ca="1"/>
        <v>12x1L</v>
      </c>
      <c r="AL508">
        <f ca="1"/>
        <v>45821.904000000002</v>
      </c>
      <c r="AM508">
        <f ca="1"/>
        <v>7917.2264347826058</v>
      </c>
      <c r="AN508" t="str">
        <f ca="1"/>
        <v>O-45767-D-0009</v>
      </c>
      <c r="AO508" t="str">
        <f ca="1"/>
        <v>Delivered</v>
      </c>
    </row>
    <row r="509" spans="1:41" x14ac:dyDescent="0.5">
      <c r="A509" t="str">
        <f ca="1"/>
        <v>F-236</v>
      </c>
      <c r="B509" s="1">
        <f ca="1"/>
        <v>45767</v>
      </c>
      <c r="C509" t="str">
        <f ca="1"/>
        <v>D-0007</v>
      </c>
      <c r="D509" t="str">
        <f ca="1"/>
        <v>Maa Auto</v>
      </c>
      <c r="E509" t="str">
        <f ca="1"/>
        <v>Mirpur</v>
      </c>
      <c r="F509" t="str">
        <f ca="1"/>
        <v/>
      </c>
      <c r="G509" t="str">
        <f ca="1"/>
        <v>Sayed Al Amin Apu</v>
      </c>
      <c r="H509" t="str">
        <f ca="1"/>
        <v>Abdul Matin</v>
      </c>
      <c r="I509" t="str">
        <f ca="1"/>
        <v>Maa Auto</v>
      </c>
      <c r="J509" t="str">
        <f ca="1"/>
        <v>Mirpur 10</v>
      </c>
      <c r="K509" t="str">
        <f ca="1"/>
        <v>LO00042</v>
      </c>
      <c r="L509" t="str">
        <f ca="1"/>
        <v>3000 4T PLUS 20W40</v>
      </c>
      <c r="M509">
        <f ca="1"/>
        <v>200</v>
      </c>
      <c r="N509">
        <f ca="1"/>
        <v>535</v>
      </c>
      <c r="O509">
        <f ca="1"/>
        <v>200</v>
      </c>
      <c r="P509">
        <f ca="1"/>
        <v>2.8037383177570097E-2</v>
      </c>
      <c r="Q509">
        <f ca="1"/>
        <v>0</v>
      </c>
      <c r="R509">
        <f ca="1"/>
        <v>520</v>
      </c>
      <c r="S509">
        <f ca="1"/>
        <v>200</v>
      </c>
      <c r="T509">
        <f ca="1"/>
        <v>200</v>
      </c>
      <c r="U509">
        <f ca="1"/>
        <v>107000</v>
      </c>
      <c r="V509">
        <f ca="1"/>
        <v>0</v>
      </c>
      <c r="W509">
        <f ca="1"/>
        <v>104000</v>
      </c>
      <c r="X509">
        <f ca="1"/>
        <v>13565.217391304348</v>
      </c>
      <c r="Y509">
        <f ca="1"/>
        <v>90434.782608695648</v>
      </c>
      <c r="Z509" t="str">
        <f ca="1"/>
        <v>Cash</v>
      </c>
      <c r="AA509">
        <f ca="1"/>
        <v>698</v>
      </c>
      <c r="AB509" t="str">
        <f ca="1"/>
        <v>Custom</v>
      </c>
      <c r="AC509">
        <f ca="1"/>
        <v>45768</v>
      </c>
      <c r="AD509" t="str">
        <f ca="1"/>
        <v>No Transport allowance.</v>
      </c>
      <c r="AE509" t="str">
        <f ca="1"/>
        <v>Central</v>
      </c>
      <c r="AF509" t="str">
        <f ca="1"/>
        <v>Mineral</v>
      </c>
      <c r="AG509" t="str">
        <f ca="1"/>
        <v>MCO</v>
      </c>
      <c r="AH509" t="str">
        <f ca="1"/>
        <v>20W40</v>
      </c>
      <c r="AI509" t="str">
        <f ca="1"/>
        <v>3000</v>
      </c>
      <c r="AJ509">
        <f ca="1"/>
        <v>0</v>
      </c>
      <c r="AK509" t="str">
        <f ca="1"/>
        <v>20x1L</v>
      </c>
      <c r="AL509">
        <f ca="1"/>
        <v>82552</v>
      </c>
      <c r="AM509">
        <f ca="1"/>
        <v>7882.7826086956484</v>
      </c>
      <c r="AN509" t="str">
        <f ca="1"/>
        <v>O-45767-D-0007</v>
      </c>
      <c r="AO509" t="str">
        <f ca="1"/>
        <v>Delivered</v>
      </c>
    </row>
    <row r="510" spans="1:41" x14ac:dyDescent="0.5">
      <c r="A510" t="str">
        <f ca="1"/>
        <v>F-236</v>
      </c>
      <c r="B510" s="1">
        <f ca="1"/>
        <v>45767</v>
      </c>
      <c r="C510" t="str">
        <f ca="1"/>
        <v>D-0007</v>
      </c>
      <c r="D510" t="str">
        <f ca="1"/>
        <v>Maa Auto</v>
      </c>
      <c r="E510" t="str">
        <f ca="1"/>
        <v>Mirpur</v>
      </c>
      <c r="F510" t="str">
        <f ca="1"/>
        <v/>
      </c>
      <c r="G510" t="str">
        <f ca="1"/>
        <v>Sayed Al Amin Apu</v>
      </c>
      <c r="H510" t="str">
        <f ca="1"/>
        <v>Abdul Matin</v>
      </c>
      <c r="I510" t="str">
        <f ca="1"/>
        <v>Maa Auto</v>
      </c>
      <c r="J510" t="str">
        <f ca="1"/>
        <v>Mirpur 10</v>
      </c>
      <c r="K510" t="str">
        <f ca="1"/>
        <v>LO00119</v>
      </c>
      <c r="L510" t="str">
        <f ca="1"/>
        <v>3000 4T 20W50</v>
      </c>
      <c r="M510">
        <f ca="1"/>
        <v>500</v>
      </c>
      <c r="N510">
        <f ca="1"/>
        <v>495</v>
      </c>
      <c r="O510">
        <f ca="1"/>
        <v>500</v>
      </c>
      <c r="P510">
        <f ca="1"/>
        <v>0.11111111111111116</v>
      </c>
      <c r="Q510">
        <f ca="1"/>
        <v>0</v>
      </c>
      <c r="R510">
        <f ca="1"/>
        <v>440</v>
      </c>
      <c r="S510">
        <f ca="1"/>
        <v>500</v>
      </c>
      <c r="T510">
        <f ca="1"/>
        <v>500</v>
      </c>
      <c r="U510">
        <f ca="1"/>
        <v>247500</v>
      </c>
      <c r="V510">
        <f ca="1"/>
        <v>0</v>
      </c>
      <c r="W510">
        <f ca="1"/>
        <v>220000</v>
      </c>
      <c r="X510">
        <f ca="1"/>
        <v>28695.652173913044</v>
      </c>
      <c r="Y510">
        <f ca="1"/>
        <v>191304.34782608695</v>
      </c>
      <c r="Z510" t="str">
        <f ca="1"/>
        <v>Cash</v>
      </c>
      <c r="AA510">
        <f ca="1"/>
        <v>698</v>
      </c>
      <c r="AB510" t="str">
        <f ca="1"/>
        <v>Custom</v>
      </c>
      <c r="AC510">
        <f ca="1"/>
        <v>45768</v>
      </c>
      <c r="AD510" t="str">
        <f ca="1"/>
        <v>No Transport allowance.</v>
      </c>
      <c r="AE510" t="str">
        <f ca="1"/>
        <v>Central</v>
      </c>
      <c r="AF510" t="str">
        <f ca="1"/>
        <v>Mineral</v>
      </c>
      <c r="AG510" t="str">
        <f ca="1"/>
        <v>MCO</v>
      </c>
      <c r="AH510" t="str">
        <f ca="1"/>
        <v>20W50</v>
      </c>
      <c r="AI510" t="str">
        <f ca="1"/>
        <v>3000</v>
      </c>
      <c r="AJ510">
        <f ca="1"/>
        <v>0</v>
      </c>
      <c r="AK510" t="str">
        <f ca="1"/>
        <v>20x1L</v>
      </c>
      <c r="AL510">
        <f ca="1"/>
        <v>182460</v>
      </c>
      <c r="AM510">
        <f ca="1"/>
        <v>8844.3478260869451</v>
      </c>
      <c r="AN510" t="str">
        <f ca="1"/>
        <v>O-45767-D-0007</v>
      </c>
      <c r="AO510" t="str">
        <f ca="1"/>
        <v>Delivered</v>
      </c>
    </row>
    <row r="511" spans="1:41" x14ac:dyDescent="0.5">
      <c r="A511" t="str">
        <f ca="1"/>
        <v>F-237</v>
      </c>
      <c r="B511" s="1">
        <f ca="1"/>
        <v>45768</v>
      </c>
      <c r="C511" t="str">
        <f ca="1"/>
        <v>D-0001</v>
      </c>
      <c r="D511" t="str">
        <f ca="1"/>
        <v xml:space="preserve">M/S Hasan traders </v>
      </c>
      <c r="E511" t="str">
        <f ca="1"/>
        <v>pangsha</v>
      </c>
      <c r="F511">
        <f ca="1"/>
        <v>1711154387</v>
      </c>
      <c r="G511" t="str">
        <f ca="1"/>
        <v>Md.Mahfuzur Rahman</v>
      </c>
      <c r="H511" t="str">
        <f ca="1"/>
        <v>Abdul Matin</v>
      </c>
      <c r="I511" t="str">
        <f ca="1"/>
        <v>M/S Hasan Traders</v>
      </c>
      <c r="J511" t="str">
        <f ca="1"/>
        <v>Pangsha</v>
      </c>
      <c r="K511" t="str">
        <f ca="1"/>
        <v>LO00041</v>
      </c>
      <c r="L511" t="str">
        <f ca="1"/>
        <v>3000 4T PLUS 10W30</v>
      </c>
      <c r="M511">
        <f ca="1"/>
        <v>400</v>
      </c>
      <c r="N511">
        <f ca="1"/>
        <v>515</v>
      </c>
      <c r="O511">
        <f ca="1"/>
        <v>400</v>
      </c>
      <c r="P511">
        <f ca="1"/>
        <v>0</v>
      </c>
      <c r="Q511">
        <f ca="1"/>
        <v>0</v>
      </c>
      <c r="R511">
        <f ca="1"/>
        <v>515</v>
      </c>
      <c r="S511">
        <f ca="1"/>
        <v>400</v>
      </c>
      <c r="T511">
        <f ca="1"/>
        <v>400</v>
      </c>
      <c r="U511">
        <f ca="1"/>
        <v>206000</v>
      </c>
      <c r="V511">
        <f ca="1"/>
        <v>0</v>
      </c>
      <c r="W511">
        <f ca="1"/>
        <v>206000</v>
      </c>
      <c r="X511">
        <f ca="1"/>
        <v>26869.565217391304</v>
      </c>
      <c r="Y511">
        <f ca="1"/>
        <v>179130.4347826087</v>
      </c>
      <c r="Z511" t="str">
        <f ca="1"/>
        <v>Cash</v>
      </c>
      <c r="AA511">
        <f ca="1"/>
        <v>699</v>
      </c>
      <c r="AB511" t="str">
        <f ca="1"/>
        <v>Flat Discount</v>
      </c>
      <c r="AC511">
        <f ca="1"/>
        <v>45768</v>
      </c>
      <c r="AD511" t="str">
        <f ca="1"/>
        <v/>
      </c>
      <c r="AE511" t="str">
        <f ca="1"/>
        <v>Central</v>
      </c>
      <c r="AF511" t="str">
        <f ca="1"/>
        <v>Mineral</v>
      </c>
      <c r="AG511" t="str">
        <f ca="1"/>
        <v>MCO</v>
      </c>
      <c r="AH511" t="str">
        <f ca="1"/>
        <v>10W30</v>
      </c>
      <c r="AI511" t="str">
        <f ca="1"/>
        <v>3000</v>
      </c>
      <c r="AJ511">
        <f ca="1"/>
        <v>0</v>
      </c>
      <c r="AK511" t="str">
        <f ca="1"/>
        <v>20x1L</v>
      </c>
      <c r="AL511">
        <f ca="1"/>
        <v>151732</v>
      </c>
      <c r="AM511">
        <f ca="1"/>
        <v>27398.434782608703</v>
      </c>
      <c r="AN511" t="str">
        <f ca="1"/>
        <v>O-45768-D-0001</v>
      </c>
      <c r="AO511" t="str">
        <f ca="1"/>
        <v>Delivered</v>
      </c>
    </row>
    <row r="512" spans="1:41" x14ac:dyDescent="0.5">
      <c r="A512" t="str">
        <f ca="1"/>
        <v>F-237</v>
      </c>
      <c r="B512" s="1">
        <f ca="1"/>
        <v>45768</v>
      </c>
      <c r="C512" t="str">
        <f ca="1"/>
        <v>D-0001</v>
      </c>
      <c r="D512" t="str">
        <f ca="1"/>
        <v xml:space="preserve">M/S Hasan traders </v>
      </c>
      <c r="E512" t="str">
        <f ca="1"/>
        <v>pangsha</v>
      </c>
      <c r="F512">
        <f ca="1"/>
        <v>1711154387</v>
      </c>
      <c r="G512" t="str">
        <f ca="1"/>
        <v>Md.Mahfuzur Rahman</v>
      </c>
      <c r="H512" t="str">
        <f ca="1"/>
        <v>Abdul Matin</v>
      </c>
      <c r="I512" t="str">
        <f ca="1"/>
        <v>M/S Hasan Traders</v>
      </c>
      <c r="J512" t="str">
        <f ca="1"/>
        <v>Pangsha</v>
      </c>
      <c r="K512" t="str">
        <f ca="1"/>
        <v>LO00043</v>
      </c>
      <c r="L512" t="str">
        <f ca="1"/>
        <v>3000 4T PLUS 10W40</v>
      </c>
      <c r="M512">
        <f ca="1"/>
        <v>600</v>
      </c>
      <c r="N512">
        <f ca="1"/>
        <v>515</v>
      </c>
      <c r="O512">
        <f ca="1"/>
        <v>600</v>
      </c>
      <c r="P512">
        <f ca="1"/>
        <v>0</v>
      </c>
      <c r="Q512">
        <f ca="1"/>
        <v>0</v>
      </c>
      <c r="R512">
        <f ca="1"/>
        <v>515</v>
      </c>
      <c r="S512">
        <f ca="1"/>
        <v>600</v>
      </c>
      <c r="T512">
        <f ca="1"/>
        <v>600</v>
      </c>
      <c r="U512">
        <f ca="1"/>
        <v>309000</v>
      </c>
      <c r="V512">
        <f ca="1"/>
        <v>0</v>
      </c>
      <c r="W512">
        <f ca="1"/>
        <v>309000</v>
      </c>
      <c r="X512">
        <f ca="1"/>
        <v>40304.34782608696</v>
      </c>
      <c r="Y512">
        <f ca="1"/>
        <v>268695.65217391303</v>
      </c>
      <c r="Z512" t="str">
        <f ca="1"/>
        <v>Cash</v>
      </c>
      <c r="AA512">
        <f ca="1"/>
        <v>699</v>
      </c>
      <c r="AB512" t="str">
        <f ca="1"/>
        <v>Flat Discount</v>
      </c>
      <c r="AC512">
        <f ca="1"/>
        <v>45768</v>
      </c>
      <c r="AD512" t="str">
        <f ca="1"/>
        <v/>
      </c>
      <c r="AE512" t="str">
        <f ca="1"/>
        <v>Central</v>
      </c>
      <c r="AF512" t="str">
        <f ca="1"/>
        <v>Mineral</v>
      </c>
      <c r="AG512" t="str">
        <f ca="1"/>
        <v>MCO</v>
      </c>
      <c r="AH512" t="str">
        <f ca="1"/>
        <v>10W40</v>
      </c>
      <c r="AI512" t="str">
        <f ca="1"/>
        <v>3000</v>
      </c>
      <c r="AJ512">
        <f ca="1"/>
        <v>0</v>
      </c>
      <c r="AK512" t="str">
        <f ca="1"/>
        <v>20x1L</v>
      </c>
      <c r="AL512">
        <f ca="1"/>
        <v>230910</v>
      </c>
      <c r="AM512">
        <f ca="1"/>
        <v>37785.652173913026</v>
      </c>
      <c r="AN512" t="str">
        <f ca="1"/>
        <v>O-45768-D-0001</v>
      </c>
      <c r="AO512" t="str">
        <f ca="1"/>
        <v>Delivered</v>
      </c>
    </row>
    <row r="513" spans="1:41" x14ac:dyDescent="0.5">
      <c r="A513" t="str">
        <f ca="1"/>
        <v>F-237</v>
      </c>
      <c r="B513" s="1">
        <f ca="1"/>
        <v>45768</v>
      </c>
      <c r="C513" t="str">
        <f ca="1"/>
        <v>D-0001</v>
      </c>
      <c r="D513" t="str">
        <f ca="1"/>
        <v xml:space="preserve">M/S Hasan traders </v>
      </c>
      <c r="E513" t="str">
        <f ca="1"/>
        <v>pangsha</v>
      </c>
      <c r="F513">
        <f ca="1"/>
        <v>1711154387</v>
      </c>
      <c r="G513" t="str">
        <f ca="1"/>
        <v>Md.Mahfuzur Rahman</v>
      </c>
      <c r="H513" t="str">
        <f ca="1"/>
        <v>Abdul Matin</v>
      </c>
      <c r="I513" t="str">
        <f ca="1"/>
        <v>M/S Hasan Traders</v>
      </c>
      <c r="J513" t="str">
        <f ca="1"/>
        <v>Pangsha</v>
      </c>
      <c r="K513" t="str">
        <f ca="1"/>
        <v>LO00044</v>
      </c>
      <c r="L513" t="str">
        <f ca="1"/>
        <v>31004T GOLD 20W50</v>
      </c>
      <c r="M513">
        <f ca="1"/>
        <v>200</v>
      </c>
      <c r="N513">
        <f ca="1"/>
        <v>570</v>
      </c>
      <c r="O513">
        <f ca="1"/>
        <v>200</v>
      </c>
      <c r="P513">
        <f ca="1"/>
        <v>0</v>
      </c>
      <c r="Q513">
        <f ca="1"/>
        <v>0</v>
      </c>
      <c r="R513">
        <f ca="1"/>
        <v>570</v>
      </c>
      <c r="S513">
        <f ca="1"/>
        <v>200</v>
      </c>
      <c r="T513">
        <f ca="1"/>
        <v>200</v>
      </c>
      <c r="U513">
        <f ca="1"/>
        <v>114000</v>
      </c>
      <c r="V513">
        <f ca="1"/>
        <v>0</v>
      </c>
      <c r="W513">
        <f ca="1"/>
        <v>114000</v>
      </c>
      <c r="X513">
        <f ca="1"/>
        <v>14869.565217391304</v>
      </c>
      <c r="Y513">
        <f ca="1"/>
        <v>99130.434782608689</v>
      </c>
      <c r="Z513" t="str">
        <f ca="1"/>
        <v>Cash</v>
      </c>
      <c r="AA513">
        <f ca="1"/>
        <v>699</v>
      </c>
      <c r="AB513" t="str">
        <f ca="1"/>
        <v>Flat Discount</v>
      </c>
      <c r="AC513">
        <f ca="1"/>
        <v>45768</v>
      </c>
      <c r="AD513" t="str">
        <f ca="1"/>
        <v/>
      </c>
      <c r="AE513" t="str">
        <f ca="1"/>
        <v>Central</v>
      </c>
      <c r="AF513" t="str">
        <f ca="1"/>
        <v>Technosynthese</v>
      </c>
      <c r="AG513" t="str">
        <f ca="1"/>
        <v>MCO</v>
      </c>
      <c r="AH513" t="str">
        <f ca="1"/>
        <v>20W50</v>
      </c>
      <c r="AI513" t="str">
        <f ca="1"/>
        <v>3100</v>
      </c>
      <c r="AJ513">
        <f ca="1"/>
        <v>0</v>
      </c>
      <c r="AK513" t="str">
        <f ca="1"/>
        <v>20x1L</v>
      </c>
      <c r="AL513">
        <f ca="1"/>
        <v>93878</v>
      </c>
      <c r="AM513">
        <f ca="1"/>
        <v>5252.4347826086887</v>
      </c>
      <c r="AN513" t="str">
        <f ca="1"/>
        <v>O-45768-D-0001</v>
      </c>
      <c r="AO513" t="str">
        <f ca="1"/>
        <v>Delivered</v>
      </c>
    </row>
    <row r="514" spans="1:41" x14ac:dyDescent="0.5">
      <c r="A514" t="str">
        <f ca="1"/>
        <v>F-237</v>
      </c>
      <c r="B514" s="1">
        <f ca="1"/>
        <v>45768</v>
      </c>
      <c r="C514" t="str">
        <f ca="1"/>
        <v>D-0001</v>
      </c>
      <c r="D514" t="str">
        <f ca="1"/>
        <v xml:space="preserve">M/S Hasan traders </v>
      </c>
      <c r="E514" t="str">
        <f ca="1"/>
        <v>pangsha</v>
      </c>
      <c r="F514">
        <f ca="1"/>
        <v>1711154387</v>
      </c>
      <c r="G514" t="str">
        <f ca="1"/>
        <v>Md.Mahfuzur Rahman</v>
      </c>
      <c r="H514" t="str">
        <f ca="1"/>
        <v>Abdul Matin</v>
      </c>
      <c r="I514" t="str">
        <f ca="1"/>
        <v>M/S Hasan Traders</v>
      </c>
      <c r="J514" t="str">
        <f ca="1"/>
        <v>Pangsha</v>
      </c>
      <c r="K514" t="str">
        <f ca="1"/>
        <v>LO00119</v>
      </c>
      <c r="L514" t="str">
        <f ca="1"/>
        <v>3000 4T 20W50</v>
      </c>
      <c r="M514">
        <f ca="1"/>
        <v>1000</v>
      </c>
      <c r="N514">
        <f ca="1"/>
        <v>400</v>
      </c>
      <c r="O514">
        <f ca="1"/>
        <v>1000</v>
      </c>
      <c r="P514">
        <f ca="1"/>
        <v>0</v>
      </c>
      <c r="Q514">
        <f ca="1"/>
        <v>0</v>
      </c>
      <c r="R514">
        <f ca="1"/>
        <v>400</v>
      </c>
      <c r="S514">
        <f ca="1"/>
        <v>1000</v>
      </c>
      <c r="T514">
        <f ca="1"/>
        <v>1000</v>
      </c>
      <c r="U514">
        <f ca="1"/>
        <v>400000</v>
      </c>
      <c r="V514">
        <f ca="1"/>
        <v>0</v>
      </c>
      <c r="W514">
        <f ca="1"/>
        <v>400000</v>
      </c>
      <c r="X514">
        <f ca="1"/>
        <v>52173.913043478264</v>
      </c>
      <c r="Y514">
        <f ca="1"/>
        <v>347826.08695652173</v>
      </c>
      <c r="Z514" t="str">
        <f ca="1"/>
        <v>Cash</v>
      </c>
      <c r="AA514">
        <f ca="1"/>
        <v>699</v>
      </c>
      <c r="AB514" t="str">
        <f ca="1"/>
        <v>Flat Discount</v>
      </c>
      <c r="AC514">
        <f ca="1"/>
        <v>45768</v>
      </c>
      <c r="AD514" t="str">
        <f ca="1"/>
        <v/>
      </c>
      <c r="AE514" t="str">
        <f ca="1"/>
        <v>Central</v>
      </c>
      <c r="AF514" t="str">
        <f ca="1"/>
        <v>Mineral</v>
      </c>
      <c r="AG514" t="str">
        <f ca="1"/>
        <v>MCO</v>
      </c>
      <c r="AH514" t="str">
        <f ca="1"/>
        <v>20W50</v>
      </c>
      <c r="AI514" t="str">
        <f ca="1"/>
        <v>3000</v>
      </c>
      <c r="AJ514">
        <f ca="1"/>
        <v>0</v>
      </c>
      <c r="AK514" t="str">
        <f ca="1"/>
        <v>20x1L</v>
      </c>
      <c r="AL514">
        <f ca="1"/>
        <v>364920</v>
      </c>
      <c r="AM514">
        <f ca="1"/>
        <v>-17093.913043478271</v>
      </c>
      <c r="AN514" t="str">
        <f ca="1"/>
        <v>O-45768-D-0001</v>
      </c>
      <c r="AO514" t="str">
        <f ca="1"/>
        <v>Delivered</v>
      </c>
    </row>
    <row r="515" spans="1:41" x14ac:dyDescent="0.5">
      <c r="A515" t="str">
        <f ca="1"/>
        <v>F-237</v>
      </c>
      <c r="B515" s="1">
        <f ca="1"/>
        <v>45768</v>
      </c>
      <c r="C515" t="str">
        <f ca="1"/>
        <v>D-0001</v>
      </c>
      <c r="D515" t="str">
        <f ca="1"/>
        <v xml:space="preserve">M/S Hasan traders </v>
      </c>
      <c r="E515" t="str">
        <f ca="1"/>
        <v>pangsha</v>
      </c>
      <c r="F515">
        <f ca="1"/>
        <v>1711154387</v>
      </c>
      <c r="G515" t="str">
        <f ca="1"/>
        <v>Md.Mahfuzur Rahman</v>
      </c>
      <c r="H515" t="str">
        <f ca="1"/>
        <v>Abdul Matin</v>
      </c>
      <c r="I515" t="str">
        <f ca="1"/>
        <v>M/S Hasan Traders</v>
      </c>
      <c r="J515" t="str">
        <f ca="1"/>
        <v>Pangsha</v>
      </c>
      <c r="K515" t="str">
        <f ca="1"/>
        <v>LO00120</v>
      </c>
      <c r="L515" t="str">
        <f ca="1"/>
        <v>3000 4T 20W50</v>
      </c>
      <c r="M515">
        <f ca="1"/>
        <v>180</v>
      </c>
      <c r="N515">
        <f ca="1"/>
        <v>500</v>
      </c>
      <c r="O515">
        <f ca="1"/>
        <v>216</v>
      </c>
      <c r="P515">
        <f ca="1"/>
        <v>0</v>
      </c>
      <c r="Q515">
        <f ca="1"/>
        <v>0</v>
      </c>
      <c r="R515">
        <f ca="1"/>
        <v>500</v>
      </c>
      <c r="S515">
        <f ca="1"/>
        <v>180</v>
      </c>
      <c r="T515">
        <f ca="1"/>
        <v>216</v>
      </c>
      <c r="U515">
        <f ca="1"/>
        <v>90000</v>
      </c>
      <c r="V515">
        <f ca="1"/>
        <v>0</v>
      </c>
      <c r="W515">
        <f ca="1"/>
        <v>90000</v>
      </c>
      <c r="X515">
        <f ca="1"/>
        <v>11739.130434782608</v>
      </c>
      <c r="Y515">
        <f ca="1"/>
        <v>78260.869565217392</v>
      </c>
      <c r="Z515" t="str">
        <f ca="1"/>
        <v>Cash</v>
      </c>
      <c r="AA515">
        <f ca="1"/>
        <v>699</v>
      </c>
      <c r="AB515" t="str">
        <f ca="1"/>
        <v>Flat Discount</v>
      </c>
      <c r="AC515">
        <f ca="1"/>
        <v>45768</v>
      </c>
      <c r="AD515" t="str">
        <f ca="1"/>
        <v/>
      </c>
      <c r="AE515" t="str">
        <f ca="1"/>
        <v>Central</v>
      </c>
      <c r="AF515" t="str">
        <f ca="1"/>
        <v>Mineral</v>
      </c>
      <c r="AG515" t="str">
        <f ca="1"/>
        <v>MCO</v>
      </c>
      <c r="AH515" t="str">
        <f ca="1"/>
        <v>20W50</v>
      </c>
      <c r="AI515" t="str">
        <f ca="1"/>
        <v>3000</v>
      </c>
      <c r="AJ515">
        <f ca="1"/>
        <v>0</v>
      </c>
      <c r="AK515" t="str">
        <f ca="1"/>
        <v>20x1.2L</v>
      </c>
      <c r="AL515">
        <f ca="1"/>
        <v>78229.8</v>
      </c>
      <c r="AM515">
        <f ca="1"/>
        <v>31.069565217389027</v>
      </c>
      <c r="AN515" t="str">
        <f ca="1"/>
        <v>O-45768-D-0001</v>
      </c>
      <c r="AO515" t="str">
        <f ca="1"/>
        <v>Delivered</v>
      </c>
    </row>
    <row r="516" spans="1:41" x14ac:dyDescent="0.5">
      <c r="A516" t="str">
        <f ca="1"/>
        <v>F-238</v>
      </c>
      <c r="B516" s="1">
        <f ca="1"/>
        <v>45767</v>
      </c>
      <c r="C516" t="str">
        <f ca="1"/>
        <v>D-0003</v>
      </c>
      <c r="D516" t="str">
        <f ca="1"/>
        <v>Bajaj Parts Center</v>
      </c>
      <c r="E516" t="str">
        <f ca="1"/>
        <v>Taltola, Sylhet</v>
      </c>
      <c r="F516" t="str">
        <f ca="1"/>
        <v>+88001711-700652</v>
      </c>
      <c r="G516" t="str">
        <f ca="1"/>
        <v>Md. Robin Sheikh</v>
      </c>
      <c r="H516" t="str">
        <f ca="1"/>
        <v>Razur Rahman (Bipul)</v>
      </c>
      <c r="I516" t="str">
        <f ca="1"/>
        <v>Bajaj Parts Center</v>
      </c>
      <c r="J516" t="str">
        <f ca="1"/>
        <v>Taltola</v>
      </c>
      <c r="K516" t="str">
        <f ca="1"/>
        <v>LO00041</v>
      </c>
      <c r="L516" t="str">
        <f ca="1"/>
        <v>3000 4T PLUS 10W30</v>
      </c>
      <c r="M516">
        <f ca="1"/>
        <v>60</v>
      </c>
      <c r="N516">
        <f ca="1"/>
        <v>540</v>
      </c>
      <c r="O516">
        <f ca="1"/>
        <v>60</v>
      </c>
      <c r="P516">
        <f ca="1"/>
        <v>9.2592592592593004E-3</v>
      </c>
      <c r="Q516">
        <f ca="1"/>
        <v>0</v>
      </c>
      <c r="R516">
        <f ca="1"/>
        <v>535</v>
      </c>
      <c r="S516">
        <f ca="1"/>
        <v>60</v>
      </c>
      <c r="T516">
        <f ca="1"/>
        <v>60</v>
      </c>
      <c r="U516">
        <f ca="1"/>
        <v>32400</v>
      </c>
      <c r="V516">
        <f ca="1"/>
        <v>0</v>
      </c>
      <c r="W516">
        <f ca="1"/>
        <v>32100</v>
      </c>
      <c r="X516">
        <f ca="1"/>
        <v>4186.95652173913</v>
      </c>
      <c r="Y516">
        <f ca="1"/>
        <v>27913.043478260868</v>
      </c>
      <c r="Z516" t="str">
        <f ca="1"/>
        <v>Cash</v>
      </c>
      <c r="AA516">
        <f ca="1"/>
        <v>700</v>
      </c>
      <c r="AB516" t="str">
        <f ca="1"/>
        <v>Custom</v>
      </c>
      <c r="AC516">
        <f ca="1"/>
        <v>45768</v>
      </c>
      <c r="AD516" t="str">
        <f ca="1"/>
        <v/>
      </c>
      <c r="AE516" t="str">
        <f ca="1"/>
        <v>Eastern</v>
      </c>
      <c r="AF516" t="str">
        <f ca="1"/>
        <v>Mineral</v>
      </c>
      <c r="AG516" t="str">
        <f ca="1"/>
        <v>MCO</v>
      </c>
      <c r="AH516" t="str">
        <f ca="1"/>
        <v>10W30</v>
      </c>
      <c r="AI516" t="str">
        <f ca="1"/>
        <v>3000</v>
      </c>
      <c r="AJ516">
        <f ca="1"/>
        <v>0</v>
      </c>
      <c r="AK516" t="str">
        <f ca="1"/>
        <v>20x1L</v>
      </c>
      <c r="AL516">
        <f ca="1"/>
        <v>22759.8</v>
      </c>
      <c r="AM516">
        <f ca="1"/>
        <v>5153.2434782608689</v>
      </c>
      <c r="AN516" t="str">
        <f ca="1"/>
        <v>O-45767-D-0003</v>
      </c>
      <c r="AO516" t="str">
        <f ca="1"/>
        <v>Delivered</v>
      </c>
    </row>
    <row r="517" spans="1:41" x14ac:dyDescent="0.5">
      <c r="A517" t="str">
        <f ca="1"/>
        <v>F-238</v>
      </c>
      <c r="B517" s="1">
        <f ca="1"/>
        <v>45767</v>
      </c>
      <c r="C517" t="str">
        <f ca="1"/>
        <v>D-0003</v>
      </c>
      <c r="D517" t="str">
        <f ca="1"/>
        <v>Bajaj Parts Center</v>
      </c>
      <c r="E517" t="str">
        <f ca="1"/>
        <v>Taltola, Sylhet</v>
      </c>
      <c r="F517" t="str">
        <f ca="1"/>
        <v>+88001711-700652</v>
      </c>
      <c r="G517" t="str">
        <f ca="1"/>
        <v>Md. Robin Sheikh</v>
      </c>
      <c r="H517" t="str">
        <f ca="1"/>
        <v>Razur Rahman (Bipul)</v>
      </c>
      <c r="I517" t="str">
        <f ca="1"/>
        <v>Bajaj Parts Center</v>
      </c>
      <c r="J517" t="str">
        <f ca="1"/>
        <v>Taltola</v>
      </c>
      <c r="K517" t="str">
        <f ca="1"/>
        <v>LO00043</v>
      </c>
      <c r="L517" t="str">
        <f ca="1"/>
        <v>3000 4T PLUS 10W40</v>
      </c>
      <c r="M517">
        <f ca="1"/>
        <v>440</v>
      </c>
      <c r="N517">
        <f ca="1"/>
        <v>550</v>
      </c>
      <c r="O517">
        <f ca="1"/>
        <v>440</v>
      </c>
      <c r="P517">
        <f ca="1"/>
        <v>2.7272727272727226E-2</v>
      </c>
      <c r="Q517">
        <f ca="1"/>
        <v>0</v>
      </c>
      <c r="R517">
        <f ca="1"/>
        <v>535</v>
      </c>
      <c r="S517">
        <f ca="1"/>
        <v>440</v>
      </c>
      <c r="T517">
        <f ca="1"/>
        <v>440</v>
      </c>
      <c r="U517">
        <f ca="1"/>
        <v>242000</v>
      </c>
      <c r="V517">
        <f ca="1"/>
        <v>0</v>
      </c>
      <c r="W517">
        <f ca="1"/>
        <v>235400</v>
      </c>
      <c r="X517">
        <f ca="1"/>
        <v>30704.347826086956</v>
      </c>
      <c r="Y517">
        <f ca="1"/>
        <v>204695.65217391305</v>
      </c>
      <c r="Z517" t="str">
        <f ca="1"/>
        <v>Cash</v>
      </c>
      <c r="AA517">
        <f ca="1"/>
        <v>700</v>
      </c>
      <c r="AB517" t="str">
        <f ca="1"/>
        <v>Custom</v>
      </c>
      <c r="AC517">
        <f ca="1"/>
        <v>45768</v>
      </c>
      <c r="AD517" t="str">
        <f ca="1"/>
        <v/>
      </c>
      <c r="AE517" t="str">
        <f ca="1"/>
        <v>Eastern</v>
      </c>
      <c r="AF517" t="str">
        <f ca="1"/>
        <v>Mineral</v>
      </c>
      <c r="AG517" t="str">
        <f ca="1"/>
        <v>MCO</v>
      </c>
      <c r="AH517" t="str">
        <f ca="1"/>
        <v>10W40</v>
      </c>
      <c r="AI517" t="str">
        <f ca="1"/>
        <v>3000</v>
      </c>
      <c r="AJ517">
        <f ca="1"/>
        <v>0</v>
      </c>
      <c r="AK517" t="str">
        <f ca="1"/>
        <v>20x1L</v>
      </c>
      <c r="AL517">
        <f ca="1"/>
        <v>169334</v>
      </c>
      <c r="AM517">
        <f ca="1"/>
        <v>35361.652173913055</v>
      </c>
      <c r="AN517" t="str">
        <f ca="1"/>
        <v>O-45767-D-0003</v>
      </c>
      <c r="AO517" t="str">
        <f ca="1"/>
        <v>Delivered</v>
      </c>
    </row>
    <row r="518" spans="1:41" x14ac:dyDescent="0.5">
      <c r="A518" t="str">
        <f ca="1"/>
        <v>F-245</v>
      </c>
      <c r="B518" s="1">
        <f ca="1"/>
        <v>45762</v>
      </c>
      <c r="C518" t="str">
        <f ca="1"/>
        <v>D-0006</v>
      </c>
      <c r="D518" t="str">
        <f ca="1"/>
        <v>Maliha Enterprise</v>
      </c>
      <c r="E518" t="str">
        <f ca="1"/>
        <v>Savar</v>
      </c>
      <c r="F518" t="str">
        <f ca="1"/>
        <v/>
      </c>
      <c r="G518" t="str">
        <f ca="1"/>
        <v>Sayed Al Amin Apu</v>
      </c>
      <c r="H518" t="str">
        <f ca="1"/>
        <v>Abdul Matin</v>
      </c>
      <c r="I518" t="str">
        <f ca="1"/>
        <v>Maliha Enterprise</v>
      </c>
      <c r="J518" t="str">
        <f ca="1"/>
        <v>Savar</v>
      </c>
      <c r="K518" t="str">
        <f ca="1"/>
        <v>LO00041</v>
      </c>
      <c r="L518" t="str">
        <f ca="1"/>
        <v>3000 4T PLUS 10W30</v>
      </c>
      <c r="M518">
        <f ca="1"/>
        <v>400</v>
      </c>
      <c r="N518">
        <f ca="1"/>
        <v>540</v>
      </c>
      <c r="O518">
        <f ca="1"/>
        <v>400</v>
      </c>
      <c r="P518">
        <f ca="1"/>
        <v>3.703703703703709E-2</v>
      </c>
      <c r="Q518">
        <f ca="1"/>
        <v>0</v>
      </c>
      <c r="R518">
        <f ca="1"/>
        <v>520</v>
      </c>
      <c r="S518">
        <f ca="1"/>
        <v>400</v>
      </c>
      <c r="T518">
        <f ca="1"/>
        <v>400</v>
      </c>
      <c r="U518">
        <f ca="1"/>
        <v>216000</v>
      </c>
      <c r="V518">
        <f ca="1"/>
        <v>0</v>
      </c>
      <c r="W518">
        <f ca="1"/>
        <v>208000</v>
      </c>
      <c r="X518">
        <f ca="1"/>
        <v>27130.434782608696</v>
      </c>
      <c r="Y518">
        <f ca="1"/>
        <v>180869.5652173913</v>
      </c>
      <c r="Z518" t="str">
        <f ca="1"/>
        <v>Cash</v>
      </c>
      <c r="AA518">
        <f ca="1"/>
        <v>707</v>
      </c>
      <c r="AB518" t="str">
        <f ca="1"/>
        <v>Custom</v>
      </c>
      <c r="AC518">
        <f ca="1"/>
        <v>45769</v>
      </c>
      <c r="AD518" t="str">
        <f ca="1"/>
        <v>No Transport allowance.</v>
      </c>
      <c r="AE518" t="str">
        <f ca="1"/>
        <v>Central</v>
      </c>
      <c r="AF518" t="str">
        <f ca="1"/>
        <v>Mineral</v>
      </c>
      <c r="AG518" t="str">
        <f ca="1"/>
        <v>MCO</v>
      </c>
      <c r="AH518" t="str">
        <f ca="1"/>
        <v>10W30</v>
      </c>
      <c r="AI518" t="str">
        <f ca="1"/>
        <v>3000</v>
      </c>
      <c r="AJ518">
        <f ca="1"/>
        <v>0</v>
      </c>
      <c r="AK518" t="str">
        <f ca="1"/>
        <v>20x1L</v>
      </c>
      <c r="AL518">
        <f ca="1"/>
        <v>151732</v>
      </c>
      <c r="AM518">
        <f ca="1"/>
        <v>29137.565217391297</v>
      </c>
      <c r="AN518" t="str">
        <f ca="1"/>
        <v>O-45762-D-0006</v>
      </c>
      <c r="AO518" t="str">
        <f ca="1"/>
        <v>Delivered</v>
      </c>
    </row>
    <row r="519" spans="1:41" x14ac:dyDescent="0.5">
      <c r="A519" t="str">
        <f ca="1"/>
        <v>F-245</v>
      </c>
      <c r="B519" s="1">
        <f ca="1"/>
        <v>45762</v>
      </c>
      <c r="C519" t="str">
        <f ca="1"/>
        <v>D-0006</v>
      </c>
      <c r="D519" t="str">
        <f ca="1"/>
        <v>Maliha Enterprise</v>
      </c>
      <c r="E519" t="str">
        <f ca="1"/>
        <v>Savar</v>
      </c>
      <c r="F519" t="str">
        <f ca="1"/>
        <v/>
      </c>
      <c r="G519" t="str">
        <f ca="1"/>
        <v>Sayed Al Amin Apu</v>
      </c>
      <c r="H519" t="str">
        <f ca="1"/>
        <v>Abdul Matin</v>
      </c>
      <c r="I519" t="str">
        <f ca="1"/>
        <v>Maliha Enterprise</v>
      </c>
      <c r="J519" t="str">
        <f ca="1"/>
        <v>Savar</v>
      </c>
      <c r="K519" t="str">
        <f ca="1"/>
        <v>LO00042</v>
      </c>
      <c r="L519" t="str">
        <f ca="1"/>
        <v>3000 4T PLUS 20W40</v>
      </c>
      <c r="M519">
        <f ca="1"/>
        <v>200</v>
      </c>
      <c r="N519">
        <f ca="1"/>
        <v>535</v>
      </c>
      <c r="O519">
        <f ca="1"/>
        <v>200</v>
      </c>
      <c r="P519">
        <f ca="1"/>
        <v>2.8037383177570097E-2</v>
      </c>
      <c r="Q519">
        <f ca="1"/>
        <v>0</v>
      </c>
      <c r="R519">
        <f ca="1"/>
        <v>520</v>
      </c>
      <c r="S519">
        <f ca="1"/>
        <v>200</v>
      </c>
      <c r="T519">
        <f ca="1"/>
        <v>200</v>
      </c>
      <c r="U519">
        <f ca="1"/>
        <v>107000</v>
      </c>
      <c r="V519">
        <f ca="1"/>
        <v>0</v>
      </c>
      <c r="W519">
        <f ca="1"/>
        <v>104000</v>
      </c>
      <c r="X519">
        <f ca="1"/>
        <v>13565.217391304348</v>
      </c>
      <c r="Y519">
        <f ca="1"/>
        <v>90434.782608695648</v>
      </c>
      <c r="Z519" t="str">
        <f ca="1"/>
        <v>Cash</v>
      </c>
      <c r="AA519">
        <f ca="1"/>
        <v>707</v>
      </c>
      <c r="AB519" t="str">
        <f ca="1"/>
        <v>Custom</v>
      </c>
      <c r="AC519">
        <f ca="1"/>
        <v>45769</v>
      </c>
      <c r="AD519" t="str">
        <f ca="1"/>
        <v>No Transport allowance.</v>
      </c>
      <c r="AE519" t="str">
        <f ca="1"/>
        <v>Central</v>
      </c>
      <c r="AF519" t="str">
        <f ca="1"/>
        <v>Mineral</v>
      </c>
      <c r="AG519" t="str">
        <f ca="1"/>
        <v>MCO</v>
      </c>
      <c r="AH519" t="str">
        <f ca="1"/>
        <v>20W40</v>
      </c>
      <c r="AI519" t="str">
        <f ca="1"/>
        <v>3000</v>
      </c>
      <c r="AJ519">
        <f ca="1"/>
        <v>0</v>
      </c>
      <c r="AK519" t="str">
        <f ca="1"/>
        <v>20x1L</v>
      </c>
      <c r="AL519">
        <f ca="1"/>
        <v>82552</v>
      </c>
      <c r="AM519">
        <f ca="1"/>
        <v>7882.7826086956484</v>
      </c>
      <c r="AN519" t="str">
        <f ca="1"/>
        <v>O-45762-D-0006</v>
      </c>
      <c r="AO519" t="str">
        <f ca="1"/>
        <v>Delivered</v>
      </c>
    </row>
    <row r="520" spans="1:41" x14ac:dyDescent="0.5">
      <c r="A520" t="str">
        <f ca="1"/>
        <v>F-245</v>
      </c>
      <c r="B520" s="1">
        <f ca="1"/>
        <v>45762</v>
      </c>
      <c r="C520" t="str">
        <f ca="1"/>
        <v>D-0006</v>
      </c>
      <c r="D520" t="str">
        <f ca="1"/>
        <v>Maliha Enterprise</v>
      </c>
      <c r="E520" t="str">
        <f ca="1"/>
        <v>Savar</v>
      </c>
      <c r="F520" t="str">
        <f ca="1"/>
        <v/>
      </c>
      <c r="G520" t="str">
        <f ca="1"/>
        <v>Sayed Al Amin Apu</v>
      </c>
      <c r="H520" t="str">
        <f ca="1"/>
        <v>Abdul Matin</v>
      </c>
      <c r="I520" t="str">
        <f ca="1"/>
        <v>Maliha Enterprise</v>
      </c>
      <c r="J520" t="str">
        <f ca="1"/>
        <v>Savar</v>
      </c>
      <c r="K520" t="str">
        <f ca="1"/>
        <v>LO00043</v>
      </c>
      <c r="L520" t="str">
        <f ca="1"/>
        <v>3000 4T PLUS 10W40</v>
      </c>
      <c r="M520">
        <f ca="1"/>
        <v>400</v>
      </c>
      <c r="N520">
        <f ca="1"/>
        <v>550</v>
      </c>
      <c r="O520">
        <f ca="1"/>
        <v>400</v>
      </c>
      <c r="P520">
        <f ca="1"/>
        <v>5.4545454545454564E-2</v>
      </c>
      <c r="Q520">
        <f ca="1"/>
        <v>0</v>
      </c>
      <c r="R520">
        <f ca="1"/>
        <v>520</v>
      </c>
      <c r="S520">
        <f ca="1"/>
        <v>400</v>
      </c>
      <c r="T520">
        <f ca="1"/>
        <v>400</v>
      </c>
      <c r="U520">
        <f ca="1"/>
        <v>220000</v>
      </c>
      <c r="V520">
        <f ca="1"/>
        <v>0</v>
      </c>
      <c r="W520">
        <f ca="1"/>
        <v>208000</v>
      </c>
      <c r="X520">
        <f ca="1"/>
        <v>27130.434782608696</v>
      </c>
      <c r="Y520">
        <f ca="1"/>
        <v>180869.5652173913</v>
      </c>
      <c r="Z520" t="str">
        <f ca="1"/>
        <v>Cash</v>
      </c>
      <c r="AA520">
        <f ca="1"/>
        <v>707</v>
      </c>
      <c r="AB520" t="str">
        <f ca="1"/>
        <v>Custom</v>
      </c>
      <c r="AC520">
        <f ca="1"/>
        <v>45769</v>
      </c>
      <c r="AD520" t="str">
        <f ca="1"/>
        <v>No Transport allowance.</v>
      </c>
      <c r="AE520" t="str">
        <f ca="1"/>
        <v>Central</v>
      </c>
      <c r="AF520" t="str">
        <f ca="1"/>
        <v>Mineral</v>
      </c>
      <c r="AG520" t="str">
        <f ca="1"/>
        <v>MCO</v>
      </c>
      <c r="AH520" t="str">
        <f ca="1"/>
        <v>10W40</v>
      </c>
      <c r="AI520" t="str">
        <f ca="1"/>
        <v>3000</v>
      </c>
      <c r="AJ520">
        <f ca="1"/>
        <v>0</v>
      </c>
      <c r="AK520" t="str">
        <f ca="1"/>
        <v>20x1L</v>
      </c>
      <c r="AL520">
        <f ca="1"/>
        <v>153940</v>
      </c>
      <c r="AM520">
        <f ca="1"/>
        <v>26929.565217391297</v>
      </c>
      <c r="AN520" t="str">
        <f ca="1"/>
        <v>O-45762-D-0006</v>
      </c>
      <c r="AO520" t="str">
        <f ca="1"/>
        <v>Delivered</v>
      </c>
    </row>
    <row r="521" spans="1:41" x14ac:dyDescent="0.5">
      <c r="A521" t="str">
        <f ca="1"/>
        <v>F-242</v>
      </c>
      <c r="B521" s="1">
        <f ca="1"/>
        <v>45768</v>
      </c>
      <c r="C521" t="str">
        <f ca="1"/>
        <v>D-0018</v>
      </c>
      <c r="D521" t="str">
        <f ca="1"/>
        <v xml:space="preserve">Mohammad Lub House </v>
      </c>
      <c r="E521" t="str">
        <f ca="1"/>
        <v xml:space="preserve">Dharmapur, Cumilla </v>
      </c>
      <c r="F521" t="str">
        <f ca="1"/>
        <v>01728083399</v>
      </c>
      <c r="G521" t="str">
        <f ca="1"/>
        <v>Sultan Anisul Islam</v>
      </c>
      <c r="H521" t="str">
        <f ca="1"/>
        <v>Razur Rahman (Bipul)</v>
      </c>
      <c r="I521" t="str">
        <f ca="1"/>
        <v>KB Lubricants</v>
      </c>
      <c r="J521" t="str">
        <f ca="1"/>
        <v>Kadamtoli</v>
      </c>
      <c r="K521" t="str">
        <f ca="1"/>
        <v>LO00074</v>
      </c>
      <c r="L521" t="str">
        <f ca="1"/>
        <v>7100 4T 10W30 ESTER CORE®</v>
      </c>
      <c r="M521">
        <f ca="1"/>
        <v>24</v>
      </c>
      <c r="N521">
        <f ca="1"/>
        <v>1020</v>
      </c>
      <c r="O521">
        <f ca="1"/>
        <v>24</v>
      </c>
      <c r="P521">
        <f ca="1"/>
        <v>0</v>
      </c>
      <c r="Q521">
        <f ca="1"/>
        <v>0</v>
      </c>
      <c r="R521">
        <f ca="1"/>
        <v>1020</v>
      </c>
      <c r="S521">
        <f ca="1"/>
        <v>24</v>
      </c>
      <c r="T521">
        <f ca="1"/>
        <v>24</v>
      </c>
      <c r="U521">
        <f ca="1"/>
        <v>24480</v>
      </c>
      <c r="V521">
        <f ca="1"/>
        <v>0</v>
      </c>
      <c r="W521">
        <f ca="1"/>
        <v>24480</v>
      </c>
      <c r="X521">
        <f ca="1"/>
        <v>3193.0434782608695</v>
      </c>
      <c r="Y521">
        <f ca="1"/>
        <v>21286.956521739132</v>
      </c>
      <c r="Z521" t="str">
        <f ca="1"/>
        <v>Cash</v>
      </c>
      <c r="AA521">
        <f ca="1"/>
        <v>704</v>
      </c>
      <c r="AB521" t="str">
        <f ca="1"/>
        <v>Flat Discount</v>
      </c>
      <c r="AC521">
        <f ca="1"/>
        <v>45769</v>
      </c>
      <c r="AD521" t="str">
        <f ca="1"/>
        <v/>
      </c>
      <c r="AE521" t="str">
        <f ca="1"/>
        <v>Eastern</v>
      </c>
      <c r="AF521" t="str">
        <f ca="1"/>
        <v>Synthetic</v>
      </c>
      <c r="AG521" t="str">
        <f ca="1"/>
        <v>MCO</v>
      </c>
      <c r="AH521" t="str">
        <f ca="1"/>
        <v>10W30</v>
      </c>
      <c r="AI521" t="str">
        <f ca="1"/>
        <v>7100</v>
      </c>
      <c r="AJ521">
        <f ca="1"/>
        <v>0</v>
      </c>
      <c r="AK521" t="str">
        <f ca="1"/>
        <v>12x1L</v>
      </c>
      <c r="AL521">
        <f ca="1"/>
        <v>16556.64</v>
      </c>
      <c r="AM521">
        <f ca="1"/>
        <v>4730.3165217391324</v>
      </c>
      <c r="AN521" t="str">
        <f ca="1"/>
        <v>O-45768-D-0018</v>
      </c>
      <c r="AO521" t="str">
        <f ca="1"/>
        <v>Delivered</v>
      </c>
    </row>
    <row r="522" spans="1:41" x14ac:dyDescent="0.5">
      <c r="A522" t="str">
        <f ca="1"/>
        <v>F-242</v>
      </c>
      <c r="B522" s="1">
        <f ca="1"/>
        <v>45768</v>
      </c>
      <c r="C522" t="str">
        <f ca="1"/>
        <v>D-0018</v>
      </c>
      <c r="D522" t="str">
        <f ca="1"/>
        <v xml:space="preserve">Mohammad Lub House </v>
      </c>
      <c r="E522" t="str">
        <f ca="1"/>
        <v xml:space="preserve">Dharmapur, Cumilla </v>
      </c>
      <c r="F522" t="str">
        <f ca="1"/>
        <v>01728083399</v>
      </c>
      <c r="G522" t="str">
        <f ca="1"/>
        <v>Sultan Anisul Islam</v>
      </c>
      <c r="H522" t="str">
        <f ca="1"/>
        <v>Razur Rahman (Bipul)</v>
      </c>
      <c r="I522" t="str">
        <f ca="1"/>
        <v>KB Lubricants</v>
      </c>
      <c r="J522" t="str">
        <f ca="1"/>
        <v>Kadamtoli</v>
      </c>
      <c r="K522" t="str">
        <f ca="1"/>
        <v>LO00048</v>
      </c>
      <c r="L522" t="str">
        <f ca="1"/>
        <v>7100 4T 20W50 ESTER CORE®</v>
      </c>
      <c r="M522">
        <f ca="1"/>
        <v>36</v>
      </c>
      <c r="N522">
        <f ca="1"/>
        <v>1020</v>
      </c>
      <c r="O522">
        <f ca="1"/>
        <v>36</v>
      </c>
      <c r="P522">
        <f ca="1"/>
        <v>0</v>
      </c>
      <c r="Q522">
        <f ca="1"/>
        <v>0</v>
      </c>
      <c r="R522">
        <f ca="1"/>
        <v>1020</v>
      </c>
      <c r="S522">
        <f ca="1"/>
        <v>36</v>
      </c>
      <c r="T522">
        <f ca="1"/>
        <v>36</v>
      </c>
      <c r="U522">
        <f ca="1"/>
        <v>36720</v>
      </c>
      <c r="V522">
        <f ca="1"/>
        <v>0</v>
      </c>
      <c r="W522">
        <f ca="1"/>
        <v>36720</v>
      </c>
      <c r="X522">
        <f ca="1"/>
        <v>4789.565217391304</v>
      </c>
      <c r="Y522">
        <f ca="1"/>
        <v>31930.434782608696</v>
      </c>
      <c r="Z522" t="str">
        <f ca="1"/>
        <v>Cash</v>
      </c>
      <c r="AA522">
        <f ca="1"/>
        <v>704</v>
      </c>
      <c r="AB522" t="str">
        <f ca="1"/>
        <v>Flat Discount</v>
      </c>
      <c r="AC522">
        <f ca="1"/>
        <v>45769</v>
      </c>
      <c r="AD522" t="str">
        <f ca="1"/>
        <v/>
      </c>
      <c r="AE522" t="str">
        <f ca="1"/>
        <v>Eastern</v>
      </c>
      <c r="AF522" t="str">
        <f ca="1"/>
        <v>Synthetic</v>
      </c>
      <c r="AG522" t="str">
        <f ca="1"/>
        <v>MCO</v>
      </c>
      <c r="AH522" t="str">
        <f ca="1"/>
        <v>20W50</v>
      </c>
      <c r="AI522" t="str">
        <f ca="1"/>
        <v>7100</v>
      </c>
      <c r="AJ522">
        <f ca="1"/>
        <v>0</v>
      </c>
      <c r="AK522" t="str">
        <f ca="1"/>
        <v>12x1L</v>
      </c>
      <c r="AL522">
        <f ca="1"/>
        <v>27493.142400000001</v>
      </c>
      <c r="AM522">
        <f ca="1"/>
        <v>4437.2923826086953</v>
      </c>
      <c r="AN522" t="str">
        <f ca="1"/>
        <v>O-45768-D-0018</v>
      </c>
      <c r="AO522" t="str">
        <f ca="1"/>
        <v>Delivered</v>
      </c>
    </row>
    <row r="523" spans="1:41" x14ac:dyDescent="0.5">
      <c r="A523" t="str">
        <f ca="1"/>
        <v>F-243</v>
      </c>
      <c r="B523" s="1">
        <f ca="1"/>
        <v>45768</v>
      </c>
      <c r="C523" t="str">
        <f ca="1"/>
        <v>D-0023</v>
      </c>
      <c r="D523" t="str">
        <f ca="1"/>
        <v xml:space="preserve">B S Motor’s  </v>
      </c>
      <c r="E523" t="str">
        <f ca="1"/>
        <v>Shapla,Rangpur</v>
      </c>
      <c r="F523">
        <f ca="1"/>
        <v>1780903329</v>
      </c>
      <c r="G523" t="str">
        <f ca="1"/>
        <v>Monirul Islam</v>
      </c>
      <c r="H523" t="str">
        <f ca="1"/>
        <v>Raihan Siddiqui</v>
      </c>
      <c r="I523" t="str">
        <f ca="1"/>
        <v>Bondhu Motors</v>
      </c>
      <c r="J523" t="str">
        <f ca="1"/>
        <v>Rangpur</v>
      </c>
      <c r="K523" t="str">
        <f ca="1"/>
        <v>LO00041</v>
      </c>
      <c r="L523" t="str">
        <f ca="1"/>
        <v>3000 4T PLUS 10W30</v>
      </c>
      <c r="M523">
        <f ca="1"/>
        <v>260</v>
      </c>
      <c r="N523">
        <f ca="1"/>
        <v>530</v>
      </c>
      <c r="O523">
        <f ca="1"/>
        <v>260</v>
      </c>
      <c r="P523">
        <f ca="1"/>
        <v>9.4339622641509413E-3</v>
      </c>
      <c r="Q523">
        <f ca="1"/>
        <v>0</v>
      </c>
      <c r="R523">
        <f ca="1"/>
        <v>525</v>
      </c>
      <c r="S523">
        <f ca="1"/>
        <v>260</v>
      </c>
      <c r="T523">
        <f ca="1"/>
        <v>260</v>
      </c>
      <c r="U523">
        <f ca="1"/>
        <v>137800</v>
      </c>
      <c r="V523">
        <f ca="1"/>
        <v>0</v>
      </c>
      <c r="W523">
        <f ca="1"/>
        <v>136500</v>
      </c>
      <c r="X523">
        <f ca="1"/>
        <v>17804.347826086956</v>
      </c>
      <c r="Y523">
        <f ca="1"/>
        <v>118695.65217391304</v>
      </c>
      <c r="Z523" t="str">
        <f ca="1"/>
        <v>Cash</v>
      </c>
      <c r="AA523">
        <f ca="1"/>
        <v>705</v>
      </c>
      <c r="AB523" t="str">
        <f ca="1"/>
        <v>Regular</v>
      </c>
      <c r="AC523">
        <f ca="1"/>
        <v>45769</v>
      </c>
      <c r="AD523" t="str">
        <f ca="1"/>
        <v/>
      </c>
      <c r="AE523" t="str">
        <f ca="1"/>
        <v>Northern</v>
      </c>
      <c r="AF523" t="str">
        <f ca="1"/>
        <v>Mineral</v>
      </c>
      <c r="AG523" t="str">
        <f ca="1"/>
        <v>MCO</v>
      </c>
      <c r="AH523" t="str">
        <f ca="1"/>
        <v>10W30</v>
      </c>
      <c r="AI523" t="str">
        <f ca="1"/>
        <v>3000</v>
      </c>
      <c r="AJ523">
        <f ca="1"/>
        <v>0</v>
      </c>
      <c r="AK523" t="str">
        <f ca="1"/>
        <v>20x1L</v>
      </c>
      <c r="AL523">
        <f ca="1"/>
        <v>98625.8</v>
      </c>
      <c r="AM523">
        <f ca="1"/>
        <v>20069.852173913037</v>
      </c>
      <c r="AN523" t="str">
        <f ca="1"/>
        <v>O-45768-D-0023</v>
      </c>
      <c r="AO523" t="str">
        <f ca="1"/>
        <v>Delivered</v>
      </c>
    </row>
    <row r="524" spans="1:41" x14ac:dyDescent="0.5">
      <c r="A524" t="str">
        <f ca="1"/>
        <v>F-243</v>
      </c>
      <c r="B524" s="1">
        <f ca="1"/>
        <v>45768</v>
      </c>
      <c r="C524" t="str">
        <f ca="1"/>
        <v>D-0023</v>
      </c>
      <c r="D524" t="str">
        <f ca="1"/>
        <v xml:space="preserve">B S Motor’s  </v>
      </c>
      <c r="E524" t="str">
        <f ca="1"/>
        <v>Shapla,Rangpur</v>
      </c>
      <c r="F524">
        <f ca="1"/>
        <v>1780903329</v>
      </c>
      <c r="G524" t="str">
        <f ca="1"/>
        <v>Monirul Islam</v>
      </c>
      <c r="H524" t="str">
        <f ca="1"/>
        <v>Raihan Siddiqui</v>
      </c>
      <c r="I524" t="str">
        <f ca="1"/>
        <v>Bondhu Motors</v>
      </c>
      <c r="J524" t="str">
        <f ca="1"/>
        <v>Rangpur</v>
      </c>
      <c r="K524" t="str">
        <f ca="1"/>
        <v>LO00043</v>
      </c>
      <c r="L524" t="str">
        <f ca="1"/>
        <v>3000 4T PLUS 10W40</v>
      </c>
      <c r="M524">
        <f ca="1"/>
        <v>700</v>
      </c>
      <c r="N524">
        <f ca="1"/>
        <v>530</v>
      </c>
      <c r="O524">
        <f ca="1"/>
        <v>700</v>
      </c>
      <c r="P524">
        <f ca="1"/>
        <v>9.4339622641509413E-3</v>
      </c>
      <c r="Q524">
        <f ca="1"/>
        <v>0</v>
      </c>
      <c r="R524">
        <f ca="1"/>
        <v>525</v>
      </c>
      <c r="S524">
        <f ca="1"/>
        <v>700</v>
      </c>
      <c r="T524">
        <f ca="1"/>
        <v>700</v>
      </c>
      <c r="U524">
        <f ca="1"/>
        <v>371000</v>
      </c>
      <c r="V524">
        <f ca="1"/>
        <v>0</v>
      </c>
      <c r="W524">
        <f ca="1"/>
        <v>367500</v>
      </c>
      <c r="X524">
        <f ca="1"/>
        <v>47934.782608695656</v>
      </c>
      <c r="Y524">
        <f ca="1"/>
        <v>319565.21739130432</v>
      </c>
      <c r="Z524" t="str">
        <f ca="1"/>
        <v>Cash</v>
      </c>
      <c r="AA524">
        <f ca="1"/>
        <v>705</v>
      </c>
      <c r="AB524" t="str">
        <f ca="1"/>
        <v>Regular</v>
      </c>
      <c r="AC524">
        <f ca="1"/>
        <v>45769</v>
      </c>
      <c r="AD524" t="str">
        <f ca="1"/>
        <v/>
      </c>
      <c r="AE524" t="str">
        <f ca="1"/>
        <v>Northern</v>
      </c>
      <c r="AF524" t="str">
        <f ca="1"/>
        <v>Mineral</v>
      </c>
      <c r="AG524" t="str">
        <f ca="1"/>
        <v>MCO</v>
      </c>
      <c r="AH524" t="str">
        <f ca="1"/>
        <v>10W40</v>
      </c>
      <c r="AI524" t="str">
        <f ca="1"/>
        <v>3000</v>
      </c>
      <c r="AJ524">
        <f ca="1"/>
        <v>0</v>
      </c>
      <c r="AK524" t="str">
        <f ca="1"/>
        <v>20x1L</v>
      </c>
      <c r="AL524">
        <f ca="1"/>
        <v>269395</v>
      </c>
      <c r="AM524">
        <f ca="1"/>
        <v>50170.217391304323</v>
      </c>
      <c r="AN524" t="str">
        <f ca="1"/>
        <v>O-45768-D-0023</v>
      </c>
      <c r="AO524" t="str">
        <f ca="1"/>
        <v>Delivered</v>
      </c>
    </row>
    <row r="525" spans="1:41" x14ac:dyDescent="0.5">
      <c r="A525" t="str">
        <f ca="1"/>
        <v>F-243</v>
      </c>
      <c r="B525" s="1">
        <f ca="1"/>
        <v>45768</v>
      </c>
      <c r="C525" t="str">
        <f ca="1"/>
        <v>D-0023</v>
      </c>
      <c r="D525" t="str">
        <f ca="1"/>
        <v xml:space="preserve">B S Motor’s  </v>
      </c>
      <c r="E525" t="str">
        <f ca="1"/>
        <v>Shapla,Rangpur</v>
      </c>
      <c r="F525">
        <f ca="1"/>
        <v>1780903329</v>
      </c>
      <c r="G525" t="str">
        <f ca="1"/>
        <v>Monirul Islam</v>
      </c>
      <c r="H525" t="str">
        <f ca="1"/>
        <v>Raihan Siddiqui</v>
      </c>
      <c r="I525" t="str">
        <f ca="1"/>
        <v>Bondhu Motors</v>
      </c>
      <c r="J525" t="str">
        <f ca="1"/>
        <v>Rangpur</v>
      </c>
      <c r="K525" t="str">
        <f ca="1"/>
        <v>LO00044</v>
      </c>
      <c r="L525" t="str">
        <f ca="1"/>
        <v>31004T GOLD 20W50</v>
      </c>
      <c r="M525">
        <f ca="1"/>
        <v>40</v>
      </c>
      <c r="N525">
        <f ca="1"/>
        <v>605</v>
      </c>
      <c r="O525">
        <f ca="1"/>
        <v>40</v>
      </c>
      <c r="P525">
        <f ca="1"/>
        <v>8.2644628099173278E-3</v>
      </c>
      <c r="Q525">
        <f ca="1"/>
        <v>0</v>
      </c>
      <c r="R525">
        <f ca="1"/>
        <v>600</v>
      </c>
      <c r="S525">
        <f ca="1"/>
        <v>40</v>
      </c>
      <c r="T525">
        <f ca="1"/>
        <v>40</v>
      </c>
      <c r="U525">
        <f ca="1"/>
        <v>24200</v>
      </c>
      <c r="V525">
        <f ca="1"/>
        <v>0</v>
      </c>
      <c r="W525">
        <f ca="1"/>
        <v>24000</v>
      </c>
      <c r="X525">
        <f ca="1"/>
        <v>3130.4347826086955</v>
      </c>
      <c r="Y525">
        <f ca="1"/>
        <v>20869.565217391304</v>
      </c>
      <c r="Z525" t="str">
        <f ca="1"/>
        <v>Cash</v>
      </c>
      <c r="AA525">
        <f ca="1"/>
        <v>705</v>
      </c>
      <c r="AB525" t="str">
        <f ca="1"/>
        <v>Regular</v>
      </c>
      <c r="AC525">
        <f ca="1"/>
        <v>45769</v>
      </c>
      <c r="AD525" t="str">
        <f ca="1"/>
        <v/>
      </c>
      <c r="AE525" t="str">
        <f ca="1"/>
        <v>Northern</v>
      </c>
      <c r="AF525" t="str">
        <f ca="1"/>
        <v>Technosynthese</v>
      </c>
      <c r="AG525" t="str">
        <f ca="1"/>
        <v>MCO</v>
      </c>
      <c r="AH525" t="str">
        <f ca="1"/>
        <v>20W50</v>
      </c>
      <c r="AI525" t="str">
        <f ca="1"/>
        <v>3100</v>
      </c>
      <c r="AJ525">
        <f ca="1"/>
        <v>0</v>
      </c>
      <c r="AK525" t="str">
        <f ca="1"/>
        <v>20x1L</v>
      </c>
      <c r="AL525">
        <f ca="1"/>
        <v>18775.599999999999</v>
      </c>
      <c r="AM525">
        <f ca="1"/>
        <v>2093.9652173913055</v>
      </c>
      <c r="AN525" t="str">
        <f ca="1"/>
        <v>O-45768-D-0023</v>
      </c>
      <c r="AO525" t="str">
        <f ca="1"/>
        <v>Delivered</v>
      </c>
    </row>
    <row r="526" spans="1:41" x14ac:dyDescent="0.5">
      <c r="A526" t="str">
        <f ca="1"/>
        <v>F-243</v>
      </c>
      <c r="B526" s="1">
        <f ca="1"/>
        <v>45768</v>
      </c>
      <c r="C526" t="str">
        <f ca="1"/>
        <v>D-0023</v>
      </c>
      <c r="D526" t="str">
        <f ca="1"/>
        <v xml:space="preserve">B S Motor’s  </v>
      </c>
      <c r="E526" t="str">
        <f ca="1"/>
        <v>Shapla,Rangpur</v>
      </c>
      <c r="F526">
        <f ca="1"/>
        <v>1780903329</v>
      </c>
      <c r="G526" t="str">
        <f ca="1"/>
        <v>Monirul Islam</v>
      </c>
      <c r="H526" t="str">
        <f ca="1"/>
        <v>Raihan Siddiqui</v>
      </c>
      <c r="I526" t="str">
        <f ca="1"/>
        <v>Bondhu Motors</v>
      </c>
      <c r="J526" t="str">
        <f ca="1"/>
        <v>Rangpur</v>
      </c>
      <c r="K526" t="str">
        <f ca="1"/>
        <v>LO00046</v>
      </c>
      <c r="L526" t="str">
        <f ca="1"/>
        <v>51004T 10W40 ESTER</v>
      </c>
      <c r="M526">
        <f ca="1"/>
        <v>24</v>
      </c>
      <c r="N526">
        <f ca="1"/>
        <v>855</v>
      </c>
      <c r="O526">
        <f ca="1"/>
        <v>24</v>
      </c>
      <c r="P526">
        <f ca="1"/>
        <v>5.8479532163743242E-3</v>
      </c>
      <c r="Q526">
        <f ca="1"/>
        <v>0</v>
      </c>
      <c r="R526">
        <f ca="1"/>
        <v>850</v>
      </c>
      <c r="S526">
        <f ca="1"/>
        <v>24</v>
      </c>
      <c r="T526">
        <f ca="1"/>
        <v>24</v>
      </c>
      <c r="U526">
        <f ca="1"/>
        <v>20520</v>
      </c>
      <c r="V526">
        <f ca="1"/>
        <v>0</v>
      </c>
      <c r="W526">
        <f ca="1"/>
        <v>20400</v>
      </c>
      <c r="X526">
        <f ca="1"/>
        <v>2660.8695652173915</v>
      </c>
      <c r="Y526">
        <f ca="1"/>
        <v>17739.130434782608</v>
      </c>
      <c r="Z526" t="str">
        <f ca="1"/>
        <v>Cash</v>
      </c>
      <c r="AA526">
        <f ca="1"/>
        <v>705</v>
      </c>
      <c r="AB526" t="str">
        <f ca="1"/>
        <v>Regular</v>
      </c>
      <c r="AC526">
        <f ca="1"/>
        <v>45769</v>
      </c>
      <c r="AD526" t="str">
        <f ca="1"/>
        <v/>
      </c>
      <c r="AE526" t="str">
        <f ca="1"/>
        <v>Northern</v>
      </c>
      <c r="AF526" t="str">
        <f ca="1"/>
        <v>Technosynthese</v>
      </c>
      <c r="AG526" t="str">
        <f ca="1"/>
        <v>MCO</v>
      </c>
      <c r="AH526" t="str">
        <f ca="1"/>
        <v>10W40</v>
      </c>
      <c r="AI526" t="str">
        <f ca="1"/>
        <v>5100</v>
      </c>
      <c r="AJ526">
        <f ca="1"/>
        <v>0</v>
      </c>
      <c r="AK526" t="str">
        <f ca="1"/>
        <v>12x1L</v>
      </c>
      <c r="AL526">
        <f ca="1"/>
        <v>14599.920000000002</v>
      </c>
      <c r="AM526">
        <f ca="1"/>
        <v>3139.2104347826062</v>
      </c>
      <c r="AN526" t="str">
        <f ca="1"/>
        <v>O-45768-D-0023</v>
      </c>
      <c r="AO526" t="str">
        <f ca="1"/>
        <v>Delivered</v>
      </c>
    </row>
    <row r="527" spans="1:41" x14ac:dyDescent="0.5">
      <c r="A527" t="str">
        <f ca="1"/>
        <v>F-243</v>
      </c>
      <c r="B527" s="1">
        <f ca="1"/>
        <v>45768</v>
      </c>
      <c r="C527" t="str">
        <f ca="1"/>
        <v>D-0023</v>
      </c>
      <c r="D527" t="str">
        <f ca="1"/>
        <v xml:space="preserve">B S Motor’s  </v>
      </c>
      <c r="E527" t="str">
        <f ca="1"/>
        <v>Shapla,Rangpur</v>
      </c>
      <c r="F527">
        <f ca="1"/>
        <v>1780903329</v>
      </c>
      <c r="G527" t="str">
        <f ca="1"/>
        <v>Monirul Islam</v>
      </c>
      <c r="H527" t="str">
        <f ca="1"/>
        <v>Raihan Siddiqui</v>
      </c>
      <c r="I527" t="str">
        <f ca="1"/>
        <v>Bondhu Motors</v>
      </c>
      <c r="J527" t="str">
        <f ca="1"/>
        <v>Rangpur</v>
      </c>
      <c r="K527" t="str">
        <f ca="1"/>
        <v>LO00048</v>
      </c>
      <c r="L527" t="str">
        <f ca="1"/>
        <v>7100 4T 20W50 ESTER CORE®</v>
      </c>
      <c r="M527">
        <f ca="1"/>
        <v>24</v>
      </c>
      <c r="N527">
        <f ca="1"/>
        <v>1045</v>
      </c>
      <c r="O527">
        <f ca="1"/>
        <v>24</v>
      </c>
      <c r="P527">
        <f ca="1"/>
        <v>4.784688995215336E-3</v>
      </c>
      <c r="Q527">
        <f ca="1"/>
        <v>0</v>
      </c>
      <c r="R527">
        <f ca="1"/>
        <v>1040</v>
      </c>
      <c r="S527">
        <f ca="1"/>
        <v>24</v>
      </c>
      <c r="T527">
        <f ca="1"/>
        <v>24</v>
      </c>
      <c r="U527">
        <f ca="1"/>
        <v>25080</v>
      </c>
      <c r="V527">
        <f ca="1"/>
        <v>0</v>
      </c>
      <c r="W527">
        <f ca="1"/>
        <v>24960</v>
      </c>
      <c r="X527">
        <f ca="1"/>
        <v>3255.6521739130435</v>
      </c>
      <c r="Y527">
        <f ca="1"/>
        <v>21704.347826086956</v>
      </c>
      <c r="Z527" t="str">
        <f ca="1"/>
        <v>Cash</v>
      </c>
      <c r="AA527">
        <f ca="1"/>
        <v>705</v>
      </c>
      <c r="AB527" t="str">
        <f ca="1"/>
        <v>Regular</v>
      </c>
      <c r="AC527">
        <f ca="1"/>
        <v>45769</v>
      </c>
      <c r="AD527" t="str">
        <f ca="1"/>
        <v/>
      </c>
      <c r="AE527" t="str">
        <f ca="1"/>
        <v>Northern</v>
      </c>
      <c r="AF527" t="str">
        <f ca="1"/>
        <v>Synthetic</v>
      </c>
      <c r="AG527" t="str">
        <f ca="1"/>
        <v>MCO</v>
      </c>
      <c r="AH527" t="str">
        <f ca="1"/>
        <v>20W50</v>
      </c>
      <c r="AI527" t="str">
        <f ca="1"/>
        <v>7100</v>
      </c>
      <c r="AJ527">
        <f ca="1"/>
        <v>0</v>
      </c>
      <c r="AK527" t="str">
        <f ca="1"/>
        <v>12x1L</v>
      </c>
      <c r="AL527">
        <f ca="1"/>
        <v>18328.761599999998</v>
      </c>
      <c r="AM527">
        <f ca="1"/>
        <v>3375.586226086958</v>
      </c>
      <c r="AN527" t="str">
        <f ca="1"/>
        <v>O-45768-D-0023</v>
      </c>
      <c r="AO527" t="str">
        <f ca="1"/>
        <v>Delivered</v>
      </c>
    </row>
    <row r="528" spans="1:41" x14ac:dyDescent="0.5">
      <c r="A528" t="str">
        <f ca="1"/>
        <v>F-243</v>
      </c>
      <c r="B528" s="1">
        <f ca="1"/>
        <v>45768</v>
      </c>
      <c r="C528" t="str">
        <f ca="1"/>
        <v>D-0023</v>
      </c>
      <c r="D528" t="str">
        <f ca="1"/>
        <v xml:space="preserve">B S Motor’s  </v>
      </c>
      <c r="E528" t="str">
        <f ca="1"/>
        <v>Shapla,Rangpur</v>
      </c>
      <c r="F528">
        <f ca="1"/>
        <v>1780903329</v>
      </c>
      <c r="G528" t="str">
        <f ca="1"/>
        <v>Monirul Islam</v>
      </c>
      <c r="H528" t="str">
        <f ca="1"/>
        <v>Raihan Siddiqui</v>
      </c>
      <c r="I528" t="str">
        <f ca="1"/>
        <v>Bondhu Motors</v>
      </c>
      <c r="J528" t="str">
        <f ca="1"/>
        <v>Rangpur</v>
      </c>
      <c r="K528" t="str">
        <f ca="1"/>
        <v>LO00119</v>
      </c>
      <c r="L528" t="str">
        <f ca="1"/>
        <v>3000 4T 20W50</v>
      </c>
      <c r="M528">
        <f ca="1"/>
        <v>500</v>
      </c>
      <c r="N528">
        <f ca="1"/>
        <v>450</v>
      </c>
      <c r="O528">
        <f ca="1"/>
        <v>500</v>
      </c>
      <c r="P528">
        <f ca="1"/>
        <v>3.3333333333333326E-2</v>
      </c>
      <c r="Q528">
        <f ca="1"/>
        <v>0</v>
      </c>
      <c r="R528">
        <f ca="1"/>
        <v>435</v>
      </c>
      <c r="S528">
        <f ca="1"/>
        <v>500</v>
      </c>
      <c r="T528">
        <f ca="1"/>
        <v>500</v>
      </c>
      <c r="U528">
        <f ca="1"/>
        <v>225000</v>
      </c>
      <c r="V528">
        <f ca="1"/>
        <v>0</v>
      </c>
      <c r="W528">
        <f ca="1"/>
        <v>217500</v>
      </c>
      <c r="X528">
        <f ca="1"/>
        <v>28369.565217391304</v>
      </c>
      <c r="Y528">
        <f ca="1"/>
        <v>189130.4347826087</v>
      </c>
      <c r="Z528" t="str">
        <f ca="1"/>
        <v>Cash</v>
      </c>
      <c r="AA528">
        <f ca="1"/>
        <v>705</v>
      </c>
      <c r="AB528" t="str">
        <f ca="1"/>
        <v>Regular</v>
      </c>
      <c r="AC528">
        <f ca="1"/>
        <v>45769</v>
      </c>
      <c r="AD528" t="str">
        <f ca="1"/>
        <v/>
      </c>
      <c r="AE528" t="str">
        <f ca="1"/>
        <v>Northern</v>
      </c>
      <c r="AF528" t="str">
        <f ca="1"/>
        <v>Mineral</v>
      </c>
      <c r="AG528" t="str">
        <f ca="1"/>
        <v>MCO</v>
      </c>
      <c r="AH528" t="str">
        <f ca="1"/>
        <v>20W50</v>
      </c>
      <c r="AI528" t="str">
        <f ca="1"/>
        <v>3000</v>
      </c>
      <c r="AJ528">
        <f ca="1"/>
        <v>0</v>
      </c>
      <c r="AK528" t="str">
        <f ca="1"/>
        <v>20x1L</v>
      </c>
      <c r="AL528">
        <f ca="1"/>
        <v>182460</v>
      </c>
      <c r="AM528">
        <f ca="1"/>
        <v>6670.4347826087032</v>
      </c>
      <c r="AN528" t="str">
        <f ca="1"/>
        <v>O-45768-D-0023</v>
      </c>
      <c r="AO528" t="str">
        <f ca="1"/>
        <v>Delivered</v>
      </c>
    </row>
    <row r="529" spans="1:41" x14ac:dyDescent="0.5">
      <c r="A529" t="str">
        <f ca="1"/>
        <v>F-243</v>
      </c>
      <c r="B529" s="1">
        <f ca="1"/>
        <v>45768</v>
      </c>
      <c r="C529" t="str">
        <f ca="1"/>
        <v>D-0023</v>
      </c>
      <c r="D529" t="str">
        <f ca="1"/>
        <v xml:space="preserve">B S Motor’s  </v>
      </c>
      <c r="E529" t="str">
        <f ca="1"/>
        <v>Shapla,Rangpur</v>
      </c>
      <c r="F529">
        <f ca="1"/>
        <v>1780903329</v>
      </c>
      <c r="G529" t="str">
        <f ca="1"/>
        <v>Monirul Islam</v>
      </c>
      <c r="H529" t="str">
        <f ca="1"/>
        <v>Raihan Siddiqui</v>
      </c>
      <c r="I529" t="str">
        <f ca="1"/>
        <v>Bondhu Motors</v>
      </c>
      <c r="J529" t="str">
        <f ca="1"/>
        <v>Rangpur</v>
      </c>
      <c r="K529" t="str">
        <f ca="1"/>
        <v>LO00120</v>
      </c>
      <c r="L529" t="str">
        <f ca="1"/>
        <v>3000 4T 20W50</v>
      </c>
      <c r="M529">
        <f ca="1"/>
        <v>20</v>
      </c>
      <c r="N529">
        <f ca="1"/>
        <v>557</v>
      </c>
      <c r="O529">
        <f ca="1"/>
        <v>24</v>
      </c>
      <c r="P529">
        <f ca="1"/>
        <v>3.0520646319569078E-2</v>
      </c>
      <c r="Q529">
        <f ca="1"/>
        <v>0</v>
      </c>
      <c r="R529">
        <f ca="1"/>
        <v>540</v>
      </c>
      <c r="S529">
        <f ca="1"/>
        <v>20</v>
      </c>
      <c r="T529">
        <f ca="1"/>
        <v>24</v>
      </c>
      <c r="U529">
        <f ca="1"/>
        <v>11140</v>
      </c>
      <c r="V529">
        <f ca="1"/>
        <v>0</v>
      </c>
      <c r="W529">
        <f ca="1"/>
        <v>10800</v>
      </c>
      <c r="X529">
        <f ca="1"/>
        <v>1408.695652173913</v>
      </c>
      <c r="Y529">
        <f ca="1"/>
        <v>9391.3043478260861</v>
      </c>
      <c r="Z529" t="str">
        <f ca="1"/>
        <v>Cash</v>
      </c>
      <c r="AA529">
        <f ca="1"/>
        <v>705</v>
      </c>
      <c r="AB529" t="str">
        <f ca="1"/>
        <v>Regular</v>
      </c>
      <c r="AC529">
        <f ca="1"/>
        <v>45769</v>
      </c>
      <c r="AD529" t="str">
        <f ca="1"/>
        <v/>
      </c>
      <c r="AE529" t="str">
        <f ca="1"/>
        <v>Northern</v>
      </c>
      <c r="AF529" t="str">
        <f ca="1"/>
        <v>Mineral</v>
      </c>
      <c r="AG529" t="str">
        <f ca="1"/>
        <v>MCO</v>
      </c>
      <c r="AH529" t="str">
        <f ca="1"/>
        <v>20W50</v>
      </c>
      <c r="AI529" t="str">
        <f ca="1"/>
        <v>3000</v>
      </c>
      <c r="AJ529">
        <f ca="1"/>
        <v>0</v>
      </c>
      <c r="AK529" t="str">
        <f ca="1"/>
        <v>20x1.2L</v>
      </c>
      <c r="AL529">
        <f ca="1"/>
        <v>8692.2000000000007</v>
      </c>
      <c r="AM529">
        <f ca="1"/>
        <v>699.10434782608536</v>
      </c>
      <c r="AN529" t="str">
        <f ca="1"/>
        <v>O-45768-D-0023</v>
      </c>
      <c r="AO529" t="str">
        <f ca="1"/>
        <v>Delivered</v>
      </c>
    </row>
    <row r="530" spans="1:41" x14ac:dyDescent="0.5">
      <c r="A530" t="str">
        <f ca="1"/>
        <v>F-244</v>
      </c>
      <c r="B530" s="1">
        <f ca="1"/>
        <v>45768</v>
      </c>
      <c r="C530" t="str">
        <f ca="1"/>
        <v>D-0006</v>
      </c>
      <c r="D530" t="str">
        <f ca="1"/>
        <v>Maliha Enterprise</v>
      </c>
      <c r="E530" t="str">
        <f ca="1"/>
        <v>Savar</v>
      </c>
      <c r="F530" t="str">
        <f ca="1"/>
        <v/>
      </c>
      <c r="G530" t="str">
        <f ca="1"/>
        <v>Sayed Al Amin Apu</v>
      </c>
      <c r="H530" t="str">
        <f ca="1"/>
        <v>Abdul Matin</v>
      </c>
      <c r="I530" t="str">
        <f ca="1"/>
        <v>Maliha Enterprise</v>
      </c>
      <c r="J530" t="str">
        <f ca="1"/>
        <v>Savar</v>
      </c>
      <c r="K530" t="str">
        <f ca="1"/>
        <v>LO00041</v>
      </c>
      <c r="L530" t="str">
        <f ca="1"/>
        <v>3000 4T PLUS 10W30</v>
      </c>
      <c r="M530">
        <f ca="1"/>
        <v>200</v>
      </c>
      <c r="N530">
        <f ca="1"/>
        <v>540</v>
      </c>
      <c r="O530">
        <f ca="1"/>
        <v>200</v>
      </c>
      <c r="P530">
        <f ca="1"/>
        <v>4.629629629629628E-2</v>
      </c>
      <c r="Q530">
        <f ca="1"/>
        <v>0</v>
      </c>
      <c r="R530">
        <f ca="1"/>
        <v>515</v>
      </c>
      <c r="S530">
        <f ca="1"/>
        <v>200</v>
      </c>
      <c r="T530">
        <f ca="1"/>
        <v>200</v>
      </c>
      <c r="U530">
        <f ca="1"/>
        <v>108000</v>
      </c>
      <c r="V530">
        <f ca="1"/>
        <v>0</v>
      </c>
      <c r="W530">
        <f ca="1"/>
        <v>103000</v>
      </c>
      <c r="X530">
        <f ca="1"/>
        <v>13434.782608695652</v>
      </c>
      <c r="Y530">
        <f ca="1"/>
        <v>89565.217391304352</v>
      </c>
      <c r="Z530" t="str">
        <f ca="1"/>
        <v>Cash</v>
      </c>
      <c r="AA530">
        <f ca="1"/>
        <v>706</v>
      </c>
      <c r="AB530" t="str">
        <f ca="1"/>
        <v>Custom</v>
      </c>
      <c r="AC530">
        <f ca="1"/>
        <v>45769</v>
      </c>
      <c r="AD530" t="str">
        <f ca="1"/>
        <v/>
      </c>
      <c r="AE530" t="str">
        <f ca="1"/>
        <v>Central</v>
      </c>
      <c r="AF530" t="str">
        <f ca="1"/>
        <v>Mineral</v>
      </c>
      <c r="AG530" t="str">
        <f ca="1"/>
        <v>MCO</v>
      </c>
      <c r="AH530" t="str">
        <f ca="1"/>
        <v>10W30</v>
      </c>
      <c r="AI530" t="str">
        <f ca="1"/>
        <v>3000</v>
      </c>
      <c r="AJ530">
        <f ca="1"/>
        <v>0</v>
      </c>
      <c r="AK530" t="str">
        <f ca="1"/>
        <v>20x1L</v>
      </c>
      <c r="AL530">
        <f ca="1"/>
        <v>75866</v>
      </c>
      <c r="AM530">
        <f ca="1"/>
        <v>13699.217391304352</v>
      </c>
      <c r="AN530" t="str">
        <f ca="1"/>
        <v>O-45768-D-0006</v>
      </c>
      <c r="AO530" t="str">
        <f ca="1"/>
        <v>Delivered</v>
      </c>
    </row>
    <row r="531" spans="1:41" x14ac:dyDescent="0.5">
      <c r="A531" t="str">
        <f ca="1"/>
        <v>F-244</v>
      </c>
      <c r="B531" s="1">
        <f ca="1"/>
        <v>45768</v>
      </c>
      <c r="C531" t="str">
        <f ca="1"/>
        <v>D-0006</v>
      </c>
      <c r="D531" t="str">
        <f ca="1"/>
        <v>Maliha Enterprise</v>
      </c>
      <c r="E531" t="str">
        <f ca="1"/>
        <v>Savar</v>
      </c>
      <c r="F531" t="str">
        <f ca="1"/>
        <v/>
      </c>
      <c r="G531" t="str">
        <f ca="1"/>
        <v>Sayed Al Amin Apu</v>
      </c>
      <c r="H531" t="str">
        <f ca="1"/>
        <v>Abdul Matin</v>
      </c>
      <c r="I531" t="str">
        <f ca="1"/>
        <v>Maliha Enterprise</v>
      </c>
      <c r="J531" t="str">
        <f ca="1"/>
        <v>Savar</v>
      </c>
      <c r="K531" t="str">
        <f ca="1"/>
        <v>LO00043</v>
      </c>
      <c r="L531" t="str">
        <f ca="1"/>
        <v>3000 4T PLUS 10W40</v>
      </c>
      <c r="M531">
        <f ca="1"/>
        <v>100</v>
      </c>
      <c r="N531">
        <f ca="1"/>
        <v>550</v>
      </c>
      <c r="O531">
        <f ca="1"/>
        <v>100</v>
      </c>
      <c r="P531">
        <f ca="1"/>
        <v>6.3636363636363602E-2</v>
      </c>
      <c r="Q531">
        <f ca="1"/>
        <v>0</v>
      </c>
      <c r="R531">
        <f ca="1"/>
        <v>515</v>
      </c>
      <c r="S531">
        <f ca="1"/>
        <v>100</v>
      </c>
      <c r="T531">
        <f ca="1"/>
        <v>100</v>
      </c>
      <c r="U531">
        <f ca="1"/>
        <v>55000</v>
      </c>
      <c r="V531">
        <f ca="1"/>
        <v>0</v>
      </c>
      <c r="W531">
        <f ca="1"/>
        <v>51500</v>
      </c>
      <c r="X531">
        <f ca="1"/>
        <v>6717.391304347826</v>
      </c>
      <c r="Y531">
        <f ca="1"/>
        <v>44782.608695652176</v>
      </c>
      <c r="Z531" t="str">
        <f ca="1"/>
        <v>Cash</v>
      </c>
      <c r="AA531">
        <f ca="1"/>
        <v>706</v>
      </c>
      <c r="AB531" t="str">
        <f ca="1"/>
        <v>Custom</v>
      </c>
      <c r="AC531">
        <f ca="1"/>
        <v>45769</v>
      </c>
      <c r="AD531" t="str">
        <f ca="1"/>
        <v/>
      </c>
      <c r="AE531" t="str">
        <f ca="1"/>
        <v>Central</v>
      </c>
      <c r="AF531" t="str">
        <f ca="1"/>
        <v>Mineral</v>
      </c>
      <c r="AG531" t="str">
        <f ca="1"/>
        <v>MCO</v>
      </c>
      <c r="AH531" t="str">
        <f ca="1"/>
        <v>10W40</v>
      </c>
      <c r="AI531" t="str">
        <f ca="1"/>
        <v>3000</v>
      </c>
      <c r="AJ531">
        <f ca="1"/>
        <v>0</v>
      </c>
      <c r="AK531" t="str">
        <f ca="1"/>
        <v>20x1L</v>
      </c>
      <c r="AL531">
        <f ca="1"/>
        <v>38485</v>
      </c>
      <c r="AM531">
        <f ca="1"/>
        <v>6297.6086956521758</v>
      </c>
      <c r="AN531" t="str">
        <f ca="1"/>
        <v>O-45768-D-0006</v>
      </c>
      <c r="AO531" t="str">
        <f ca="1"/>
        <v>Delivered</v>
      </c>
    </row>
    <row r="532" spans="1:41" x14ac:dyDescent="0.5">
      <c r="A532" t="str">
        <f ca="1"/>
        <v>F-244</v>
      </c>
      <c r="B532" s="1">
        <f ca="1"/>
        <v>45768</v>
      </c>
      <c r="C532" t="str">
        <f ca="1"/>
        <v>D-0006</v>
      </c>
      <c r="D532" t="str">
        <f ca="1"/>
        <v>Maliha Enterprise</v>
      </c>
      <c r="E532" t="str">
        <f ca="1"/>
        <v>Savar</v>
      </c>
      <c r="F532" t="str">
        <f ca="1"/>
        <v/>
      </c>
      <c r="G532" t="str">
        <f ca="1"/>
        <v>Sayed Al Amin Apu</v>
      </c>
      <c r="H532" t="str">
        <f ca="1"/>
        <v>Abdul Matin</v>
      </c>
      <c r="I532" t="str">
        <f ca="1"/>
        <v>Maliha Enterprise</v>
      </c>
      <c r="J532" t="str">
        <f ca="1"/>
        <v>Savar</v>
      </c>
      <c r="K532" t="str">
        <f ca="1"/>
        <v>LO00045</v>
      </c>
      <c r="L532" t="str">
        <f ca="1"/>
        <v>51004T 10W30 ESTER</v>
      </c>
      <c r="M532">
        <f ca="1"/>
        <v>24</v>
      </c>
      <c r="N532">
        <f ca="1"/>
        <v>860</v>
      </c>
      <c r="O532">
        <f ca="1"/>
        <v>24</v>
      </c>
      <c r="P532">
        <f ca="1"/>
        <v>4.6511627906976716E-2</v>
      </c>
      <c r="Q532">
        <f ca="1"/>
        <v>0</v>
      </c>
      <c r="R532">
        <f ca="1"/>
        <v>820</v>
      </c>
      <c r="S532">
        <f ca="1"/>
        <v>24</v>
      </c>
      <c r="T532">
        <f ca="1"/>
        <v>24</v>
      </c>
      <c r="U532">
        <f ca="1"/>
        <v>20640</v>
      </c>
      <c r="V532">
        <f ca="1"/>
        <v>0</v>
      </c>
      <c r="W532">
        <f ca="1"/>
        <v>19680</v>
      </c>
      <c r="X532">
        <f ca="1"/>
        <v>2566.9565217391305</v>
      </c>
      <c r="Y532">
        <f ca="1"/>
        <v>17113.043478260868</v>
      </c>
      <c r="Z532" t="str">
        <f ca="1"/>
        <v>Cash</v>
      </c>
      <c r="AA532">
        <f ca="1"/>
        <v>706</v>
      </c>
      <c r="AB532" t="str">
        <f ca="1"/>
        <v>Custom</v>
      </c>
      <c r="AC532">
        <f ca="1"/>
        <v>45769</v>
      </c>
      <c r="AD532" t="str">
        <f ca="1"/>
        <v/>
      </c>
      <c r="AE532" t="str">
        <f ca="1"/>
        <v>Central</v>
      </c>
      <c r="AF532" t="str">
        <f ca="1"/>
        <v>Technosynthese</v>
      </c>
      <c r="AG532" t="str">
        <f ca="1"/>
        <v>MCO</v>
      </c>
      <c r="AH532" t="str">
        <f ca="1"/>
        <v>10W30</v>
      </c>
      <c r="AI532" t="str">
        <f ca="1"/>
        <v>5100</v>
      </c>
      <c r="AJ532">
        <f ca="1"/>
        <v>0</v>
      </c>
      <c r="AK532" t="str">
        <f ca="1"/>
        <v>12x1L</v>
      </c>
      <c r="AL532">
        <f ca="1"/>
        <v>14463.36</v>
      </c>
      <c r="AM532">
        <f ca="1"/>
        <v>2649.6834782608676</v>
      </c>
      <c r="AN532" t="str">
        <f ca="1"/>
        <v>O-45768-D-0006</v>
      </c>
      <c r="AO532" t="str">
        <f ca="1"/>
        <v>Delivered</v>
      </c>
    </row>
    <row r="533" spans="1:41" x14ac:dyDescent="0.5">
      <c r="A533" t="str">
        <f ca="1"/>
        <v>F-244</v>
      </c>
      <c r="B533" s="1">
        <f ca="1"/>
        <v>45768</v>
      </c>
      <c r="C533" t="str">
        <f ca="1"/>
        <v>D-0006</v>
      </c>
      <c r="D533" t="str">
        <f ca="1"/>
        <v>Maliha Enterprise</v>
      </c>
      <c r="E533" t="str">
        <f ca="1"/>
        <v>Savar</v>
      </c>
      <c r="F533" t="str">
        <f ca="1"/>
        <v/>
      </c>
      <c r="G533" t="str">
        <f ca="1"/>
        <v>Sayed Al Amin Apu</v>
      </c>
      <c r="H533" t="str">
        <f ca="1"/>
        <v>Abdul Matin</v>
      </c>
      <c r="I533" t="str">
        <f ca="1"/>
        <v>Maliha Enterprise</v>
      </c>
      <c r="J533" t="str">
        <f ca="1"/>
        <v>Savar</v>
      </c>
      <c r="K533" t="str">
        <f ca="1"/>
        <v>LO00046</v>
      </c>
      <c r="L533" t="str">
        <f ca="1"/>
        <v>51004T 10W40 ESTER</v>
      </c>
      <c r="M533">
        <f ca="1"/>
        <v>60</v>
      </c>
      <c r="N533">
        <f ca="1"/>
        <v>860</v>
      </c>
      <c r="O533">
        <f ca="1"/>
        <v>60</v>
      </c>
      <c r="P533">
        <f ca="1"/>
        <v>4.6511627906976716E-2</v>
      </c>
      <c r="Q533">
        <f ca="1"/>
        <v>0</v>
      </c>
      <c r="R533">
        <f ca="1"/>
        <v>820</v>
      </c>
      <c r="S533">
        <f ca="1"/>
        <v>60</v>
      </c>
      <c r="T533">
        <f ca="1"/>
        <v>60</v>
      </c>
      <c r="U533">
        <f ca="1"/>
        <v>51600</v>
      </c>
      <c r="V533">
        <f ca="1"/>
        <v>0</v>
      </c>
      <c r="W533">
        <f ca="1"/>
        <v>49200</v>
      </c>
      <c r="X533">
        <f ca="1"/>
        <v>6417.391304347826</v>
      </c>
      <c r="Y533">
        <f ca="1"/>
        <v>42782.608695652176</v>
      </c>
      <c r="Z533" t="str">
        <f ca="1"/>
        <v>Cash</v>
      </c>
      <c r="AA533">
        <f ca="1"/>
        <v>706</v>
      </c>
      <c r="AB533" t="str">
        <f ca="1"/>
        <v>Custom</v>
      </c>
      <c r="AC533">
        <f ca="1"/>
        <v>45769</v>
      </c>
      <c r="AD533" t="str">
        <f ca="1"/>
        <v/>
      </c>
      <c r="AE533" t="str">
        <f ca="1"/>
        <v>Central</v>
      </c>
      <c r="AF533" t="str">
        <f ca="1"/>
        <v>Technosynthese</v>
      </c>
      <c r="AG533" t="str">
        <f ca="1"/>
        <v>MCO</v>
      </c>
      <c r="AH533" t="str">
        <f ca="1"/>
        <v>10W40</v>
      </c>
      <c r="AI533" t="str">
        <f ca="1"/>
        <v>5100</v>
      </c>
      <c r="AJ533">
        <f ca="1"/>
        <v>0</v>
      </c>
      <c r="AK533" t="str">
        <f ca="1"/>
        <v>12x1L</v>
      </c>
      <c r="AL533">
        <f ca="1"/>
        <v>36499.800000000003</v>
      </c>
      <c r="AM533">
        <f ca="1"/>
        <v>6282.8086956521729</v>
      </c>
      <c r="AN533" t="str">
        <f ca="1"/>
        <v>O-45768-D-0006</v>
      </c>
      <c r="AO533" t="str">
        <f ca="1"/>
        <v>Delivered</v>
      </c>
    </row>
    <row r="534" spans="1:41" x14ac:dyDescent="0.5">
      <c r="A534" t="str">
        <f ca="1"/>
        <v>F-244</v>
      </c>
      <c r="B534" s="1">
        <f ca="1"/>
        <v>45768</v>
      </c>
      <c r="C534" t="str">
        <f ca="1"/>
        <v>D-0006</v>
      </c>
      <c r="D534" t="str">
        <f ca="1"/>
        <v>Maliha Enterprise</v>
      </c>
      <c r="E534" t="str">
        <f ca="1"/>
        <v>Savar</v>
      </c>
      <c r="F534" t="str">
        <f ca="1"/>
        <v/>
      </c>
      <c r="G534" t="str">
        <f ca="1"/>
        <v>Sayed Al Amin Apu</v>
      </c>
      <c r="H534" t="str">
        <f ca="1"/>
        <v>Abdul Matin</v>
      </c>
      <c r="I534" t="str">
        <f ca="1"/>
        <v>Maliha Enterprise</v>
      </c>
      <c r="J534" t="str">
        <f ca="1"/>
        <v>Savar</v>
      </c>
      <c r="K534" t="str">
        <f ca="1"/>
        <v>LO00074</v>
      </c>
      <c r="L534" t="str">
        <f ca="1"/>
        <v>7100 4T 10W30 ESTER CORE®</v>
      </c>
      <c r="M534">
        <f ca="1"/>
        <v>60</v>
      </c>
      <c r="N534">
        <f ca="1"/>
        <v>1080</v>
      </c>
      <c r="O534">
        <f ca="1"/>
        <v>60</v>
      </c>
      <c r="P534">
        <f ca="1"/>
        <v>5.555555555555558E-2</v>
      </c>
      <c r="Q534">
        <f ca="1"/>
        <v>0</v>
      </c>
      <c r="R534">
        <f ca="1"/>
        <v>1020</v>
      </c>
      <c r="S534">
        <f ca="1"/>
        <v>60</v>
      </c>
      <c r="T534">
        <f ca="1"/>
        <v>60</v>
      </c>
      <c r="U534">
        <f ca="1"/>
        <v>64800</v>
      </c>
      <c r="V534">
        <f ca="1"/>
        <v>0</v>
      </c>
      <c r="W534">
        <f ca="1"/>
        <v>61200</v>
      </c>
      <c r="X534">
        <f ca="1"/>
        <v>7982.608695652174</v>
      </c>
      <c r="Y534">
        <f ca="1"/>
        <v>53217.391304347824</v>
      </c>
      <c r="Z534" t="str">
        <f ca="1"/>
        <v>Cash</v>
      </c>
      <c r="AA534">
        <f ca="1"/>
        <v>706</v>
      </c>
      <c r="AB534" t="str">
        <f ca="1"/>
        <v>Custom</v>
      </c>
      <c r="AC534">
        <f ca="1"/>
        <v>45769</v>
      </c>
      <c r="AD534" t="str">
        <f ca="1"/>
        <v/>
      </c>
      <c r="AE534" t="str">
        <f ca="1"/>
        <v>Central</v>
      </c>
      <c r="AF534" t="str">
        <f ca="1"/>
        <v>Synthetic</v>
      </c>
      <c r="AG534" t="str">
        <f ca="1"/>
        <v>MCO</v>
      </c>
      <c r="AH534" t="str">
        <f ca="1"/>
        <v>10W30</v>
      </c>
      <c r="AI534" t="str">
        <f ca="1"/>
        <v>7100</v>
      </c>
      <c r="AJ534">
        <f ca="1"/>
        <v>0</v>
      </c>
      <c r="AK534" t="str">
        <f ca="1"/>
        <v>12x1L</v>
      </c>
      <c r="AL534">
        <f ca="1"/>
        <v>41391.599999999999</v>
      </c>
      <c r="AM534">
        <f ca="1"/>
        <v>11825.791304347826</v>
      </c>
      <c r="AN534" t="str">
        <f ca="1"/>
        <v>O-45768-D-0006</v>
      </c>
      <c r="AO534" t="str">
        <f ca="1"/>
        <v>Delivered</v>
      </c>
    </row>
    <row r="535" spans="1:41" x14ac:dyDescent="0.5">
      <c r="A535" t="str">
        <f ca="1"/>
        <v>F-239</v>
      </c>
      <c r="B535" s="1">
        <f ca="1"/>
        <v>45769</v>
      </c>
      <c r="C535" t="str">
        <f ca="1"/>
        <v>D-0028</v>
      </c>
      <c r="D535" t="str">
        <f ca="1"/>
        <v>Rancon Agro Machinery Limited</v>
      </c>
      <c r="E535" t="str">
        <f ca="1"/>
        <v/>
      </c>
      <c r="F535" t="str">
        <f ca="1"/>
        <v/>
      </c>
      <c r="G535" t="str">
        <f ca="1"/>
        <v>Captive Sales</v>
      </c>
      <c r="H535" t="str">
        <f ca="1"/>
        <v>Captive Sales</v>
      </c>
      <c r="I535" t="str">
        <f ca="1"/>
        <v>Rancon Agro Machinery Limited</v>
      </c>
      <c r="J535" t="str">
        <f ca="1"/>
        <v>Dhaka</v>
      </c>
      <c r="K535" t="str">
        <f ca="1"/>
        <v>LO00123</v>
      </c>
      <c r="L535" t="str">
        <f ca="1"/>
        <v>Agri Super 15W40</v>
      </c>
      <c r="M535">
        <f ca="1"/>
        <v>227</v>
      </c>
      <c r="N535">
        <f ca="1"/>
        <v>660</v>
      </c>
      <c r="O535">
        <f ca="1"/>
        <v>227</v>
      </c>
      <c r="P535">
        <f ca="1"/>
        <v>0.22727272727272729</v>
      </c>
      <c r="Q535">
        <f ca="1"/>
        <v>0</v>
      </c>
      <c r="R535">
        <f ca="1"/>
        <v>510</v>
      </c>
      <c r="S535">
        <f ca="1"/>
        <v>227</v>
      </c>
      <c r="T535">
        <f ca="1"/>
        <v>227</v>
      </c>
      <c r="U535">
        <f ca="1"/>
        <v>149820</v>
      </c>
      <c r="V535">
        <f ca="1"/>
        <v>0</v>
      </c>
      <c r="W535">
        <f ca="1"/>
        <v>115770</v>
      </c>
      <c r="X535">
        <f ca="1"/>
        <v>15100.434782608696</v>
      </c>
      <c r="Y535">
        <f ca="1"/>
        <v>100669.56521739131</v>
      </c>
      <c r="Z535" t="str">
        <f ca="1"/>
        <v>Cash</v>
      </c>
      <c r="AA535">
        <f ca="1"/>
        <v>701</v>
      </c>
      <c r="AB535" t="str">
        <f ca="1"/>
        <v>Custom</v>
      </c>
      <c r="AC535">
        <f ca="1"/>
        <v>45769</v>
      </c>
      <c r="AD535" t="str">
        <f ca="1"/>
        <v/>
      </c>
      <c r="AE535" t="str">
        <f ca="1"/>
        <v>Captive Sales</v>
      </c>
      <c r="AF535" t="str">
        <f ca="1"/>
        <v>Mineral</v>
      </c>
      <c r="AG535" t="str">
        <f ca="1"/>
        <v>Agri</v>
      </c>
      <c r="AH535" t="str">
        <f ca="1"/>
        <v>15W40</v>
      </c>
      <c r="AI535" t="str">
        <f ca="1"/>
        <v>Agri</v>
      </c>
      <c r="AJ535">
        <f ca="1"/>
        <v>0</v>
      </c>
      <c r="AK535" t="str">
        <f ca="1"/>
        <v>20x1L</v>
      </c>
      <c r="AL535">
        <f ca="1"/>
        <v>90395.94</v>
      </c>
      <c r="AM535">
        <f ca="1"/>
        <v>10273.625217391309</v>
      </c>
      <c r="AN535" t="str">
        <f ca="1"/>
        <v>O-45769-D-0028</v>
      </c>
      <c r="AO535" t="str">
        <f ca="1"/>
        <v>Delivered</v>
      </c>
    </row>
    <row r="536" spans="1:41" x14ac:dyDescent="0.5">
      <c r="A536" t="str">
        <f ca="1"/>
        <v>F-239</v>
      </c>
      <c r="B536" s="1">
        <f ca="1"/>
        <v>45769</v>
      </c>
      <c r="C536" t="str">
        <f ca="1"/>
        <v>D-0028</v>
      </c>
      <c r="D536" t="str">
        <f ca="1"/>
        <v>Rancon Agro Machinery Limited</v>
      </c>
      <c r="E536" t="str">
        <f ca="1"/>
        <v/>
      </c>
      <c r="F536" t="str">
        <f ca="1"/>
        <v/>
      </c>
      <c r="G536" t="str">
        <f ca="1"/>
        <v>Captive Sales</v>
      </c>
      <c r="H536" t="str">
        <f ca="1"/>
        <v>Captive Sales</v>
      </c>
      <c r="I536" t="str">
        <f ca="1"/>
        <v>Rancon Agro Machinery Limited</v>
      </c>
      <c r="J536" t="str">
        <f ca="1"/>
        <v>Dhaka</v>
      </c>
      <c r="K536" t="str">
        <f ca="1"/>
        <v>LO00124</v>
      </c>
      <c r="L536" t="str">
        <f ca="1"/>
        <v>Agri Super 15W40</v>
      </c>
      <c r="M536">
        <f ca="1"/>
        <v>30</v>
      </c>
      <c r="N536">
        <f ca="1"/>
        <v>3100</v>
      </c>
      <c r="O536">
        <f ca="1"/>
        <v>150</v>
      </c>
      <c r="P536">
        <f ca="1"/>
        <v>0.1806451612903226</v>
      </c>
      <c r="Q536">
        <f ca="1"/>
        <v>0</v>
      </c>
      <c r="R536">
        <f ca="1"/>
        <v>2540</v>
      </c>
      <c r="S536">
        <f ca="1"/>
        <v>30</v>
      </c>
      <c r="T536">
        <f ca="1"/>
        <v>150</v>
      </c>
      <c r="U536">
        <f ca="1"/>
        <v>93000</v>
      </c>
      <c r="V536">
        <f ca="1"/>
        <v>0</v>
      </c>
      <c r="W536">
        <f ca="1"/>
        <v>76200</v>
      </c>
      <c r="X536">
        <f ca="1"/>
        <v>9939.1304347826081</v>
      </c>
      <c r="Y536">
        <f ca="1"/>
        <v>66260.869565217392</v>
      </c>
      <c r="Z536" t="str">
        <f ca="1"/>
        <v>Cash</v>
      </c>
      <c r="AA536">
        <f ca="1"/>
        <v>701</v>
      </c>
      <c r="AB536" t="str">
        <f ca="1"/>
        <v>Custom</v>
      </c>
      <c r="AC536">
        <f ca="1"/>
        <v>45769</v>
      </c>
      <c r="AD536" t="str">
        <f ca="1"/>
        <v/>
      </c>
      <c r="AE536" t="str">
        <f ca="1"/>
        <v>Captive Sales</v>
      </c>
      <c r="AF536" t="str">
        <f ca="1"/>
        <v>Mineral</v>
      </c>
      <c r="AG536" t="str">
        <f ca="1"/>
        <v>Agri</v>
      </c>
      <c r="AH536" t="str">
        <f ca="1"/>
        <v>15W40</v>
      </c>
      <c r="AI536" t="str">
        <f ca="1"/>
        <v>Agri</v>
      </c>
      <c r="AJ536">
        <f ca="1"/>
        <v>0</v>
      </c>
      <c r="AK536" t="str">
        <f ca="1"/>
        <v>4x5L</v>
      </c>
      <c r="AL536">
        <f ca="1"/>
        <v>58760.700000000004</v>
      </c>
      <c r="AM536">
        <f ca="1"/>
        <v>7500.1695652173876</v>
      </c>
      <c r="AN536" t="str">
        <f ca="1"/>
        <v>O-45769-D-0028</v>
      </c>
      <c r="AO536" t="str">
        <f ca="1"/>
        <v>Delivered</v>
      </c>
    </row>
    <row r="537" spans="1:41" x14ac:dyDescent="0.5">
      <c r="A537" t="str">
        <f ca="1"/>
        <v>F-239</v>
      </c>
      <c r="B537" s="1">
        <f ca="1"/>
        <v>45769</v>
      </c>
      <c r="C537" t="str">
        <f ca="1"/>
        <v>D-0028</v>
      </c>
      <c r="D537" t="str">
        <f ca="1"/>
        <v>Rancon Agro Machinery Limited</v>
      </c>
      <c r="E537" t="str">
        <f ca="1"/>
        <v/>
      </c>
      <c r="F537" t="str">
        <f ca="1"/>
        <v/>
      </c>
      <c r="G537" t="str">
        <f ca="1"/>
        <v>Captive Sales</v>
      </c>
      <c r="H537" t="str">
        <f ca="1"/>
        <v>Captive Sales</v>
      </c>
      <c r="I537" t="str">
        <f ca="1"/>
        <v>Rancon Agro Machinery Limited</v>
      </c>
      <c r="J537" t="str">
        <f ca="1"/>
        <v>Dhaka</v>
      </c>
      <c r="K537" t="str">
        <f ca="1"/>
        <v>LO00125</v>
      </c>
      <c r="L537" t="str">
        <f ca="1"/>
        <v>Agri Super 15W40</v>
      </c>
      <c r="M537">
        <f ca="1"/>
        <v>24</v>
      </c>
      <c r="N537">
        <f ca="1"/>
        <v>4613</v>
      </c>
      <c r="O537">
        <f ca="1"/>
        <v>180</v>
      </c>
      <c r="P537">
        <f ca="1"/>
        <v>0.2000867114675916</v>
      </c>
      <c r="Q537">
        <f ca="1"/>
        <v>0</v>
      </c>
      <c r="R537">
        <f ca="1"/>
        <v>3690</v>
      </c>
      <c r="S537">
        <f ca="1"/>
        <v>24</v>
      </c>
      <c r="T537">
        <f ca="1"/>
        <v>180</v>
      </c>
      <c r="U537">
        <f ca="1"/>
        <v>110712</v>
      </c>
      <c r="V537">
        <f ca="1"/>
        <v>0</v>
      </c>
      <c r="W537">
        <f ca="1"/>
        <v>88560</v>
      </c>
      <c r="X537">
        <f ca="1"/>
        <v>11551.304347826086</v>
      </c>
      <c r="Y537">
        <f ca="1"/>
        <v>77008.695652173919</v>
      </c>
      <c r="Z537" t="str">
        <f ca="1"/>
        <v>Cash</v>
      </c>
      <c r="AA537">
        <f ca="1"/>
        <v>701</v>
      </c>
      <c r="AB537" t="str">
        <f ca="1"/>
        <v>Custom</v>
      </c>
      <c r="AC537">
        <f ca="1"/>
        <v>45769</v>
      </c>
      <c r="AD537" t="str">
        <f ca="1"/>
        <v/>
      </c>
      <c r="AE537" t="str">
        <f ca="1"/>
        <v>Captive Sales</v>
      </c>
      <c r="AF537" t="str">
        <f ca="1"/>
        <v>Mineral</v>
      </c>
      <c r="AG537" t="str">
        <f ca="1"/>
        <v>Agri</v>
      </c>
      <c r="AH537" t="str">
        <f ca="1"/>
        <v>15W40</v>
      </c>
      <c r="AI537" t="str">
        <f ca="1"/>
        <v>Agri</v>
      </c>
      <c r="AJ537">
        <f ca="1"/>
        <v>0</v>
      </c>
      <c r="AK537" t="str">
        <f ca="1"/>
        <v>7.5L</v>
      </c>
      <c r="AL537">
        <f ca="1"/>
        <v>69786.240000000005</v>
      </c>
      <c r="AM537">
        <f ca="1"/>
        <v>7222.4556521739141</v>
      </c>
      <c r="AN537" t="str">
        <f ca="1"/>
        <v>O-45769-D-0028</v>
      </c>
      <c r="AO537" t="str">
        <f ca="1"/>
        <v>Delivered</v>
      </c>
    </row>
    <row r="538" spans="1:41" x14ac:dyDescent="0.5">
      <c r="A538" t="str">
        <f ca="1"/>
        <v>F-239</v>
      </c>
      <c r="B538" s="1">
        <f ca="1"/>
        <v>45769</v>
      </c>
      <c r="C538" t="str">
        <f ca="1"/>
        <v>D-0028</v>
      </c>
      <c r="D538" t="str">
        <f ca="1"/>
        <v>Rancon Agro Machinery Limited</v>
      </c>
      <c r="E538" t="str">
        <f ca="1"/>
        <v/>
      </c>
      <c r="F538" t="str">
        <f ca="1"/>
        <v/>
      </c>
      <c r="G538" t="str">
        <f ca="1"/>
        <v>Captive Sales</v>
      </c>
      <c r="H538" t="str">
        <f ca="1"/>
        <v>Captive Sales</v>
      </c>
      <c r="I538" t="str">
        <f ca="1"/>
        <v>Rancon Agro Machinery Limited</v>
      </c>
      <c r="J538" t="str">
        <f ca="1"/>
        <v>Dhaka</v>
      </c>
      <c r="K538" t="str">
        <f ca="1"/>
        <v>LO00126</v>
      </c>
      <c r="L538" t="str">
        <f ca="1"/>
        <v>Agri Super 15W40</v>
      </c>
      <c r="M538">
        <f ca="1"/>
        <v>48</v>
      </c>
      <c r="N538">
        <f ca="1"/>
        <v>6100</v>
      </c>
      <c r="O538">
        <f ca="1"/>
        <v>480</v>
      </c>
      <c r="P538">
        <f ca="1"/>
        <v>0.19836065573770489</v>
      </c>
      <c r="Q538">
        <f ca="1"/>
        <v>0</v>
      </c>
      <c r="R538">
        <f ca="1"/>
        <v>4890</v>
      </c>
      <c r="S538">
        <f ca="1"/>
        <v>48</v>
      </c>
      <c r="T538">
        <f ca="1"/>
        <v>480</v>
      </c>
      <c r="U538">
        <f ca="1"/>
        <v>292800</v>
      </c>
      <c r="V538">
        <f ca="1"/>
        <v>0</v>
      </c>
      <c r="W538">
        <f ca="1"/>
        <v>234720</v>
      </c>
      <c r="X538">
        <f ca="1"/>
        <v>30615.652173913044</v>
      </c>
      <c r="Y538">
        <f ca="1"/>
        <v>204104.34782608695</v>
      </c>
      <c r="Z538" t="str">
        <f ca="1"/>
        <v>Cash</v>
      </c>
      <c r="AA538">
        <f ca="1"/>
        <v>701</v>
      </c>
      <c r="AB538" t="str">
        <f ca="1"/>
        <v>Custom</v>
      </c>
      <c r="AC538">
        <f ca="1"/>
        <v>45769</v>
      </c>
      <c r="AD538" t="str">
        <f ca="1"/>
        <v/>
      </c>
      <c r="AE538" t="str">
        <f ca="1"/>
        <v>Captive Sales</v>
      </c>
      <c r="AF538" t="str">
        <f ca="1"/>
        <v>Mineral</v>
      </c>
      <c r="AG538" t="str">
        <f ca="1"/>
        <v>Agri</v>
      </c>
      <c r="AH538" t="str">
        <f ca="1"/>
        <v>15W40</v>
      </c>
      <c r="AI538" t="str">
        <f ca="1"/>
        <v>Agri</v>
      </c>
      <c r="AJ538">
        <f ca="1"/>
        <v>0</v>
      </c>
      <c r="AK538" t="str">
        <f ca="1"/>
        <v>10L</v>
      </c>
      <c r="AL538">
        <f ca="1"/>
        <v>181808.16</v>
      </c>
      <c r="AM538">
        <f ca="1"/>
        <v>22296.187826086942</v>
      </c>
      <c r="AN538" t="str">
        <f ca="1"/>
        <v>O-45769-D-0028</v>
      </c>
      <c r="AO538" t="str">
        <f ca="1"/>
        <v>Delivered</v>
      </c>
    </row>
    <row r="539" spans="1:41" x14ac:dyDescent="0.5">
      <c r="A539" t="str">
        <f ca="1"/>
        <v>F-240</v>
      </c>
      <c r="B539" s="1">
        <f ca="1"/>
        <v>45769</v>
      </c>
      <c r="C539" t="str">
        <f ca="1"/>
        <v>D-0028</v>
      </c>
      <c r="D539" t="str">
        <f ca="1"/>
        <v>Rancon Agro Machinery Limited</v>
      </c>
      <c r="E539" t="str">
        <f ca="1"/>
        <v/>
      </c>
      <c r="F539" t="str">
        <f ca="1"/>
        <v/>
      </c>
      <c r="G539" t="str">
        <f ca="1"/>
        <v>Captive Sales</v>
      </c>
      <c r="H539" t="str">
        <f ca="1"/>
        <v>Captive Sales</v>
      </c>
      <c r="I539" t="str">
        <f ca="1"/>
        <v>Rancon Agro Machinery Limited</v>
      </c>
      <c r="J539" t="str">
        <f ca="1"/>
        <v>Dhaka</v>
      </c>
      <c r="K539" t="str">
        <f ca="1"/>
        <v>LO00123</v>
      </c>
      <c r="L539" t="str">
        <f ca="1"/>
        <v>Agri Super 15W40</v>
      </c>
      <c r="M539">
        <f ca="1"/>
        <v>13</v>
      </c>
      <c r="N539">
        <f ca="1"/>
        <v>660</v>
      </c>
      <c r="O539">
        <f ca="1"/>
        <v>13</v>
      </c>
      <c r="P539">
        <f ca="1"/>
        <v>0.22727272727272729</v>
      </c>
      <c r="Q539">
        <f ca="1"/>
        <v>0</v>
      </c>
      <c r="R539">
        <f ca="1"/>
        <v>510</v>
      </c>
      <c r="S539">
        <f ca="1"/>
        <v>13</v>
      </c>
      <c r="T539">
        <f ca="1"/>
        <v>13</v>
      </c>
      <c r="U539">
        <f ca="1"/>
        <v>8580</v>
      </c>
      <c r="V539">
        <f ca="1"/>
        <v>0</v>
      </c>
      <c r="W539">
        <f ca="1"/>
        <v>6630</v>
      </c>
      <c r="X539">
        <f ca="1"/>
        <v>864.78260869565213</v>
      </c>
      <c r="Y539">
        <f ca="1"/>
        <v>5765.217391304348</v>
      </c>
      <c r="Z539" t="str">
        <f ca="1"/>
        <v>Cash</v>
      </c>
      <c r="AA539">
        <f ca="1"/>
        <v>702</v>
      </c>
      <c r="AB539" t="str">
        <f ca="1"/>
        <v>Custom</v>
      </c>
      <c r="AC539">
        <f ca="1"/>
        <v>45769</v>
      </c>
      <c r="AD539" t="str">
        <f ca="1"/>
        <v/>
      </c>
      <c r="AE539" t="str">
        <f ca="1"/>
        <v>Captive Sales</v>
      </c>
      <c r="AF539" t="str">
        <f ca="1"/>
        <v>Mineral</v>
      </c>
      <c r="AG539" t="str">
        <f ca="1"/>
        <v>Agri</v>
      </c>
      <c r="AH539" t="str">
        <f ca="1"/>
        <v>15W40</v>
      </c>
      <c r="AI539" t="str">
        <f ca="1"/>
        <v>Agri</v>
      </c>
      <c r="AJ539">
        <f ca="1"/>
        <v>0</v>
      </c>
      <c r="AK539" t="str">
        <f ca="1"/>
        <v>20x1L</v>
      </c>
      <c r="AL539">
        <f ca="1"/>
        <v>5176.8600000000006</v>
      </c>
      <c r="AM539">
        <f ca="1"/>
        <v>588.3573913043474</v>
      </c>
      <c r="AN539" t="str">
        <f ca="1"/>
        <v>O-45769-D-0028</v>
      </c>
      <c r="AO539" t="str">
        <f ca="1"/>
        <v>Delivered</v>
      </c>
    </row>
    <row r="540" spans="1:41" x14ac:dyDescent="0.5">
      <c r="A540" t="str">
        <f ca="1"/>
        <v>F-240</v>
      </c>
      <c r="B540" s="1">
        <f ca="1"/>
        <v>45769</v>
      </c>
      <c r="C540" t="str">
        <f ca="1"/>
        <v>D-0028</v>
      </c>
      <c r="D540" t="str">
        <f ca="1"/>
        <v>Rancon Agro Machinery Limited</v>
      </c>
      <c r="E540" t="str">
        <f ca="1"/>
        <v/>
      </c>
      <c r="F540" t="str">
        <f ca="1"/>
        <v/>
      </c>
      <c r="G540" t="str">
        <f ca="1"/>
        <v>Captive Sales</v>
      </c>
      <c r="H540" t="str">
        <f ca="1"/>
        <v>Captive Sales</v>
      </c>
      <c r="I540" t="str">
        <f ca="1"/>
        <v>Rancon Agro Machinery Limited</v>
      </c>
      <c r="J540" t="str">
        <f ca="1"/>
        <v>Dhaka</v>
      </c>
      <c r="K540" t="str">
        <f ca="1"/>
        <v>LO00124</v>
      </c>
      <c r="L540" t="str">
        <f ca="1"/>
        <v>Agri Super 15W40</v>
      </c>
      <c r="M540">
        <f ca="1"/>
        <v>30</v>
      </c>
      <c r="N540">
        <f ca="1"/>
        <v>3100</v>
      </c>
      <c r="O540">
        <f ca="1"/>
        <v>150</v>
      </c>
      <c r="P540">
        <f ca="1"/>
        <v>0.1806451612903226</v>
      </c>
      <c r="Q540">
        <f ca="1"/>
        <v>0</v>
      </c>
      <c r="R540">
        <f ca="1"/>
        <v>2540</v>
      </c>
      <c r="S540">
        <f ca="1"/>
        <v>30</v>
      </c>
      <c r="T540">
        <f ca="1"/>
        <v>150</v>
      </c>
      <c r="U540">
        <f ca="1"/>
        <v>93000</v>
      </c>
      <c r="V540">
        <f ca="1"/>
        <v>0</v>
      </c>
      <c r="W540">
        <f ca="1"/>
        <v>76200</v>
      </c>
      <c r="X540">
        <f ca="1"/>
        <v>9939.1304347826081</v>
      </c>
      <c r="Y540">
        <f ca="1"/>
        <v>66260.869565217392</v>
      </c>
      <c r="Z540" t="str">
        <f ca="1"/>
        <v>Cash</v>
      </c>
      <c r="AA540">
        <f ca="1"/>
        <v>702</v>
      </c>
      <c r="AB540" t="str">
        <f ca="1"/>
        <v>Custom</v>
      </c>
      <c r="AC540">
        <f ca="1"/>
        <v>45769</v>
      </c>
      <c r="AD540" t="str">
        <f ca="1"/>
        <v/>
      </c>
      <c r="AE540" t="str">
        <f ca="1"/>
        <v>Captive Sales</v>
      </c>
      <c r="AF540" t="str">
        <f ca="1"/>
        <v>Mineral</v>
      </c>
      <c r="AG540" t="str">
        <f ca="1"/>
        <v>Agri</v>
      </c>
      <c r="AH540" t="str">
        <f ca="1"/>
        <v>15W40</v>
      </c>
      <c r="AI540" t="str">
        <f ca="1"/>
        <v>Agri</v>
      </c>
      <c r="AJ540">
        <f ca="1"/>
        <v>0</v>
      </c>
      <c r="AK540" t="str">
        <f ca="1"/>
        <v>4x5L</v>
      </c>
      <c r="AL540">
        <f ca="1"/>
        <v>58760.700000000004</v>
      </c>
      <c r="AM540">
        <f ca="1"/>
        <v>7500.1695652173876</v>
      </c>
      <c r="AN540" t="str">
        <f ca="1"/>
        <v>O-45769-D-0028</v>
      </c>
      <c r="AO540" t="str">
        <f ca="1"/>
        <v>Delivered</v>
      </c>
    </row>
    <row r="541" spans="1:41" x14ac:dyDescent="0.5">
      <c r="A541" t="str">
        <f ca="1"/>
        <v>F-240</v>
      </c>
      <c r="B541" s="1">
        <f ca="1"/>
        <v>45769</v>
      </c>
      <c r="C541" t="str">
        <f ca="1"/>
        <v>D-0028</v>
      </c>
      <c r="D541" t="str">
        <f ca="1"/>
        <v>Rancon Agro Machinery Limited</v>
      </c>
      <c r="E541" t="str">
        <f ca="1"/>
        <v/>
      </c>
      <c r="F541" t="str">
        <f ca="1"/>
        <v/>
      </c>
      <c r="G541" t="str">
        <f ca="1"/>
        <v>Captive Sales</v>
      </c>
      <c r="H541" t="str">
        <f ca="1"/>
        <v>Captive Sales</v>
      </c>
      <c r="I541" t="str">
        <f ca="1"/>
        <v>Rancon Agro Machinery Limited</v>
      </c>
      <c r="J541" t="str">
        <f ca="1"/>
        <v>Dhaka</v>
      </c>
      <c r="K541" t="str">
        <f ca="1"/>
        <v>LO00125</v>
      </c>
      <c r="L541" t="str">
        <f ca="1"/>
        <v>Agri Super 15W40</v>
      </c>
      <c r="M541">
        <f ca="1"/>
        <v>24</v>
      </c>
      <c r="N541">
        <f ca="1"/>
        <v>4613</v>
      </c>
      <c r="O541">
        <f ca="1"/>
        <v>180</v>
      </c>
      <c r="P541">
        <f ca="1"/>
        <v>0.2000867114675916</v>
      </c>
      <c r="Q541">
        <f ca="1"/>
        <v>0</v>
      </c>
      <c r="R541">
        <f ca="1"/>
        <v>3690</v>
      </c>
      <c r="S541">
        <f ca="1"/>
        <v>24</v>
      </c>
      <c r="T541">
        <f ca="1"/>
        <v>180</v>
      </c>
      <c r="U541">
        <f ca="1"/>
        <v>110712</v>
      </c>
      <c r="V541">
        <f ca="1"/>
        <v>0</v>
      </c>
      <c r="W541">
        <f ca="1"/>
        <v>88560</v>
      </c>
      <c r="X541">
        <f ca="1"/>
        <v>11551.304347826086</v>
      </c>
      <c r="Y541">
        <f ca="1"/>
        <v>77008.695652173919</v>
      </c>
      <c r="Z541" t="str">
        <f ca="1"/>
        <v>Cash</v>
      </c>
      <c r="AA541">
        <f ca="1"/>
        <v>702</v>
      </c>
      <c r="AB541" t="str">
        <f ca="1"/>
        <v>Custom</v>
      </c>
      <c r="AC541">
        <f ca="1"/>
        <v>45769</v>
      </c>
      <c r="AD541" t="str">
        <f ca="1"/>
        <v/>
      </c>
      <c r="AE541" t="str">
        <f ca="1"/>
        <v>Captive Sales</v>
      </c>
      <c r="AF541" t="str">
        <f ca="1"/>
        <v>Mineral</v>
      </c>
      <c r="AG541" t="str">
        <f ca="1"/>
        <v>Agri</v>
      </c>
      <c r="AH541" t="str">
        <f ca="1"/>
        <v>15W40</v>
      </c>
      <c r="AI541" t="str">
        <f ca="1"/>
        <v>Agri</v>
      </c>
      <c r="AJ541">
        <f ca="1"/>
        <v>0</v>
      </c>
      <c r="AK541" t="str">
        <f ca="1"/>
        <v>7.5L</v>
      </c>
      <c r="AL541">
        <f ca="1"/>
        <v>69786.240000000005</v>
      </c>
      <c r="AM541">
        <f ca="1"/>
        <v>7222.4556521739141</v>
      </c>
      <c r="AN541" t="str">
        <f ca="1"/>
        <v>O-45769-D-0028</v>
      </c>
      <c r="AO541" t="str">
        <f ca="1"/>
        <v>Delivered</v>
      </c>
    </row>
    <row r="542" spans="1:41" x14ac:dyDescent="0.5">
      <c r="A542" t="str">
        <f ca="1"/>
        <v>F-240</v>
      </c>
      <c r="B542" s="1">
        <f ca="1"/>
        <v>45769</v>
      </c>
      <c r="C542" t="str">
        <f ca="1"/>
        <v>D-0028</v>
      </c>
      <c r="D542" t="str">
        <f ca="1"/>
        <v>Rancon Agro Machinery Limited</v>
      </c>
      <c r="E542" t="str">
        <f ca="1"/>
        <v/>
      </c>
      <c r="F542" t="str">
        <f ca="1"/>
        <v/>
      </c>
      <c r="G542" t="str">
        <f ca="1"/>
        <v>Captive Sales</v>
      </c>
      <c r="H542" t="str">
        <f ca="1"/>
        <v>Captive Sales</v>
      </c>
      <c r="I542" t="str">
        <f ca="1"/>
        <v>Rancon Agro Machinery Limited</v>
      </c>
      <c r="J542" t="str">
        <f ca="1"/>
        <v>Dhaka</v>
      </c>
      <c r="K542" t="str">
        <f ca="1"/>
        <v>LO00126</v>
      </c>
      <c r="L542" t="str">
        <f ca="1"/>
        <v>Agri Super 15W40</v>
      </c>
      <c r="M542">
        <f ca="1"/>
        <v>48</v>
      </c>
      <c r="N542">
        <f ca="1"/>
        <v>6100</v>
      </c>
      <c r="O542">
        <f ca="1"/>
        <v>480</v>
      </c>
      <c r="P542">
        <f ca="1"/>
        <v>0.19836065573770489</v>
      </c>
      <c r="Q542">
        <f ca="1"/>
        <v>0</v>
      </c>
      <c r="R542">
        <f ca="1"/>
        <v>4890</v>
      </c>
      <c r="S542">
        <f ca="1"/>
        <v>48</v>
      </c>
      <c r="T542">
        <f ca="1"/>
        <v>480</v>
      </c>
      <c r="U542">
        <f ca="1"/>
        <v>292800</v>
      </c>
      <c r="V542">
        <f ca="1"/>
        <v>0</v>
      </c>
      <c r="W542">
        <f ca="1"/>
        <v>234720</v>
      </c>
      <c r="X542">
        <f ca="1"/>
        <v>30615.652173913044</v>
      </c>
      <c r="Y542">
        <f ca="1"/>
        <v>204104.34782608695</v>
      </c>
      <c r="Z542" t="str">
        <f ca="1"/>
        <v>Cash</v>
      </c>
      <c r="AA542">
        <f ca="1"/>
        <v>702</v>
      </c>
      <c r="AB542" t="str">
        <f ca="1"/>
        <v>Custom</v>
      </c>
      <c r="AC542">
        <f ca="1"/>
        <v>45769</v>
      </c>
      <c r="AD542" t="str">
        <f ca="1"/>
        <v/>
      </c>
      <c r="AE542" t="str">
        <f ca="1"/>
        <v>Captive Sales</v>
      </c>
      <c r="AF542" t="str">
        <f ca="1"/>
        <v>Mineral</v>
      </c>
      <c r="AG542" t="str">
        <f ca="1"/>
        <v>Agri</v>
      </c>
      <c r="AH542" t="str">
        <f ca="1"/>
        <v>15W40</v>
      </c>
      <c r="AI542" t="str">
        <f ca="1"/>
        <v>Agri</v>
      </c>
      <c r="AJ542">
        <f ca="1"/>
        <v>0</v>
      </c>
      <c r="AK542" t="str">
        <f ca="1"/>
        <v>10L</v>
      </c>
      <c r="AL542">
        <f ca="1"/>
        <v>181808.16</v>
      </c>
      <c r="AM542">
        <f ca="1"/>
        <v>22296.187826086942</v>
      </c>
      <c r="AN542" t="str">
        <f ca="1"/>
        <v>O-45769-D-0028</v>
      </c>
      <c r="AO542" t="str">
        <f ca="1"/>
        <v>Delivered</v>
      </c>
    </row>
    <row r="543" spans="1:41" x14ac:dyDescent="0.5">
      <c r="A543" t="str">
        <f ca="1"/>
        <v>F-241</v>
      </c>
      <c r="B543" s="1">
        <f ca="1"/>
        <v>45769</v>
      </c>
      <c r="C543" t="str">
        <f ca="1"/>
        <v>D-0028</v>
      </c>
      <c r="D543" t="str">
        <f ca="1"/>
        <v>Rancon Agro Machinery Limited</v>
      </c>
      <c r="E543" t="str">
        <f ca="1"/>
        <v/>
      </c>
      <c r="F543" t="str">
        <f ca="1"/>
        <v/>
      </c>
      <c r="G543" t="str">
        <f ca="1"/>
        <v>Captive Sales</v>
      </c>
      <c r="H543" t="str">
        <f ca="1"/>
        <v>Captive Sales</v>
      </c>
      <c r="I543" t="str">
        <f ca="1"/>
        <v>Rancon Agro Machinery Limited</v>
      </c>
      <c r="J543" t="str">
        <f ca="1"/>
        <v>Dhaka</v>
      </c>
      <c r="K543" t="str">
        <f ca="1"/>
        <v>LO00124</v>
      </c>
      <c r="L543" t="str">
        <f ca="1"/>
        <v>Agri Super 15W40</v>
      </c>
      <c r="M543">
        <f ca="1"/>
        <v>28</v>
      </c>
      <c r="N543">
        <f ca="1"/>
        <v>3100</v>
      </c>
      <c r="O543">
        <f ca="1"/>
        <v>140</v>
      </c>
      <c r="P543">
        <f ca="1"/>
        <v>0.1806451612903226</v>
      </c>
      <c r="Q543">
        <f ca="1"/>
        <v>0</v>
      </c>
      <c r="R543">
        <f ca="1"/>
        <v>2540</v>
      </c>
      <c r="S543">
        <f ca="1"/>
        <v>28</v>
      </c>
      <c r="T543">
        <f ca="1"/>
        <v>140</v>
      </c>
      <c r="U543">
        <f ca="1"/>
        <v>86800</v>
      </c>
      <c r="V543">
        <f ca="1"/>
        <v>0</v>
      </c>
      <c r="W543">
        <f ca="1"/>
        <v>71120</v>
      </c>
      <c r="X543">
        <f ca="1"/>
        <v>9276.5217391304341</v>
      </c>
      <c r="Y543">
        <f ca="1"/>
        <v>61843.478260869568</v>
      </c>
      <c r="Z543" t="str">
        <f ca="1"/>
        <v>Cash</v>
      </c>
      <c r="AA543">
        <f ca="1"/>
        <v>703</v>
      </c>
      <c r="AB543" t="str">
        <f ca="1"/>
        <v>Custom</v>
      </c>
      <c r="AC543">
        <f ca="1"/>
        <v>45769</v>
      </c>
      <c r="AD543" t="str">
        <f ca="1"/>
        <v/>
      </c>
      <c r="AE543" t="str">
        <f ca="1"/>
        <v>Captive Sales</v>
      </c>
      <c r="AF543" t="str">
        <f ca="1"/>
        <v>Mineral</v>
      </c>
      <c r="AG543" t="str">
        <f ca="1"/>
        <v>Agri</v>
      </c>
      <c r="AH543" t="str">
        <f ca="1"/>
        <v>15W40</v>
      </c>
      <c r="AI543" t="str">
        <f ca="1"/>
        <v>Agri</v>
      </c>
      <c r="AJ543">
        <f ca="1"/>
        <v>0</v>
      </c>
      <c r="AK543" t="str">
        <f ca="1"/>
        <v>4x5L</v>
      </c>
      <c r="AL543">
        <f ca="1"/>
        <v>54843.32</v>
      </c>
      <c r="AM543">
        <f ca="1"/>
        <v>7000.158260869568</v>
      </c>
      <c r="AN543" t="str">
        <f ca="1"/>
        <v>O-45769-D-0028</v>
      </c>
      <c r="AO543" t="str">
        <f ca="1"/>
        <v>Delivered</v>
      </c>
    </row>
    <row r="544" spans="1:41" x14ac:dyDescent="0.5">
      <c r="A544" t="str">
        <f ca="1"/>
        <v>F-241</v>
      </c>
      <c r="B544" s="1">
        <f ca="1"/>
        <v>45769</v>
      </c>
      <c r="C544" t="str">
        <f ca="1"/>
        <v>D-0028</v>
      </c>
      <c r="D544" t="str">
        <f ca="1"/>
        <v>Rancon Agro Machinery Limited</v>
      </c>
      <c r="E544" t="str">
        <f ca="1"/>
        <v/>
      </c>
      <c r="F544" t="str">
        <f ca="1"/>
        <v/>
      </c>
      <c r="G544" t="str">
        <f ca="1"/>
        <v>Captive Sales</v>
      </c>
      <c r="H544" t="str">
        <f ca="1"/>
        <v>Captive Sales</v>
      </c>
      <c r="I544" t="str">
        <f ca="1"/>
        <v>Rancon Agro Machinery Limited</v>
      </c>
      <c r="J544" t="str">
        <f ca="1"/>
        <v>Dhaka</v>
      </c>
      <c r="K544" t="str">
        <f ca="1"/>
        <v>LO00125</v>
      </c>
      <c r="L544" t="str">
        <f ca="1"/>
        <v>Agri Super 15W40</v>
      </c>
      <c r="M544">
        <f ca="1"/>
        <v>24</v>
      </c>
      <c r="N544">
        <f ca="1"/>
        <v>4613</v>
      </c>
      <c r="O544">
        <f ca="1"/>
        <v>180</v>
      </c>
      <c r="P544">
        <f ca="1"/>
        <v>0.2000867114675916</v>
      </c>
      <c r="Q544">
        <f ca="1"/>
        <v>0</v>
      </c>
      <c r="R544">
        <f ca="1"/>
        <v>3690</v>
      </c>
      <c r="S544">
        <f ca="1"/>
        <v>24</v>
      </c>
      <c r="T544">
        <f ca="1"/>
        <v>180</v>
      </c>
      <c r="U544">
        <f ca="1"/>
        <v>110712</v>
      </c>
      <c r="V544">
        <f ca="1"/>
        <v>0</v>
      </c>
      <c r="W544">
        <f ca="1"/>
        <v>88560</v>
      </c>
      <c r="X544">
        <f ca="1"/>
        <v>11551.304347826086</v>
      </c>
      <c r="Y544">
        <f ca="1"/>
        <v>77008.695652173919</v>
      </c>
      <c r="Z544" t="str">
        <f ca="1"/>
        <v>Cash</v>
      </c>
      <c r="AA544">
        <f ca="1"/>
        <v>703</v>
      </c>
      <c r="AB544" t="str">
        <f ca="1"/>
        <v>Custom</v>
      </c>
      <c r="AC544">
        <f ca="1"/>
        <v>45769</v>
      </c>
      <c r="AD544" t="str">
        <f ca="1"/>
        <v/>
      </c>
      <c r="AE544" t="str">
        <f ca="1"/>
        <v>Captive Sales</v>
      </c>
      <c r="AF544" t="str">
        <f ca="1"/>
        <v>Mineral</v>
      </c>
      <c r="AG544" t="str">
        <f ca="1"/>
        <v>Agri</v>
      </c>
      <c r="AH544" t="str">
        <f ca="1"/>
        <v>15W40</v>
      </c>
      <c r="AI544" t="str">
        <f ca="1"/>
        <v>Agri</v>
      </c>
      <c r="AJ544">
        <f ca="1"/>
        <v>0</v>
      </c>
      <c r="AK544" t="str">
        <f ca="1"/>
        <v>7.5L</v>
      </c>
      <c r="AL544">
        <f ca="1"/>
        <v>69786.240000000005</v>
      </c>
      <c r="AM544">
        <f ca="1"/>
        <v>7222.4556521739141</v>
      </c>
      <c r="AN544" t="str">
        <f ca="1"/>
        <v>O-45769-D-0028</v>
      </c>
      <c r="AO544" t="str">
        <f ca="1"/>
        <v>Delivered</v>
      </c>
    </row>
    <row r="545" spans="1:41" x14ac:dyDescent="0.5">
      <c r="A545" t="str">
        <f ca="1"/>
        <v>F-241</v>
      </c>
      <c r="B545" s="1">
        <f ca="1"/>
        <v>45769</v>
      </c>
      <c r="C545" t="str">
        <f ca="1"/>
        <v>D-0028</v>
      </c>
      <c r="D545" t="str">
        <f ca="1"/>
        <v>Rancon Agro Machinery Limited</v>
      </c>
      <c r="E545" t="str">
        <f ca="1"/>
        <v/>
      </c>
      <c r="F545" t="str">
        <f ca="1"/>
        <v/>
      </c>
      <c r="G545" t="str">
        <f ca="1"/>
        <v>Captive Sales</v>
      </c>
      <c r="H545" t="str">
        <f ca="1"/>
        <v>Captive Sales</v>
      </c>
      <c r="I545" t="str">
        <f ca="1"/>
        <v>Rancon Agro Machinery Limited</v>
      </c>
      <c r="J545" t="str">
        <f ca="1"/>
        <v>Dhaka</v>
      </c>
      <c r="K545" t="str">
        <f ca="1"/>
        <v>LO00126</v>
      </c>
      <c r="L545" t="str">
        <f ca="1"/>
        <v>Agri Super 15W40</v>
      </c>
      <c r="M545">
        <f ca="1"/>
        <v>48</v>
      </c>
      <c r="N545">
        <f ca="1"/>
        <v>6100</v>
      </c>
      <c r="O545">
        <f ca="1"/>
        <v>480</v>
      </c>
      <c r="P545">
        <f ca="1"/>
        <v>0.19836065573770489</v>
      </c>
      <c r="Q545">
        <f ca="1"/>
        <v>0</v>
      </c>
      <c r="R545">
        <f ca="1"/>
        <v>4890</v>
      </c>
      <c r="S545">
        <f ca="1"/>
        <v>48</v>
      </c>
      <c r="T545">
        <f ca="1"/>
        <v>480</v>
      </c>
      <c r="U545">
        <f ca="1"/>
        <v>292800</v>
      </c>
      <c r="V545">
        <f ca="1"/>
        <v>0</v>
      </c>
      <c r="W545">
        <f ca="1"/>
        <v>234720</v>
      </c>
      <c r="X545">
        <f ca="1"/>
        <v>30615.652173913044</v>
      </c>
      <c r="Y545">
        <f ca="1"/>
        <v>204104.34782608695</v>
      </c>
      <c r="Z545" t="str">
        <f ca="1"/>
        <v>Cash</v>
      </c>
      <c r="AA545">
        <f ca="1"/>
        <v>703</v>
      </c>
      <c r="AB545" t="str">
        <f ca="1"/>
        <v>Custom</v>
      </c>
      <c r="AC545">
        <f ca="1"/>
        <v>45769</v>
      </c>
      <c r="AD545" t="str">
        <f ca="1"/>
        <v/>
      </c>
      <c r="AE545" t="str">
        <f ca="1"/>
        <v>Captive Sales</v>
      </c>
      <c r="AF545" t="str">
        <f ca="1"/>
        <v>Mineral</v>
      </c>
      <c r="AG545" t="str">
        <f ca="1"/>
        <v>Agri</v>
      </c>
      <c r="AH545" t="str">
        <f ca="1"/>
        <v>15W40</v>
      </c>
      <c r="AI545" t="str">
        <f ca="1"/>
        <v>Agri</v>
      </c>
      <c r="AJ545">
        <f ca="1"/>
        <v>0</v>
      </c>
      <c r="AK545" t="str">
        <f ca="1"/>
        <v>10L</v>
      </c>
      <c r="AL545">
        <f ca="1"/>
        <v>181808.16</v>
      </c>
      <c r="AM545">
        <f ca="1"/>
        <v>22296.187826086942</v>
      </c>
      <c r="AN545" t="str">
        <f ca="1"/>
        <v>O-45769-D-0028</v>
      </c>
      <c r="AO545" t="str">
        <f ca="1"/>
        <v>Delivered</v>
      </c>
    </row>
    <row r="546" spans="1:41" x14ac:dyDescent="0.5">
      <c r="A546" t="str">
        <f ca="1"/>
        <v>Fd-242</v>
      </c>
      <c r="B546" s="1">
        <f ca="1"/>
        <v>45771</v>
      </c>
      <c r="C546" t="str">
        <f ca="1"/>
        <v>D-0015</v>
      </c>
      <c r="D546" t="str">
        <f ca="1"/>
        <v>MK Trading Corporation</v>
      </c>
      <c r="E546" t="str">
        <f ca="1"/>
        <v>Wari</v>
      </c>
      <c r="F546" t="str">
        <f ca="1"/>
        <v/>
      </c>
      <c r="G546" t="str">
        <f ca="1"/>
        <v>Mahamudul Hasan Milon</v>
      </c>
      <c r="H546" t="str">
        <f ca="1"/>
        <v>Abdul Matin</v>
      </c>
      <c r="I546" t="str">
        <f ca="1"/>
        <v>MK Trading Corporation</v>
      </c>
      <c r="J546" t="str">
        <f ca="1"/>
        <v xml:space="preserve">Wari </v>
      </c>
      <c r="K546" t="str">
        <f ca="1"/>
        <v>LO00043</v>
      </c>
      <c r="L546" t="str">
        <f ca="1"/>
        <v>3000 4T PLUS 10W40</v>
      </c>
      <c r="M546">
        <f ca="1"/>
        <v>3075</v>
      </c>
      <c r="N546">
        <f ca="1"/>
        <v>550</v>
      </c>
      <c r="O546">
        <f ca="1"/>
        <v>3075</v>
      </c>
      <c r="P546">
        <f ca="1"/>
        <v>0.63636363636363635</v>
      </c>
      <c r="Q546">
        <f ca="1"/>
        <v>0</v>
      </c>
      <c r="R546">
        <f ca="1"/>
        <v>200</v>
      </c>
      <c r="S546">
        <f ca="1"/>
        <v>3075</v>
      </c>
      <c r="T546">
        <f ca="1"/>
        <v>3075</v>
      </c>
      <c r="U546">
        <f ca="1"/>
        <v>1691250</v>
      </c>
      <c r="V546">
        <f ca="1"/>
        <v>0</v>
      </c>
      <c r="W546">
        <f ca="1"/>
        <v>615000</v>
      </c>
      <c r="X546">
        <f ca="1"/>
        <v>80217.391304347824</v>
      </c>
      <c r="Y546">
        <f ca="1"/>
        <v>534782.60869565222</v>
      </c>
      <c r="Z546" t="str">
        <f ca="1"/>
        <v>Cash</v>
      </c>
      <c r="AA546" t="str">
        <f ca="1"/>
        <v/>
      </c>
      <c r="AB546" t="str">
        <f ca="1"/>
        <v>Custom</v>
      </c>
      <c r="AC546" t="str">
        <f ca="1"/>
        <v/>
      </c>
      <c r="AD546" t="str">
        <f ca="1"/>
        <v>Damaged products, 15 Drums , 205Ltr per Drum</v>
      </c>
      <c r="AE546" t="str">
        <f ca="1"/>
        <v>Central</v>
      </c>
      <c r="AF546" t="str">
        <f ca="1"/>
        <v>Mineral</v>
      </c>
      <c r="AG546" t="str">
        <f ca="1"/>
        <v>MCO</v>
      </c>
      <c r="AH546" t="str">
        <f ca="1"/>
        <v>10W40</v>
      </c>
      <c r="AI546" t="str">
        <f ca="1"/>
        <v>3000</v>
      </c>
      <c r="AJ546">
        <f ca="1"/>
        <v>0</v>
      </c>
      <c r="AK546" t="str">
        <f ca="1"/>
        <v>20x1L</v>
      </c>
      <c r="AL546">
        <f ca="1"/>
        <v>1183413.75</v>
      </c>
      <c r="AM546">
        <f ca="1"/>
        <v>-648631.14130434778</v>
      </c>
      <c r="AN546" t="str">
        <f ca="1"/>
        <v>O-45771-D-0015</v>
      </c>
      <c r="AO546" t="str">
        <f ca="1"/>
        <v>DMG-Sold</v>
      </c>
    </row>
    <row r="547" spans="1:41" x14ac:dyDescent="0.5">
      <c r="A547" t="str">
        <f ca="1"/>
        <v>Fd-243</v>
      </c>
      <c r="B547" s="1">
        <f ca="1"/>
        <v>45773</v>
      </c>
      <c r="C547" t="str">
        <f ca="1"/>
        <v>D-0025</v>
      </c>
      <c r="D547" t="str">
        <f ca="1"/>
        <v>Rancon Industrial Park</v>
      </c>
      <c r="E547" t="str">
        <f ca="1"/>
        <v>Vobanipur</v>
      </c>
      <c r="F547" t="str">
        <f ca="1"/>
        <v/>
      </c>
      <c r="G547" t="str">
        <f ca="1"/>
        <v>Captive Sales</v>
      </c>
      <c r="H547" t="str">
        <f ca="1"/>
        <v>Captive Sales</v>
      </c>
      <c r="I547" t="str">
        <f ca="1"/>
        <v>Rancon Motor Bikes Ltd</v>
      </c>
      <c r="J547" t="str">
        <f ca="1"/>
        <v>Dhaka</v>
      </c>
      <c r="K547" t="str">
        <f ca="1"/>
        <v>LO00043</v>
      </c>
      <c r="L547" t="str">
        <f ca="1"/>
        <v>3000 4T PLUS 10W40</v>
      </c>
      <c r="M547">
        <f ca="1"/>
        <v>153</v>
      </c>
      <c r="N547">
        <f ca="1"/>
        <v>550</v>
      </c>
      <c r="O547">
        <f ca="1"/>
        <v>153</v>
      </c>
      <c r="P547">
        <f ca="1"/>
        <v>0.6</v>
      </c>
      <c r="Q547">
        <f ca="1"/>
        <v>0</v>
      </c>
      <c r="R547">
        <f ca="1"/>
        <v>220</v>
      </c>
      <c r="S547">
        <f ca="1"/>
        <v>153</v>
      </c>
      <c r="T547">
        <f ca="1"/>
        <v>153</v>
      </c>
      <c r="U547">
        <f ca="1"/>
        <v>84150</v>
      </c>
      <c r="V547">
        <f ca="1"/>
        <v>0</v>
      </c>
      <c r="W547">
        <f ca="1"/>
        <v>33660</v>
      </c>
      <c r="X547">
        <f ca="1"/>
        <v>4390.434782608696</v>
      </c>
      <c r="Y547">
        <f ca="1"/>
        <v>29269.565217391304</v>
      </c>
      <c r="Z547" t="str">
        <f ca="1"/>
        <v>Cash</v>
      </c>
      <c r="AA547" t="str">
        <f ca="1"/>
        <v/>
      </c>
      <c r="AB547" t="str">
        <f ca="1"/>
        <v>Custom</v>
      </c>
      <c r="AC547" t="str">
        <f ca="1"/>
        <v/>
      </c>
      <c r="AD547" t="str">
        <f ca="1"/>
        <v>Damaged products Sale</v>
      </c>
      <c r="AE547" t="str">
        <f ca="1"/>
        <v>Captive Sales</v>
      </c>
      <c r="AF547" t="str">
        <f ca="1"/>
        <v>Mineral</v>
      </c>
      <c r="AG547" t="str">
        <f ca="1"/>
        <v>MCO</v>
      </c>
      <c r="AH547" t="str">
        <f ca="1"/>
        <v>10W40</v>
      </c>
      <c r="AI547" t="str">
        <f ca="1"/>
        <v>3000</v>
      </c>
      <c r="AJ547">
        <f ca="1"/>
        <v>0</v>
      </c>
      <c r="AK547" t="str">
        <f ca="1"/>
        <v>20x1L</v>
      </c>
      <c r="AL547">
        <f ca="1"/>
        <v>58882.05</v>
      </c>
      <c r="AM547">
        <f ca="1"/>
        <v>-29612.484782608699</v>
      </c>
      <c r="AN547" t="str">
        <f ca="1"/>
        <v>O-45773-D-0025</v>
      </c>
      <c r="AO547" t="str">
        <f ca="1"/>
        <v>DMG-Sold</v>
      </c>
    </row>
    <row r="548" spans="1:41" x14ac:dyDescent="0.5">
      <c r="A548" t="str">
        <f ca="1"/>
        <v>Fr-245</v>
      </c>
      <c r="B548" s="1">
        <f ca="1"/>
        <v>45774</v>
      </c>
      <c r="C548" t="str">
        <f ca="1"/>
        <v>D-0018</v>
      </c>
      <c r="D548" t="str">
        <f ca="1"/>
        <v xml:space="preserve">K B Lubricant </v>
      </c>
      <c r="E548" t="str">
        <f ca="1"/>
        <v xml:space="preserve">Ice Factory Road , Kadamtali Chittagong </v>
      </c>
      <c r="F548" t="str">
        <f ca="1"/>
        <v>019 7770 3528</v>
      </c>
      <c r="G548" t="str">
        <f ca="1"/>
        <v>Sultan Anisul Islam</v>
      </c>
      <c r="H548" t="str">
        <f ca="1"/>
        <v>Razur Rahman (Bipul)</v>
      </c>
      <c r="I548" t="str">
        <f ca="1"/>
        <v>KB Lubricants</v>
      </c>
      <c r="J548" t="str">
        <f ca="1"/>
        <v>Kadamtoli</v>
      </c>
      <c r="K548" t="str">
        <f ca="1"/>
        <v>LO00041</v>
      </c>
      <c r="L548" t="str">
        <f ca="1"/>
        <v>3000 4T PLUS 10W30</v>
      </c>
      <c r="M548">
        <f ca="1"/>
        <v>12</v>
      </c>
      <c r="N548">
        <f ca="1"/>
        <v>540</v>
      </c>
      <c r="O548">
        <f ca="1"/>
        <v>12</v>
      </c>
      <c r="P548">
        <f ca="1"/>
        <v>1</v>
      </c>
      <c r="Q548">
        <f ca="1"/>
        <v>0</v>
      </c>
      <c r="R548">
        <f ca="1"/>
        <v>0</v>
      </c>
      <c r="S548">
        <f ca="1"/>
        <v>12</v>
      </c>
      <c r="T548">
        <f ca="1"/>
        <v>12</v>
      </c>
      <c r="U548">
        <f ca="1"/>
        <v>6480</v>
      </c>
      <c r="V548">
        <f ca="1"/>
        <v>0</v>
      </c>
      <c r="W548">
        <f ca="1"/>
        <v>0</v>
      </c>
      <c r="X548">
        <f ca="1"/>
        <v>0</v>
      </c>
      <c r="Y548">
        <f ca="1"/>
        <v>0</v>
      </c>
      <c r="Z548" t="str">
        <f ca="1"/>
        <v>Cash</v>
      </c>
      <c r="AA548" t="str">
        <f ca="1"/>
        <v/>
      </c>
      <c r="AB548" t="str">
        <f ca="1"/>
        <v>Flat Discount</v>
      </c>
      <c r="AC548" t="str">
        <f ca="1"/>
        <v/>
      </c>
      <c r="AD548" t="str">
        <f ca="1"/>
        <v>Replacement products</v>
      </c>
      <c r="AE548" t="str">
        <f ca="1"/>
        <v>Eastern</v>
      </c>
      <c r="AF548" t="str">
        <f ca="1"/>
        <v>Mineral</v>
      </c>
      <c r="AG548" t="str">
        <f ca="1"/>
        <v>MCO</v>
      </c>
      <c r="AH548" t="str">
        <f ca="1"/>
        <v>10W30</v>
      </c>
      <c r="AI548" t="str">
        <f ca="1"/>
        <v>3000</v>
      </c>
      <c r="AJ548">
        <f ca="1"/>
        <v>0</v>
      </c>
      <c r="AK548" t="str">
        <f ca="1"/>
        <v>20x1L</v>
      </c>
      <c r="AL548">
        <f ca="1"/>
        <v>4551.96</v>
      </c>
      <c r="AM548">
        <f ca="1"/>
        <v>-4551.96</v>
      </c>
      <c r="AN548" t="str">
        <f ca="1"/>
        <v>O-45774-D-0018</v>
      </c>
      <c r="AO548" t="str">
        <f ca="1"/>
        <v>Replaced</v>
      </c>
    </row>
    <row r="549" spans="1:41" x14ac:dyDescent="0.5">
      <c r="A549" t="str">
        <f ca="1"/>
        <v>Fr-245</v>
      </c>
      <c r="B549" s="1">
        <f ca="1"/>
        <v>45774</v>
      </c>
      <c r="C549" t="str">
        <f ca="1"/>
        <v>D-0018</v>
      </c>
      <c r="D549" t="str">
        <f ca="1"/>
        <v xml:space="preserve">K B Lubricant </v>
      </c>
      <c r="E549" t="str">
        <f ca="1"/>
        <v xml:space="preserve">Ice Factory Road , Kadamtali Chittagong </v>
      </c>
      <c r="F549" t="str">
        <f ca="1"/>
        <v>019 7770 3528</v>
      </c>
      <c r="G549" t="str">
        <f ca="1"/>
        <v>Sultan Anisul Islam</v>
      </c>
      <c r="H549" t="str">
        <f ca="1"/>
        <v>Razur Rahman (Bipul)</v>
      </c>
      <c r="I549" t="str">
        <f ca="1"/>
        <v>KB Lubricants</v>
      </c>
      <c r="J549" t="str">
        <f ca="1"/>
        <v>Kadamtoli</v>
      </c>
      <c r="K549" t="str">
        <f ca="1"/>
        <v>LO00042</v>
      </c>
      <c r="L549" t="str">
        <f ca="1"/>
        <v>3000 4T PLUS 20W40</v>
      </c>
      <c r="M549">
        <f ca="1"/>
        <v>30</v>
      </c>
      <c r="N549">
        <f ca="1"/>
        <v>535</v>
      </c>
      <c r="O549">
        <f ca="1"/>
        <v>30</v>
      </c>
      <c r="P549">
        <f ca="1"/>
        <v>1</v>
      </c>
      <c r="Q549">
        <f ca="1"/>
        <v>0</v>
      </c>
      <c r="R549">
        <f ca="1"/>
        <v>0</v>
      </c>
      <c r="S549">
        <f ca="1"/>
        <v>30</v>
      </c>
      <c r="T549">
        <f ca="1"/>
        <v>30</v>
      </c>
      <c r="U549">
        <f ca="1"/>
        <v>16050</v>
      </c>
      <c r="V549">
        <f ca="1"/>
        <v>0</v>
      </c>
      <c r="W549">
        <f ca="1"/>
        <v>0</v>
      </c>
      <c r="X549">
        <f ca="1"/>
        <v>0</v>
      </c>
      <c r="Y549">
        <f ca="1"/>
        <v>0</v>
      </c>
      <c r="Z549" t="str">
        <f ca="1"/>
        <v>Cash</v>
      </c>
      <c r="AA549" t="str">
        <f ca="1"/>
        <v/>
      </c>
      <c r="AB549" t="str">
        <f ca="1"/>
        <v>Flat Discount</v>
      </c>
      <c r="AC549" t="str">
        <f ca="1"/>
        <v/>
      </c>
      <c r="AD549" t="str">
        <f ca="1"/>
        <v>Replacement products</v>
      </c>
      <c r="AE549" t="str">
        <f ca="1"/>
        <v>Eastern</v>
      </c>
      <c r="AF549" t="str">
        <f ca="1"/>
        <v>Mineral</v>
      </c>
      <c r="AG549" t="str">
        <f ca="1"/>
        <v>MCO</v>
      </c>
      <c r="AH549" t="str">
        <f ca="1"/>
        <v>20W40</v>
      </c>
      <c r="AI549" t="str">
        <f ca="1"/>
        <v>3000</v>
      </c>
      <c r="AJ549">
        <f ca="1"/>
        <v>0</v>
      </c>
      <c r="AK549" t="str">
        <f ca="1"/>
        <v>20x1L</v>
      </c>
      <c r="AL549">
        <f ca="1"/>
        <v>12382.8</v>
      </c>
      <c r="AM549">
        <f ca="1"/>
        <v>-12382.8</v>
      </c>
      <c r="AN549" t="str">
        <f ca="1"/>
        <v>O-45774-D-0018</v>
      </c>
      <c r="AO549" t="str">
        <f ca="1"/>
        <v>Replaced</v>
      </c>
    </row>
    <row r="550" spans="1:41" x14ac:dyDescent="0.5">
      <c r="A550" t="str">
        <f ca="1"/>
        <v>Fr-245</v>
      </c>
      <c r="B550" s="1">
        <f ca="1"/>
        <v>45774</v>
      </c>
      <c r="C550" t="str">
        <f ca="1"/>
        <v>D-0018</v>
      </c>
      <c r="D550" t="str">
        <f ca="1"/>
        <v xml:space="preserve">K B Lubricant </v>
      </c>
      <c r="E550" t="str">
        <f ca="1"/>
        <v xml:space="preserve">Ice Factory Road , Kadamtali Chittagong </v>
      </c>
      <c r="F550" t="str">
        <f ca="1"/>
        <v>019 7770 3528</v>
      </c>
      <c r="G550" t="str">
        <f ca="1"/>
        <v>Sultan Anisul Islam</v>
      </c>
      <c r="H550" t="str">
        <f ca="1"/>
        <v>Razur Rahman (Bipul)</v>
      </c>
      <c r="I550" t="str">
        <f ca="1"/>
        <v>KB Lubricants</v>
      </c>
      <c r="J550" t="str">
        <f ca="1"/>
        <v>Kadamtoli</v>
      </c>
      <c r="K550" t="str">
        <f ca="1"/>
        <v>LO00043</v>
      </c>
      <c r="L550" t="str">
        <f ca="1"/>
        <v>3000 4T PLUS 10W40</v>
      </c>
      <c r="M550">
        <f ca="1"/>
        <v>37</v>
      </c>
      <c r="N550">
        <f ca="1"/>
        <v>550</v>
      </c>
      <c r="O550">
        <f ca="1"/>
        <v>37</v>
      </c>
      <c r="P550">
        <f ca="1"/>
        <v>1</v>
      </c>
      <c r="Q550">
        <f ca="1"/>
        <v>0</v>
      </c>
      <c r="R550">
        <f ca="1"/>
        <v>0</v>
      </c>
      <c r="S550">
        <f ca="1"/>
        <v>37</v>
      </c>
      <c r="T550">
        <f ca="1"/>
        <v>37</v>
      </c>
      <c r="U550">
        <f ca="1"/>
        <v>20350</v>
      </c>
      <c r="V550">
        <f ca="1"/>
        <v>0</v>
      </c>
      <c r="W550">
        <f ca="1"/>
        <v>0</v>
      </c>
      <c r="X550">
        <f ca="1"/>
        <v>0</v>
      </c>
      <c r="Y550">
        <f ca="1"/>
        <v>0</v>
      </c>
      <c r="Z550" t="str">
        <f ca="1"/>
        <v>Cash</v>
      </c>
      <c r="AA550" t="str">
        <f ca="1"/>
        <v/>
      </c>
      <c r="AB550" t="str">
        <f ca="1"/>
        <v>Flat Discount</v>
      </c>
      <c r="AC550" t="str">
        <f ca="1"/>
        <v/>
      </c>
      <c r="AD550" t="str">
        <f ca="1"/>
        <v>Replacement products</v>
      </c>
      <c r="AE550" t="str">
        <f ca="1"/>
        <v>Eastern</v>
      </c>
      <c r="AF550" t="str">
        <f ca="1"/>
        <v>Mineral</v>
      </c>
      <c r="AG550" t="str">
        <f ca="1"/>
        <v>MCO</v>
      </c>
      <c r="AH550" t="str">
        <f ca="1"/>
        <v>10W40</v>
      </c>
      <c r="AI550" t="str">
        <f ca="1"/>
        <v>3000</v>
      </c>
      <c r="AJ550">
        <f ca="1"/>
        <v>0</v>
      </c>
      <c r="AK550" t="str">
        <f ca="1"/>
        <v>20x1L</v>
      </c>
      <c r="AL550">
        <f ca="1"/>
        <v>14239.45</v>
      </c>
      <c r="AM550">
        <f ca="1"/>
        <v>-14239.45</v>
      </c>
      <c r="AN550" t="str">
        <f ca="1"/>
        <v>O-45774-D-0018</v>
      </c>
      <c r="AO550" t="str">
        <f ca="1"/>
        <v>Replaced</v>
      </c>
    </row>
    <row r="551" spans="1:41" x14ac:dyDescent="0.5">
      <c r="A551" t="str">
        <f ca="1"/>
        <v>Fr-245</v>
      </c>
      <c r="B551" s="1">
        <f ca="1"/>
        <v>45774</v>
      </c>
      <c r="C551" t="str">
        <f ca="1"/>
        <v>D-0018</v>
      </c>
      <c r="D551" t="str">
        <f ca="1"/>
        <v xml:space="preserve">K B Lubricant </v>
      </c>
      <c r="E551" t="str">
        <f ca="1"/>
        <v xml:space="preserve">Ice Factory Road , Kadamtali Chittagong </v>
      </c>
      <c r="F551" t="str">
        <f ca="1"/>
        <v>019 7770 3528</v>
      </c>
      <c r="G551" t="str">
        <f ca="1"/>
        <v>Sultan Anisul Islam</v>
      </c>
      <c r="H551" t="str">
        <f ca="1"/>
        <v>Razur Rahman (Bipul)</v>
      </c>
      <c r="I551" t="str">
        <f ca="1"/>
        <v>KB Lubricants</v>
      </c>
      <c r="J551" t="str">
        <f ca="1"/>
        <v>Kadamtoli</v>
      </c>
      <c r="K551" t="str">
        <f ca="1"/>
        <v>LO00073</v>
      </c>
      <c r="L551" t="str">
        <f ca="1"/>
        <v>3000 4T PLUS 10W30</v>
      </c>
      <c r="M551">
        <f ca="1"/>
        <v>2</v>
      </c>
      <c r="N551">
        <f ca="1"/>
        <v>650</v>
      </c>
      <c r="O551">
        <f ca="1"/>
        <v>2.4</v>
      </c>
      <c r="P551">
        <f ca="1"/>
        <v>1</v>
      </c>
      <c r="Q551">
        <f ca="1"/>
        <v>0</v>
      </c>
      <c r="R551">
        <f ca="1"/>
        <v>0</v>
      </c>
      <c r="S551">
        <f ca="1"/>
        <v>2</v>
      </c>
      <c r="T551">
        <f ca="1"/>
        <v>2.4</v>
      </c>
      <c r="U551">
        <f ca="1"/>
        <v>1300</v>
      </c>
      <c r="V551">
        <f ca="1"/>
        <v>0</v>
      </c>
      <c r="W551">
        <f ca="1"/>
        <v>0</v>
      </c>
      <c r="X551">
        <f ca="1"/>
        <v>0</v>
      </c>
      <c r="Y551">
        <f ca="1"/>
        <v>0</v>
      </c>
      <c r="Z551" t="str">
        <f ca="1"/>
        <v>Cash</v>
      </c>
      <c r="AA551" t="str">
        <f ca="1"/>
        <v/>
      </c>
      <c r="AB551" t="str">
        <f ca="1"/>
        <v>Flat Discount</v>
      </c>
      <c r="AC551" t="str">
        <f ca="1"/>
        <v/>
      </c>
      <c r="AD551" t="str">
        <f ca="1"/>
        <v>Replacement products</v>
      </c>
      <c r="AE551" t="str">
        <f ca="1"/>
        <v>Eastern</v>
      </c>
      <c r="AF551" t="str">
        <f ca="1"/>
        <v>Mineral</v>
      </c>
      <c r="AG551" t="str">
        <f ca="1"/>
        <v>MCO</v>
      </c>
      <c r="AH551" t="str">
        <f ca="1"/>
        <v>10W30</v>
      </c>
      <c r="AI551" t="str">
        <f ca="1"/>
        <v>3000</v>
      </c>
      <c r="AJ551">
        <f ca="1"/>
        <v>0</v>
      </c>
      <c r="AK551" t="str">
        <f ca="1"/>
        <v>20x1.2L</v>
      </c>
      <c r="AL551">
        <f ca="1"/>
        <v>877.8</v>
      </c>
      <c r="AM551">
        <f ca="1"/>
        <v>-877.8</v>
      </c>
      <c r="AN551" t="str">
        <f ca="1"/>
        <v>O-45774-D-0018</v>
      </c>
      <c r="AO551" t="str">
        <f ca="1"/>
        <v>Replaced</v>
      </c>
    </row>
    <row r="552" spans="1:41" x14ac:dyDescent="0.5">
      <c r="A552" t="str">
        <f ca="1"/>
        <v>Fr-245</v>
      </c>
      <c r="B552" s="1">
        <f ca="1"/>
        <v>45774</v>
      </c>
      <c r="C552" t="str">
        <f ca="1"/>
        <v>D-0018</v>
      </c>
      <c r="D552" t="str">
        <f ca="1"/>
        <v xml:space="preserve">K B Lubricant </v>
      </c>
      <c r="E552" t="str">
        <f ca="1"/>
        <v xml:space="preserve">Ice Factory Road , Kadamtali Chittagong </v>
      </c>
      <c r="F552" t="str">
        <f ca="1"/>
        <v>019 7770 3528</v>
      </c>
      <c r="G552" t="str">
        <f ca="1"/>
        <v>Sultan Anisul Islam</v>
      </c>
      <c r="H552" t="str">
        <f ca="1"/>
        <v>Razur Rahman (Bipul)</v>
      </c>
      <c r="I552" t="str">
        <f ca="1"/>
        <v>KB Lubricants</v>
      </c>
      <c r="J552" t="str">
        <f ca="1"/>
        <v>Kadamtoli</v>
      </c>
      <c r="K552" t="str">
        <f ca="1"/>
        <v>LO00044</v>
      </c>
      <c r="L552" t="str">
        <f ca="1"/>
        <v>31004T GOLD 20W50</v>
      </c>
      <c r="M552">
        <f ca="1"/>
        <v>28</v>
      </c>
      <c r="N552">
        <f ca="1"/>
        <v>600</v>
      </c>
      <c r="O552">
        <f ca="1"/>
        <v>28</v>
      </c>
      <c r="P552">
        <f ca="1"/>
        <v>1</v>
      </c>
      <c r="Q552">
        <f ca="1"/>
        <v>0</v>
      </c>
      <c r="R552">
        <f ca="1"/>
        <v>0</v>
      </c>
      <c r="S552">
        <f ca="1"/>
        <v>28</v>
      </c>
      <c r="T552">
        <f ca="1"/>
        <v>28</v>
      </c>
      <c r="U552">
        <f ca="1"/>
        <v>16800</v>
      </c>
      <c r="V552">
        <f ca="1"/>
        <v>0</v>
      </c>
      <c r="W552">
        <f ca="1"/>
        <v>0</v>
      </c>
      <c r="X552">
        <f ca="1"/>
        <v>0</v>
      </c>
      <c r="Y552">
        <f ca="1"/>
        <v>0</v>
      </c>
      <c r="Z552" t="str">
        <f ca="1"/>
        <v>Cash</v>
      </c>
      <c r="AA552" t="str">
        <f ca="1"/>
        <v/>
      </c>
      <c r="AB552" t="str">
        <f ca="1"/>
        <v>Flat Discount</v>
      </c>
      <c r="AC552" t="str">
        <f ca="1"/>
        <v/>
      </c>
      <c r="AD552" t="str">
        <f ca="1"/>
        <v>Replacement products</v>
      </c>
      <c r="AE552" t="str">
        <f ca="1"/>
        <v>Eastern</v>
      </c>
      <c r="AF552" t="str">
        <f ca="1"/>
        <v>Technosynthese</v>
      </c>
      <c r="AG552" t="str">
        <f ca="1"/>
        <v>MCO</v>
      </c>
      <c r="AH552" t="str">
        <f ca="1"/>
        <v>20W50</v>
      </c>
      <c r="AI552" t="str">
        <f ca="1"/>
        <v>3100</v>
      </c>
      <c r="AJ552">
        <f ca="1"/>
        <v>0</v>
      </c>
      <c r="AK552" t="str">
        <f ca="1"/>
        <v>20x1L</v>
      </c>
      <c r="AL552">
        <f ca="1"/>
        <v>13142.92</v>
      </c>
      <c r="AM552">
        <f ca="1"/>
        <v>-13142.92</v>
      </c>
      <c r="AN552" t="str">
        <f ca="1"/>
        <v>O-45774-D-0018</v>
      </c>
      <c r="AO552" t="str">
        <f ca="1"/>
        <v>Replaced</v>
      </c>
    </row>
    <row r="553" spans="1:41" x14ac:dyDescent="0.5">
      <c r="A553" t="str">
        <f ca="1"/>
        <v>Fr-245</v>
      </c>
      <c r="B553" s="1">
        <f ca="1"/>
        <v>45774</v>
      </c>
      <c r="C553" t="str">
        <f ca="1"/>
        <v>D-0018</v>
      </c>
      <c r="D553" t="str">
        <f ca="1"/>
        <v xml:space="preserve">K B Lubricant </v>
      </c>
      <c r="E553" t="str">
        <f ca="1"/>
        <v xml:space="preserve">Ice Factory Road , Kadamtali Chittagong </v>
      </c>
      <c r="F553" t="str">
        <f ca="1"/>
        <v>019 7770 3528</v>
      </c>
      <c r="G553" t="str">
        <f ca="1"/>
        <v>Sultan Anisul Islam</v>
      </c>
      <c r="H553" t="str">
        <f ca="1"/>
        <v>Razur Rahman (Bipul)</v>
      </c>
      <c r="I553" t="str">
        <f ca="1"/>
        <v>KB Lubricants</v>
      </c>
      <c r="J553" t="str">
        <f ca="1"/>
        <v>Kadamtoli</v>
      </c>
      <c r="K553" t="str">
        <f ca="1"/>
        <v>LO00074</v>
      </c>
      <c r="L553" t="str">
        <f ca="1"/>
        <v>7100 4T 10W30 ESTER CORE®</v>
      </c>
      <c r="M553">
        <f ca="1"/>
        <v>1</v>
      </c>
      <c r="N553">
        <f ca="1"/>
        <v>1080</v>
      </c>
      <c r="O553">
        <f ca="1"/>
        <v>1</v>
      </c>
      <c r="P553">
        <f ca="1"/>
        <v>1</v>
      </c>
      <c r="Q553">
        <f ca="1"/>
        <v>0</v>
      </c>
      <c r="R553">
        <f ca="1"/>
        <v>0</v>
      </c>
      <c r="S553">
        <f ca="1"/>
        <v>1</v>
      </c>
      <c r="T553">
        <f ca="1"/>
        <v>1</v>
      </c>
      <c r="U553">
        <f ca="1"/>
        <v>1080</v>
      </c>
      <c r="V553">
        <f ca="1"/>
        <v>0</v>
      </c>
      <c r="W553">
        <f ca="1"/>
        <v>0</v>
      </c>
      <c r="X553">
        <f ca="1"/>
        <v>0</v>
      </c>
      <c r="Y553">
        <f ca="1"/>
        <v>0</v>
      </c>
      <c r="Z553" t="str">
        <f ca="1"/>
        <v>Cash</v>
      </c>
      <c r="AA553" t="str">
        <f ca="1"/>
        <v/>
      </c>
      <c r="AB553" t="str">
        <f ca="1"/>
        <v>Flat Discount</v>
      </c>
      <c r="AC553" t="str">
        <f ca="1"/>
        <v/>
      </c>
      <c r="AD553" t="str">
        <f ca="1"/>
        <v>Replacement products</v>
      </c>
      <c r="AE553" t="str">
        <f ca="1"/>
        <v>Eastern</v>
      </c>
      <c r="AF553" t="str">
        <f ca="1"/>
        <v>Synthetic</v>
      </c>
      <c r="AG553" t="str">
        <f ca="1"/>
        <v>MCO</v>
      </c>
      <c r="AH553" t="str">
        <f ca="1"/>
        <v>10W30</v>
      </c>
      <c r="AI553" t="str">
        <f ca="1"/>
        <v>7100</v>
      </c>
      <c r="AJ553">
        <f ca="1"/>
        <v>0</v>
      </c>
      <c r="AK553" t="str">
        <f ca="1"/>
        <v>12x1L</v>
      </c>
      <c r="AL553">
        <f ca="1"/>
        <v>689.86</v>
      </c>
      <c r="AM553">
        <f ca="1"/>
        <v>-689.86</v>
      </c>
      <c r="AN553" t="str">
        <f ca="1"/>
        <v>O-45774-D-0018</v>
      </c>
      <c r="AO553" t="str">
        <f ca="1"/>
        <v>Replaced</v>
      </c>
    </row>
    <row r="554" spans="1:41" x14ac:dyDescent="0.5">
      <c r="A554" t="str">
        <f ca="1"/>
        <v>Fr-245</v>
      </c>
      <c r="B554" s="1">
        <f ca="1"/>
        <v>45774</v>
      </c>
      <c r="C554" t="str">
        <f ca="1"/>
        <v>D-0018</v>
      </c>
      <c r="D554" t="str">
        <f ca="1"/>
        <v xml:space="preserve">K B Lubricant </v>
      </c>
      <c r="E554" t="str">
        <f ca="1"/>
        <v xml:space="preserve">Ice Factory Road , Kadamtali Chittagong </v>
      </c>
      <c r="F554" t="str">
        <f ca="1"/>
        <v>019 7770 3528</v>
      </c>
      <c r="G554" t="str">
        <f ca="1"/>
        <v>Sultan Anisul Islam</v>
      </c>
      <c r="H554" t="str">
        <f ca="1"/>
        <v>Razur Rahman (Bipul)</v>
      </c>
      <c r="I554" t="str">
        <f ca="1"/>
        <v>KB Lubricants</v>
      </c>
      <c r="J554" t="str">
        <f ca="1"/>
        <v>Kadamtoli</v>
      </c>
      <c r="K554" t="str">
        <f ca="1"/>
        <v>LO00048</v>
      </c>
      <c r="L554" t="str">
        <f ca="1"/>
        <v>7100 4T 20W50 ESTER CORE®</v>
      </c>
      <c r="M554">
        <f ca="1"/>
        <v>1</v>
      </c>
      <c r="N554">
        <f ca="1"/>
        <v>1080</v>
      </c>
      <c r="O554">
        <f ca="1"/>
        <v>1</v>
      </c>
      <c r="P554">
        <f ca="1"/>
        <v>1</v>
      </c>
      <c r="Q554">
        <f ca="1"/>
        <v>0</v>
      </c>
      <c r="R554">
        <f ca="1"/>
        <v>0</v>
      </c>
      <c r="S554">
        <f ca="1"/>
        <v>1</v>
      </c>
      <c r="T554">
        <f ca="1"/>
        <v>1</v>
      </c>
      <c r="U554">
        <f ca="1"/>
        <v>1080</v>
      </c>
      <c r="V554">
        <f ca="1"/>
        <v>0</v>
      </c>
      <c r="W554">
        <f ca="1"/>
        <v>0</v>
      </c>
      <c r="X554">
        <f ca="1"/>
        <v>0</v>
      </c>
      <c r="Y554">
        <f ca="1"/>
        <v>0</v>
      </c>
      <c r="Z554" t="str">
        <f ca="1"/>
        <v>Cash</v>
      </c>
      <c r="AA554" t="str">
        <f ca="1"/>
        <v/>
      </c>
      <c r="AB554" t="str">
        <f ca="1"/>
        <v>Flat Discount</v>
      </c>
      <c r="AC554" t="str">
        <f ca="1"/>
        <v/>
      </c>
      <c r="AD554" t="str">
        <f ca="1"/>
        <v>Replacement products</v>
      </c>
      <c r="AE554" t="str">
        <f ca="1"/>
        <v>Eastern</v>
      </c>
      <c r="AF554" t="str">
        <f ca="1"/>
        <v>Synthetic</v>
      </c>
      <c r="AG554" t="str">
        <f ca="1"/>
        <v>MCO</v>
      </c>
      <c r="AH554" t="str">
        <f ca="1"/>
        <v>20W50</v>
      </c>
      <c r="AI554" t="str">
        <f ca="1"/>
        <v>7100</v>
      </c>
      <c r="AJ554">
        <f ca="1"/>
        <v>0</v>
      </c>
      <c r="AK554" t="str">
        <f ca="1"/>
        <v>12x1L</v>
      </c>
      <c r="AL554">
        <f ca="1"/>
        <v>763.69839999999999</v>
      </c>
      <c r="AM554">
        <f ca="1"/>
        <v>-763.69839999999999</v>
      </c>
      <c r="AN554" t="str">
        <f ca="1"/>
        <v>O-45774-D-0018</v>
      </c>
      <c r="AO554" t="str">
        <f ca="1"/>
        <v>Replaced</v>
      </c>
    </row>
    <row r="555" spans="1:41" x14ac:dyDescent="0.5">
      <c r="A555" t="str">
        <f ca="1"/>
        <v>Fr-245</v>
      </c>
      <c r="B555" s="1">
        <f ca="1"/>
        <v>45774</v>
      </c>
      <c r="C555" t="str">
        <f ca="1"/>
        <v>D-0018</v>
      </c>
      <c r="D555" t="str">
        <f ca="1"/>
        <v xml:space="preserve">K B Lubricant </v>
      </c>
      <c r="E555" t="str">
        <f ca="1"/>
        <v xml:space="preserve">Ice Factory Road , Kadamtali Chittagong </v>
      </c>
      <c r="F555" t="str">
        <f ca="1"/>
        <v>019 7770 3528</v>
      </c>
      <c r="G555" t="str">
        <f ca="1"/>
        <v>Sultan Anisul Islam</v>
      </c>
      <c r="H555" t="str">
        <f ca="1"/>
        <v>Razur Rahman (Bipul)</v>
      </c>
      <c r="I555" t="str">
        <f ca="1"/>
        <v>KB Lubricants</v>
      </c>
      <c r="J555" t="str">
        <f ca="1"/>
        <v>Kadamtoli</v>
      </c>
      <c r="K555" t="str">
        <f ca="1"/>
        <v>LO00076</v>
      </c>
      <c r="L555" t="str">
        <f ca="1"/>
        <v>Inugel Expert Coolant</v>
      </c>
      <c r="M555">
        <f ca="1"/>
        <v>1</v>
      </c>
      <c r="N555">
        <f ca="1"/>
        <v>425</v>
      </c>
      <c r="O555">
        <f ca="1"/>
        <v>1</v>
      </c>
      <c r="P555">
        <f ca="1"/>
        <v>1</v>
      </c>
      <c r="Q555">
        <f ca="1"/>
        <v>0</v>
      </c>
      <c r="R555">
        <f ca="1"/>
        <v>0</v>
      </c>
      <c r="S555">
        <f ca="1"/>
        <v>1</v>
      </c>
      <c r="T555">
        <f ca="1"/>
        <v>1</v>
      </c>
      <c r="U555">
        <f ca="1"/>
        <v>425</v>
      </c>
      <c r="V555">
        <f ca="1"/>
        <v>0</v>
      </c>
      <c r="W555">
        <f ca="1"/>
        <v>0</v>
      </c>
      <c r="X555">
        <f ca="1"/>
        <v>0</v>
      </c>
      <c r="Y555">
        <f ca="1"/>
        <v>0</v>
      </c>
      <c r="Z555" t="str">
        <f ca="1"/>
        <v>Cash</v>
      </c>
      <c r="AA555" t="str">
        <f ca="1"/>
        <v/>
      </c>
      <c r="AB555" t="str">
        <f ca="1"/>
        <v>Flat Discount</v>
      </c>
      <c r="AC555" t="str">
        <f ca="1"/>
        <v/>
      </c>
      <c r="AD555" t="str">
        <f ca="1"/>
        <v>Replacement products</v>
      </c>
      <c r="AE555" t="str">
        <f ca="1"/>
        <v>Eastern</v>
      </c>
      <c r="AF555" t="str">
        <f ca="1"/>
        <v>Care Products</v>
      </c>
      <c r="AG555" t="str">
        <f ca="1"/>
        <v>Care Products</v>
      </c>
      <c r="AH555" t="str">
        <f ca="1"/>
        <v>Care Products</v>
      </c>
      <c r="AI555" t="str">
        <f ca="1"/>
        <v>Coolant</v>
      </c>
      <c r="AJ555">
        <f ca="1"/>
        <v>0</v>
      </c>
      <c r="AK555" t="str">
        <f ca="1"/>
        <v>20x1L</v>
      </c>
      <c r="AL555">
        <f ca="1"/>
        <v>230.64</v>
      </c>
      <c r="AM555">
        <f ca="1"/>
        <v>-230.64</v>
      </c>
      <c r="AN555" t="str">
        <f ca="1"/>
        <v>O-45774-D-0018</v>
      </c>
      <c r="AO555" t="str">
        <f ca="1"/>
        <v>Replaced</v>
      </c>
    </row>
    <row r="556" spans="1:41" x14ac:dyDescent="0.5">
      <c r="A556" t="str">
        <f ca="1"/>
        <v>Fr-245</v>
      </c>
      <c r="B556" s="1">
        <f ca="1"/>
        <v>45774</v>
      </c>
      <c r="C556" t="str">
        <f ca="1"/>
        <v>D-0018</v>
      </c>
      <c r="D556" t="str">
        <f ca="1"/>
        <v xml:space="preserve">K B Lubricant </v>
      </c>
      <c r="E556" t="str">
        <f ca="1"/>
        <v xml:space="preserve">Ice Factory Road , Kadamtali Chittagong </v>
      </c>
      <c r="F556" t="str">
        <f ca="1"/>
        <v>019 7770 3528</v>
      </c>
      <c r="G556" t="str">
        <f ca="1"/>
        <v>Sultan Anisul Islam</v>
      </c>
      <c r="H556" t="str">
        <f ca="1"/>
        <v>Razur Rahman (Bipul)</v>
      </c>
      <c r="I556" t="str">
        <f ca="1"/>
        <v>KB Lubricants</v>
      </c>
      <c r="J556" t="str">
        <f ca="1"/>
        <v>Kadamtoli</v>
      </c>
      <c r="K556" t="str">
        <f ca="1"/>
        <v>LO00088</v>
      </c>
      <c r="L556" t="str">
        <f ca="1"/>
        <v>Run 4T 20W50</v>
      </c>
      <c r="M556">
        <f ca="1"/>
        <v>8</v>
      </c>
      <c r="N556">
        <f ca="1"/>
        <v>0</v>
      </c>
      <c r="O556">
        <f ca="1"/>
        <v>8</v>
      </c>
      <c r="P556" t="str">
        <f ca="1"/>
        <v/>
      </c>
      <c r="Q556">
        <f ca="1"/>
        <v>0</v>
      </c>
      <c r="R556">
        <f ca="1"/>
        <v>0</v>
      </c>
      <c r="S556">
        <f ca="1"/>
        <v>8</v>
      </c>
      <c r="T556">
        <f ca="1"/>
        <v>8</v>
      </c>
      <c r="U556">
        <f ca="1"/>
        <v>0</v>
      </c>
      <c r="V556">
        <f ca="1"/>
        <v>0</v>
      </c>
      <c r="W556">
        <f ca="1"/>
        <v>0</v>
      </c>
      <c r="X556">
        <f ca="1"/>
        <v>0</v>
      </c>
      <c r="Y556">
        <f ca="1"/>
        <v>0</v>
      </c>
      <c r="Z556" t="str">
        <f ca="1"/>
        <v>Cash</v>
      </c>
      <c r="AA556" t="str">
        <f ca="1"/>
        <v/>
      </c>
      <c r="AB556" t="str">
        <f ca="1"/>
        <v>Flat Discount</v>
      </c>
      <c r="AC556" t="str">
        <f ca="1"/>
        <v/>
      </c>
      <c r="AD556" t="str">
        <f ca="1"/>
        <v>Replacement products</v>
      </c>
      <c r="AE556" t="str">
        <f ca="1"/>
        <v>Eastern</v>
      </c>
      <c r="AF556" t="str">
        <f ca="1"/>
        <v>Mineral</v>
      </c>
      <c r="AG556" t="str">
        <f ca="1"/>
        <v>MCO</v>
      </c>
      <c r="AH556" t="str">
        <f ca="1"/>
        <v>20W50</v>
      </c>
      <c r="AI556" t="str">
        <f ca="1"/>
        <v xml:space="preserve">Run </v>
      </c>
      <c r="AJ556">
        <f ca="1"/>
        <v>0</v>
      </c>
      <c r="AK556" t="str">
        <f ca="1"/>
        <v>20X1L</v>
      </c>
      <c r="AL556">
        <f ca="1"/>
        <v>2747.04</v>
      </c>
      <c r="AM556">
        <f ca="1"/>
        <v>-2747.04</v>
      </c>
      <c r="AN556" t="str">
        <f ca="1"/>
        <v>O-45774-D-0018</v>
      </c>
      <c r="AO556" t="str">
        <f ca="1"/>
        <v>Replaced</v>
      </c>
    </row>
    <row r="557" spans="1:41" x14ac:dyDescent="0.5">
      <c r="A557" t="str">
        <f ca="1"/>
        <v>Fr-245</v>
      </c>
      <c r="B557" s="1">
        <f ca="1"/>
        <v>45774</v>
      </c>
      <c r="C557" t="str">
        <f ca="1"/>
        <v>D-0018</v>
      </c>
      <c r="D557" t="str">
        <f ca="1"/>
        <v xml:space="preserve">K B Lubricant </v>
      </c>
      <c r="E557" t="str">
        <f ca="1"/>
        <v xml:space="preserve">Ice Factory Road , Kadamtali Chittagong </v>
      </c>
      <c r="F557" t="str">
        <f ca="1"/>
        <v>019 7770 3528</v>
      </c>
      <c r="G557" t="str">
        <f ca="1"/>
        <v>Sultan Anisul Islam</v>
      </c>
      <c r="H557" t="str">
        <f ca="1"/>
        <v>Razur Rahman (Bipul)</v>
      </c>
      <c r="I557" t="str">
        <f ca="1"/>
        <v>KB Lubricants</v>
      </c>
      <c r="J557" t="str">
        <f ca="1"/>
        <v>Kadamtoli</v>
      </c>
      <c r="K557" t="str">
        <f ca="1"/>
        <v>LO00099</v>
      </c>
      <c r="L557" t="str">
        <f ca="1"/>
        <v>RUN 4T 20W40</v>
      </c>
      <c r="M557">
        <f ca="1"/>
        <v>10</v>
      </c>
      <c r="N557">
        <f ca="1"/>
        <v>565</v>
      </c>
      <c r="O557">
        <f ca="1"/>
        <v>10</v>
      </c>
      <c r="P557">
        <f ca="1"/>
        <v>1</v>
      </c>
      <c r="Q557">
        <f ca="1"/>
        <v>0</v>
      </c>
      <c r="R557">
        <f ca="1"/>
        <v>0</v>
      </c>
      <c r="S557">
        <f ca="1"/>
        <v>10</v>
      </c>
      <c r="T557">
        <f ca="1"/>
        <v>10</v>
      </c>
      <c r="U557">
        <f ca="1"/>
        <v>5650</v>
      </c>
      <c r="V557">
        <f ca="1"/>
        <v>0</v>
      </c>
      <c r="W557">
        <f ca="1"/>
        <v>0</v>
      </c>
      <c r="X557">
        <f ca="1"/>
        <v>0</v>
      </c>
      <c r="Y557">
        <f ca="1"/>
        <v>0</v>
      </c>
      <c r="Z557" t="str">
        <f ca="1"/>
        <v>Cash</v>
      </c>
      <c r="AA557" t="str">
        <f ca="1"/>
        <v/>
      </c>
      <c r="AB557" t="str">
        <f ca="1"/>
        <v>Flat Discount</v>
      </c>
      <c r="AC557" t="str">
        <f ca="1"/>
        <v/>
      </c>
      <c r="AD557" t="str">
        <f ca="1"/>
        <v>Replacement products</v>
      </c>
      <c r="AE557" t="str">
        <f ca="1"/>
        <v>Eastern</v>
      </c>
      <c r="AF557" t="str">
        <f ca="1"/>
        <v>Mineral</v>
      </c>
      <c r="AG557" t="str">
        <f ca="1"/>
        <v>MCO</v>
      </c>
      <c r="AH557" t="str">
        <f ca="1"/>
        <v>20W40</v>
      </c>
      <c r="AI557" t="str">
        <f ca="1"/>
        <v xml:space="preserve">RUN </v>
      </c>
      <c r="AJ557">
        <f ca="1"/>
        <v>0</v>
      </c>
      <c r="AK557" t="str">
        <f ca="1"/>
        <v>20x1L</v>
      </c>
      <c r="AL557">
        <f ca="1"/>
        <v>3595.7</v>
      </c>
      <c r="AM557">
        <f ca="1"/>
        <v>-3595.7</v>
      </c>
      <c r="AN557" t="str">
        <f ca="1"/>
        <v>O-45774-D-0018</v>
      </c>
      <c r="AO557" t="str">
        <f ca="1"/>
        <v>Replaced</v>
      </c>
    </row>
    <row r="558" spans="1:41" x14ac:dyDescent="0.5">
      <c r="A558" t="str">
        <f ca="1"/>
        <v>Fr-245</v>
      </c>
      <c r="B558" s="1">
        <f ca="1"/>
        <v>45774</v>
      </c>
      <c r="C558" t="str">
        <f ca="1"/>
        <v>D-0018</v>
      </c>
      <c r="D558" t="str">
        <f ca="1"/>
        <v xml:space="preserve">K B Lubricant </v>
      </c>
      <c r="E558" t="str">
        <f ca="1"/>
        <v xml:space="preserve">Ice Factory Road , Kadamtali Chittagong </v>
      </c>
      <c r="F558" t="str">
        <f ca="1"/>
        <v>019 7770 3528</v>
      </c>
      <c r="G558" t="str">
        <f ca="1"/>
        <v>Sultan Anisul Islam</v>
      </c>
      <c r="H558" t="str">
        <f ca="1"/>
        <v>Razur Rahman (Bipul)</v>
      </c>
      <c r="I558" t="str">
        <f ca="1"/>
        <v>KB Lubricants</v>
      </c>
      <c r="J558" t="str">
        <f ca="1"/>
        <v>Kadamtoli</v>
      </c>
      <c r="K558" t="str">
        <f ca="1"/>
        <v>LO00120</v>
      </c>
      <c r="L558" t="str">
        <f ca="1"/>
        <v>3000 4T 20W50</v>
      </c>
      <c r="M558">
        <f ca="1"/>
        <v>1</v>
      </c>
      <c r="N558">
        <f ca="1"/>
        <v>595</v>
      </c>
      <c r="O558">
        <f ca="1"/>
        <v>1.2</v>
      </c>
      <c r="P558">
        <f ca="1"/>
        <v>1</v>
      </c>
      <c r="Q558">
        <f ca="1"/>
        <v>0</v>
      </c>
      <c r="R558">
        <f ca="1"/>
        <v>0</v>
      </c>
      <c r="S558">
        <f ca="1"/>
        <v>1</v>
      </c>
      <c r="T558">
        <f ca="1"/>
        <v>1.2</v>
      </c>
      <c r="U558">
        <f ca="1"/>
        <v>595</v>
      </c>
      <c r="V558">
        <f ca="1"/>
        <v>0</v>
      </c>
      <c r="W558">
        <f ca="1"/>
        <v>0</v>
      </c>
      <c r="X558">
        <f ca="1"/>
        <v>0</v>
      </c>
      <c r="Y558">
        <f ca="1"/>
        <v>0</v>
      </c>
      <c r="Z558" t="str">
        <f ca="1"/>
        <v>Cash</v>
      </c>
      <c r="AA558" t="str">
        <f ca="1"/>
        <v/>
      </c>
      <c r="AB558" t="str">
        <f ca="1"/>
        <v>Flat Discount</v>
      </c>
      <c r="AC558" t="str">
        <f ca="1"/>
        <v/>
      </c>
      <c r="AD558" t="str">
        <f ca="1"/>
        <v>Replacement products</v>
      </c>
      <c r="AE558" t="str">
        <f ca="1"/>
        <v>Eastern</v>
      </c>
      <c r="AF558" t="str">
        <f ca="1"/>
        <v>Mineral</v>
      </c>
      <c r="AG558" t="str">
        <f ca="1"/>
        <v>MCO</v>
      </c>
      <c r="AH558" t="str">
        <f ca="1"/>
        <v>20W50</v>
      </c>
      <c r="AI558" t="str">
        <f ca="1"/>
        <v>3000</v>
      </c>
      <c r="AJ558">
        <f ca="1"/>
        <v>0</v>
      </c>
      <c r="AK558" t="str">
        <f ca="1"/>
        <v>20x1.2L</v>
      </c>
      <c r="AL558">
        <f ca="1"/>
        <v>434.61</v>
      </c>
      <c r="AM558">
        <f ca="1"/>
        <v>-434.61</v>
      </c>
      <c r="AN558" t="str">
        <f ca="1"/>
        <v>O-45774-D-0018</v>
      </c>
      <c r="AO558" t="str">
        <f ca="1"/>
        <v>Replaced</v>
      </c>
    </row>
    <row r="559" spans="1:41" x14ac:dyDescent="0.5">
      <c r="A559" t="str">
        <f ca="1"/>
        <v>F-244</v>
      </c>
      <c r="B559" s="1">
        <f ca="1"/>
        <v>45770</v>
      </c>
      <c r="C559" t="str">
        <f ca="1"/>
        <v>D-0018</v>
      </c>
      <c r="D559" t="str">
        <f ca="1"/>
        <v xml:space="preserve">K B Lubricant </v>
      </c>
      <c r="E559" t="str">
        <f ca="1"/>
        <v xml:space="preserve">Ice Factory Road , Kadamtali Chittagong </v>
      </c>
      <c r="F559" t="str">
        <f ca="1"/>
        <v>019 7770 3528</v>
      </c>
      <c r="G559" t="str">
        <f ca="1"/>
        <v>Sultan Anisul Islam</v>
      </c>
      <c r="H559" t="str">
        <f ca="1"/>
        <v>Razur Rahman (Bipul)</v>
      </c>
      <c r="I559" t="str">
        <f ca="1"/>
        <v>KB Lubricants</v>
      </c>
      <c r="J559" t="str">
        <f ca="1"/>
        <v>Kadamtoli</v>
      </c>
      <c r="K559" t="str">
        <f ca="1"/>
        <v>LO00041</v>
      </c>
      <c r="L559" t="str">
        <f ca="1"/>
        <v>3000 4T PLUS 10W30</v>
      </c>
      <c r="M559">
        <f ca="1"/>
        <v>500</v>
      </c>
      <c r="N559">
        <f ca="1"/>
        <v>525</v>
      </c>
      <c r="O559">
        <f ca="1"/>
        <v>500</v>
      </c>
      <c r="P559">
        <f ca="1"/>
        <v>0</v>
      </c>
      <c r="Q559">
        <f ca="1"/>
        <v>0</v>
      </c>
      <c r="R559">
        <f ca="1"/>
        <v>525</v>
      </c>
      <c r="S559">
        <f ca="1"/>
        <v>500</v>
      </c>
      <c r="T559">
        <f ca="1"/>
        <v>500</v>
      </c>
      <c r="U559">
        <f ca="1"/>
        <v>262500</v>
      </c>
      <c r="V559">
        <f ca="1"/>
        <v>0</v>
      </c>
      <c r="W559">
        <f ca="1"/>
        <v>262500</v>
      </c>
      <c r="X559">
        <f ca="1"/>
        <v>34239.130434782608</v>
      </c>
      <c r="Y559">
        <f ca="1"/>
        <v>228260.86956521738</v>
      </c>
      <c r="Z559" t="str">
        <f ca="1"/>
        <v>Cash</v>
      </c>
      <c r="AA559">
        <f ca="1"/>
        <v>708</v>
      </c>
      <c r="AB559" t="str">
        <f ca="1"/>
        <v>Flat Discount</v>
      </c>
      <c r="AC559">
        <f ca="1"/>
        <v>45773</v>
      </c>
      <c r="AD559" t="str">
        <f ca="1"/>
        <v/>
      </c>
      <c r="AE559" t="str">
        <f ca="1"/>
        <v>Eastern</v>
      </c>
      <c r="AF559" t="str">
        <f ca="1"/>
        <v>Mineral</v>
      </c>
      <c r="AG559" t="str">
        <f ca="1"/>
        <v>MCO</v>
      </c>
      <c r="AH559" t="str">
        <f ca="1"/>
        <v>10W30</v>
      </c>
      <c r="AI559" t="str">
        <f ca="1"/>
        <v>3000</v>
      </c>
      <c r="AJ559">
        <f ca="1"/>
        <v>0</v>
      </c>
      <c r="AK559" t="str">
        <f ca="1"/>
        <v>20x1L</v>
      </c>
      <c r="AL559">
        <f ca="1"/>
        <v>189665</v>
      </c>
      <c r="AM559">
        <f ca="1"/>
        <v>38595.869565217377</v>
      </c>
      <c r="AN559" t="str">
        <f ca="1"/>
        <v>O-45770-D-0018</v>
      </c>
      <c r="AO559" t="str">
        <f ca="1"/>
        <v>Delivered</v>
      </c>
    </row>
    <row r="560" spans="1:41" x14ac:dyDescent="0.5">
      <c r="A560" t="str">
        <f ca="1"/>
        <v>F-244</v>
      </c>
      <c r="B560" s="1">
        <f ca="1"/>
        <v>45770</v>
      </c>
      <c r="C560" t="str">
        <f ca="1"/>
        <v>D-0018</v>
      </c>
      <c r="D560" t="str">
        <f ca="1"/>
        <v xml:space="preserve">K B Lubricant </v>
      </c>
      <c r="E560" t="str">
        <f ca="1"/>
        <v xml:space="preserve">Ice Factory Road , Kadamtali Chittagong </v>
      </c>
      <c r="F560" t="str">
        <f ca="1"/>
        <v>019 7770 3528</v>
      </c>
      <c r="G560" t="str">
        <f ca="1"/>
        <v>Sultan Anisul Islam</v>
      </c>
      <c r="H560" t="str">
        <f ca="1"/>
        <v>Razur Rahman (Bipul)</v>
      </c>
      <c r="I560" t="str">
        <f ca="1"/>
        <v>KB Lubricants</v>
      </c>
      <c r="J560" t="str">
        <f ca="1"/>
        <v>Kadamtoli</v>
      </c>
      <c r="K560" t="str">
        <f ca="1"/>
        <v>LO00043</v>
      </c>
      <c r="L560" t="str">
        <f ca="1"/>
        <v>3000 4T PLUS 10W40</v>
      </c>
      <c r="M560">
        <f ca="1"/>
        <v>720</v>
      </c>
      <c r="N560">
        <f ca="1"/>
        <v>525</v>
      </c>
      <c r="O560">
        <f ca="1"/>
        <v>720</v>
      </c>
      <c r="P560">
        <f ca="1"/>
        <v>0</v>
      </c>
      <c r="Q560">
        <f ca="1"/>
        <v>0</v>
      </c>
      <c r="R560">
        <f ca="1"/>
        <v>525</v>
      </c>
      <c r="S560">
        <f ca="1"/>
        <v>720</v>
      </c>
      <c r="T560">
        <f ca="1"/>
        <v>720</v>
      </c>
      <c r="U560">
        <f ca="1"/>
        <v>378000</v>
      </c>
      <c r="V560">
        <f ca="1"/>
        <v>0</v>
      </c>
      <c r="W560">
        <f ca="1"/>
        <v>378000</v>
      </c>
      <c r="X560">
        <f ca="1"/>
        <v>49304.34782608696</v>
      </c>
      <c r="Y560">
        <f ca="1"/>
        <v>328695.65217391303</v>
      </c>
      <c r="Z560" t="str">
        <f ca="1"/>
        <v>Cash</v>
      </c>
      <c r="AA560">
        <f ca="1"/>
        <v>708</v>
      </c>
      <c r="AB560" t="str">
        <f ca="1"/>
        <v>Flat Discount</v>
      </c>
      <c r="AC560">
        <f ca="1"/>
        <v>45773</v>
      </c>
      <c r="AD560" t="str">
        <f ca="1"/>
        <v/>
      </c>
      <c r="AE560" t="str">
        <f ca="1"/>
        <v>Eastern</v>
      </c>
      <c r="AF560" t="str">
        <f ca="1"/>
        <v>Mineral</v>
      </c>
      <c r="AG560" t="str">
        <f ca="1"/>
        <v>MCO</v>
      </c>
      <c r="AH560" t="str">
        <f ca="1"/>
        <v>10W40</v>
      </c>
      <c r="AI560" t="str">
        <f ca="1"/>
        <v>3000</v>
      </c>
      <c r="AJ560">
        <f ca="1"/>
        <v>0</v>
      </c>
      <c r="AK560" t="str">
        <f ca="1"/>
        <v>20x1L</v>
      </c>
      <c r="AL560">
        <f ca="1"/>
        <v>277092</v>
      </c>
      <c r="AM560">
        <f ca="1"/>
        <v>51603.652173913026</v>
      </c>
      <c r="AN560" t="str">
        <f ca="1"/>
        <v>O-45770-D-0018</v>
      </c>
      <c r="AO560" t="str">
        <f ca="1"/>
        <v>Delivered</v>
      </c>
    </row>
    <row r="561" spans="1:41" x14ac:dyDescent="0.5">
      <c r="A561" t="str">
        <f ca="1"/>
        <v>F-244</v>
      </c>
      <c r="B561" s="1">
        <f ca="1"/>
        <v>45770</v>
      </c>
      <c r="C561" t="str">
        <f ca="1"/>
        <v>D-0018</v>
      </c>
      <c r="D561" t="str">
        <f ca="1"/>
        <v xml:space="preserve">K B Lubricant </v>
      </c>
      <c r="E561" t="str">
        <f ca="1"/>
        <v xml:space="preserve">Ice Factory Road , Kadamtali Chittagong </v>
      </c>
      <c r="F561" t="str">
        <f ca="1"/>
        <v>019 7770 3528</v>
      </c>
      <c r="G561" t="str">
        <f ca="1"/>
        <v>Sultan Anisul Islam</v>
      </c>
      <c r="H561" t="str">
        <f ca="1"/>
        <v>Razur Rahman (Bipul)</v>
      </c>
      <c r="I561" t="str">
        <f ca="1"/>
        <v>KB Lubricants</v>
      </c>
      <c r="J561" t="str">
        <f ca="1"/>
        <v>Kadamtoli</v>
      </c>
      <c r="K561" t="str">
        <f ca="1"/>
        <v>LO00071</v>
      </c>
      <c r="L561" t="str">
        <f ca="1"/>
        <v>31004T GOLD 10W30</v>
      </c>
      <c r="M561">
        <f ca="1"/>
        <v>100</v>
      </c>
      <c r="N561">
        <f ca="1"/>
        <v>540</v>
      </c>
      <c r="O561">
        <f ca="1"/>
        <v>100</v>
      </c>
      <c r="P561">
        <f ca="1"/>
        <v>0</v>
      </c>
      <c r="Q561">
        <f ca="1"/>
        <v>0</v>
      </c>
      <c r="R561">
        <f ca="1"/>
        <v>540</v>
      </c>
      <c r="S561">
        <f ca="1"/>
        <v>100</v>
      </c>
      <c r="T561">
        <f ca="1"/>
        <v>100</v>
      </c>
      <c r="U561">
        <f ca="1"/>
        <v>54000</v>
      </c>
      <c r="V561">
        <f ca="1"/>
        <v>0</v>
      </c>
      <c r="W561">
        <f ca="1"/>
        <v>54000</v>
      </c>
      <c r="X561">
        <f ca="1"/>
        <v>7043.478260869565</v>
      </c>
      <c r="Y561">
        <f ca="1"/>
        <v>46956.521739130432</v>
      </c>
      <c r="Z561" t="str">
        <f ca="1"/>
        <v>Cash</v>
      </c>
      <c r="AA561">
        <f ca="1"/>
        <v>708</v>
      </c>
      <c r="AB561" t="str">
        <f ca="1"/>
        <v>Flat Discount</v>
      </c>
      <c r="AC561">
        <f ca="1"/>
        <v>45773</v>
      </c>
      <c r="AD561" t="str">
        <f ca="1"/>
        <v/>
      </c>
      <c r="AE561" t="str">
        <f ca="1"/>
        <v>Eastern</v>
      </c>
      <c r="AF561" t="str">
        <f ca="1"/>
        <v>Technosynthese</v>
      </c>
      <c r="AG561" t="str">
        <f ca="1"/>
        <v>MCO</v>
      </c>
      <c r="AH561" t="str">
        <f ca="1"/>
        <v>10W30</v>
      </c>
      <c r="AI561" t="str">
        <f ca="1"/>
        <v>3100</v>
      </c>
      <c r="AJ561">
        <f ca="1"/>
        <v>0</v>
      </c>
      <c r="AK561" t="str">
        <f ca="1"/>
        <v>20x1L</v>
      </c>
      <c r="AL561">
        <f ca="1"/>
        <v>42510</v>
      </c>
      <c r="AM561">
        <f ca="1"/>
        <v>4446.5217391304323</v>
      </c>
      <c r="AN561" t="str">
        <f ca="1"/>
        <v>O-45770-D-0018</v>
      </c>
      <c r="AO561" t="str">
        <f ca="1"/>
        <v>Delivered</v>
      </c>
    </row>
    <row r="562" spans="1:41" x14ac:dyDescent="0.5">
      <c r="A562" t="str">
        <f ca="1"/>
        <v>F-244</v>
      </c>
      <c r="B562" s="1">
        <f ca="1"/>
        <v>45770</v>
      </c>
      <c r="C562" t="str">
        <f ca="1"/>
        <v>D-0018</v>
      </c>
      <c r="D562" t="str">
        <f ca="1"/>
        <v xml:space="preserve">K B Lubricant </v>
      </c>
      <c r="E562" t="str">
        <f ca="1"/>
        <v xml:space="preserve">Ice Factory Road , Kadamtali Chittagong </v>
      </c>
      <c r="F562" t="str">
        <f ca="1"/>
        <v>019 7770 3528</v>
      </c>
      <c r="G562" t="str">
        <f ca="1"/>
        <v>Sultan Anisul Islam</v>
      </c>
      <c r="H562" t="str">
        <f ca="1"/>
        <v>Razur Rahman (Bipul)</v>
      </c>
      <c r="I562" t="str">
        <f ca="1"/>
        <v>KB Lubricants</v>
      </c>
      <c r="J562" t="str">
        <f ca="1"/>
        <v>Kadamtoli</v>
      </c>
      <c r="K562" t="str">
        <f ca="1"/>
        <v>LO00046</v>
      </c>
      <c r="L562" t="str">
        <f ca="1"/>
        <v>51004T 10W40 ESTER</v>
      </c>
      <c r="M562">
        <f ca="1"/>
        <v>240</v>
      </c>
      <c r="N562">
        <f ca="1"/>
        <v>830</v>
      </c>
      <c r="O562">
        <f ca="1"/>
        <v>240</v>
      </c>
      <c r="P562">
        <f ca="1"/>
        <v>0</v>
      </c>
      <c r="Q562">
        <f ca="1"/>
        <v>0</v>
      </c>
      <c r="R562">
        <f ca="1"/>
        <v>830</v>
      </c>
      <c r="S562">
        <f ca="1"/>
        <v>240</v>
      </c>
      <c r="T562">
        <f ca="1"/>
        <v>240</v>
      </c>
      <c r="U562">
        <f ca="1"/>
        <v>199200</v>
      </c>
      <c r="V562">
        <f ca="1"/>
        <v>0</v>
      </c>
      <c r="W562">
        <f ca="1"/>
        <v>199200</v>
      </c>
      <c r="X562">
        <f ca="1"/>
        <v>25982.608695652172</v>
      </c>
      <c r="Y562">
        <f ca="1"/>
        <v>173217.39130434784</v>
      </c>
      <c r="Z562" t="str">
        <f ca="1"/>
        <v>Cash</v>
      </c>
      <c r="AA562">
        <f ca="1"/>
        <v>708</v>
      </c>
      <c r="AB562" t="str">
        <f ca="1"/>
        <v>Flat Discount</v>
      </c>
      <c r="AC562">
        <f ca="1"/>
        <v>45773</v>
      </c>
      <c r="AD562" t="str">
        <f ca="1"/>
        <v/>
      </c>
      <c r="AE562" t="str">
        <f ca="1"/>
        <v>Eastern</v>
      </c>
      <c r="AF562" t="str">
        <f ca="1"/>
        <v>Technosynthese</v>
      </c>
      <c r="AG562" t="str">
        <f ca="1"/>
        <v>MCO</v>
      </c>
      <c r="AH562" t="str">
        <f ca="1"/>
        <v>10W40</v>
      </c>
      <c r="AI562" t="str">
        <f ca="1"/>
        <v>5100</v>
      </c>
      <c r="AJ562">
        <f ca="1"/>
        <v>0</v>
      </c>
      <c r="AK562" t="str">
        <f ca="1"/>
        <v>12x1L</v>
      </c>
      <c r="AL562">
        <f ca="1"/>
        <v>145999.20000000001</v>
      </c>
      <c r="AM562">
        <f ca="1"/>
        <v>27218.191304347827</v>
      </c>
      <c r="AN562" t="str">
        <f ca="1"/>
        <v>O-45770-D-0018</v>
      </c>
      <c r="AO562" t="str">
        <f ca="1"/>
        <v>Delivered</v>
      </c>
    </row>
    <row r="563" spans="1:41" x14ac:dyDescent="0.5">
      <c r="A563" t="str">
        <f ca="1"/>
        <v>F-244</v>
      </c>
      <c r="B563" s="1">
        <f ca="1"/>
        <v>45770</v>
      </c>
      <c r="C563" t="str">
        <f ca="1"/>
        <v>D-0018</v>
      </c>
      <c r="D563" t="str">
        <f ca="1"/>
        <v xml:space="preserve">K B Lubricant </v>
      </c>
      <c r="E563" t="str">
        <f ca="1"/>
        <v xml:space="preserve">Ice Factory Road , Kadamtali Chittagong </v>
      </c>
      <c r="F563" t="str">
        <f ca="1"/>
        <v>019 7770 3528</v>
      </c>
      <c r="G563" t="str">
        <f ca="1"/>
        <v>Sultan Anisul Islam</v>
      </c>
      <c r="H563" t="str">
        <f ca="1"/>
        <v>Razur Rahman (Bipul)</v>
      </c>
      <c r="I563" t="str">
        <f ca="1"/>
        <v>KB Lubricants</v>
      </c>
      <c r="J563" t="str">
        <f ca="1"/>
        <v>Kadamtoli</v>
      </c>
      <c r="K563" t="str">
        <f ca="1"/>
        <v>LO00048</v>
      </c>
      <c r="L563" t="str">
        <f ca="1"/>
        <v>7100 4T 20W50 ESTER CORE®</v>
      </c>
      <c r="M563">
        <f ca="1"/>
        <v>60</v>
      </c>
      <c r="N563">
        <f ca="1"/>
        <v>1020</v>
      </c>
      <c r="O563">
        <f ca="1"/>
        <v>60</v>
      </c>
      <c r="P563">
        <f ca="1"/>
        <v>0</v>
      </c>
      <c r="Q563">
        <f ca="1"/>
        <v>0</v>
      </c>
      <c r="R563">
        <f ca="1"/>
        <v>1020</v>
      </c>
      <c r="S563">
        <f ca="1"/>
        <v>60</v>
      </c>
      <c r="T563">
        <f ca="1"/>
        <v>60</v>
      </c>
      <c r="U563">
        <f ca="1"/>
        <v>61200</v>
      </c>
      <c r="V563">
        <f ca="1"/>
        <v>0</v>
      </c>
      <c r="W563">
        <f ca="1"/>
        <v>61200</v>
      </c>
      <c r="X563">
        <f ca="1"/>
        <v>7982.608695652174</v>
      </c>
      <c r="Y563">
        <f ca="1"/>
        <v>53217.391304347824</v>
      </c>
      <c r="Z563" t="str">
        <f ca="1"/>
        <v>Cash</v>
      </c>
      <c r="AA563">
        <f ca="1"/>
        <v>708</v>
      </c>
      <c r="AB563" t="str">
        <f ca="1"/>
        <v>Flat Discount</v>
      </c>
      <c r="AC563">
        <f ca="1"/>
        <v>45773</v>
      </c>
      <c r="AD563" t="str">
        <f ca="1"/>
        <v/>
      </c>
      <c r="AE563" t="str">
        <f ca="1"/>
        <v>Eastern</v>
      </c>
      <c r="AF563" t="str">
        <f ca="1"/>
        <v>Synthetic</v>
      </c>
      <c r="AG563" t="str">
        <f ca="1"/>
        <v>MCO</v>
      </c>
      <c r="AH563" t="str">
        <f ca="1"/>
        <v>20W50</v>
      </c>
      <c r="AI563" t="str">
        <f ca="1"/>
        <v>7100</v>
      </c>
      <c r="AJ563">
        <f ca="1"/>
        <v>0</v>
      </c>
      <c r="AK563" t="str">
        <f ca="1"/>
        <v>12x1L</v>
      </c>
      <c r="AL563">
        <f ca="1"/>
        <v>45821.904000000002</v>
      </c>
      <c r="AM563">
        <f ca="1"/>
        <v>7395.4873043478219</v>
      </c>
      <c r="AN563" t="str">
        <f ca="1"/>
        <v>O-45770-D-0018</v>
      </c>
      <c r="AO563" t="str">
        <f ca="1"/>
        <v>Delivered</v>
      </c>
    </row>
    <row r="564" spans="1:41" x14ac:dyDescent="0.5">
      <c r="A564" t="str">
        <f ca="1"/>
        <v>F-244</v>
      </c>
      <c r="B564" s="1">
        <f ca="1"/>
        <v>45770</v>
      </c>
      <c r="C564" t="str">
        <f ca="1"/>
        <v>D-0018</v>
      </c>
      <c r="D564" t="str">
        <f ca="1"/>
        <v xml:space="preserve">K B Lubricant </v>
      </c>
      <c r="E564" t="str">
        <f ca="1"/>
        <v xml:space="preserve">Ice Factory Road , Kadamtali Chittagong </v>
      </c>
      <c r="F564" t="str">
        <f ca="1"/>
        <v>019 7770 3528</v>
      </c>
      <c r="G564" t="str">
        <f ca="1"/>
        <v>Sultan Anisul Islam</v>
      </c>
      <c r="H564" t="str">
        <f ca="1"/>
        <v>Razur Rahman (Bipul)</v>
      </c>
      <c r="I564" t="str">
        <f ca="1"/>
        <v>KB Lubricants</v>
      </c>
      <c r="J564" t="str">
        <f ca="1"/>
        <v>Kadamtoli</v>
      </c>
      <c r="K564" t="str">
        <f ca="1"/>
        <v>LO00076</v>
      </c>
      <c r="L564" t="str">
        <f ca="1"/>
        <v>Inugel Expert Coolant</v>
      </c>
      <c r="M564">
        <f ca="1"/>
        <v>100</v>
      </c>
      <c r="N564">
        <f ca="1"/>
        <v>400</v>
      </c>
      <c r="O564">
        <f ca="1"/>
        <v>100</v>
      </c>
      <c r="P564">
        <f ca="1"/>
        <v>0</v>
      </c>
      <c r="Q564">
        <f ca="1"/>
        <v>0</v>
      </c>
      <c r="R564">
        <f ca="1"/>
        <v>400</v>
      </c>
      <c r="S564">
        <f ca="1"/>
        <v>100</v>
      </c>
      <c r="T564">
        <f ca="1"/>
        <v>100</v>
      </c>
      <c r="U564">
        <f ca="1"/>
        <v>40000</v>
      </c>
      <c r="V564">
        <f ca="1"/>
        <v>0</v>
      </c>
      <c r="W564">
        <f ca="1"/>
        <v>40000</v>
      </c>
      <c r="X564">
        <f ca="1"/>
        <v>5217.391304347826</v>
      </c>
      <c r="Y564">
        <f ca="1"/>
        <v>34782.608695652176</v>
      </c>
      <c r="Z564" t="str">
        <f ca="1"/>
        <v>Cash</v>
      </c>
      <c r="AA564">
        <f ca="1"/>
        <v>708</v>
      </c>
      <c r="AB564" t="str">
        <f ca="1"/>
        <v>Flat Discount</v>
      </c>
      <c r="AC564">
        <f ca="1"/>
        <v>45773</v>
      </c>
      <c r="AD564" t="str">
        <f ca="1"/>
        <v/>
      </c>
      <c r="AE564" t="str">
        <f ca="1"/>
        <v>Eastern</v>
      </c>
      <c r="AF564" t="str">
        <f ca="1"/>
        <v>Care Products</v>
      </c>
      <c r="AG564" t="str">
        <f ca="1"/>
        <v>Care Products</v>
      </c>
      <c r="AH564" t="str">
        <f ca="1"/>
        <v>Care Products</v>
      </c>
      <c r="AI564" t="str">
        <f ca="1"/>
        <v>Coolant</v>
      </c>
      <c r="AJ564">
        <f ca="1"/>
        <v>0</v>
      </c>
      <c r="AK564" t="str">
        <f ca="1"/>
        <v>20x1L</v>
      </c>
      <c r="AL564">
        <f ca="1"/>
        <v>23064</v>
      </c>
      <c r="AM564">
        <f ca="1"/>
        <v>11718.608695652176</v>
      </c>
      <c r="AN564" t="str">
        <f ca="1"/>
        <v>O-45770-D-0018</v>
      </c>
      <c r="AO564" t="str">
        <f ca="1"/>
        <v>Delivered</v>
      </c>
    </row>
    <row r="565" spans="1:41" x14ac:dyDescent="0.5">
      <c r="A565" t="str">
        <f ca="1"/>
        <v>F-244</v>
      </c>
      <c r="B565" s="1">
        <f ca="1"/>
        <v>45770</v>
      </c>
      <c r="C565" t="str">
        <f ca="1"/>
        <v>D-0018</v>
      </c>
      <c r="D565" t="str">
        <f ca="1"/>
        <v xml:space="preserve">K B Lubricant </v>
      </c>
      <c r="E565" t="str">
        <f ca="1"/>
        <v xml:space="preserve">Ice Factory Road , Kadamtali Chittagong </v>
      </c>
      <c r="F565" t="str">
        <f ca="1"/>
        <v>019 7770 3528</v>
      </c>
      <c r="G565" t="str">
        <f ca="1"/>
        <v>Sultan Anisul Islam</v>
      </c>
      <c r="H565" t="str">
        <f ca="1"/>
        <v>Razur Rahman (Bipul)</v>
      </c>
      <c r="I565" t="str">
        <f ca="1"/>
        <v>KB Lubricants</v>
      </c>
      <c r="J565" t="str">
        <f ca="1"/>
        <v>Kadamtoli</v>
      </c>
      <c r="K565" t="str">
        <f ca="1"/>
        <v>LO00072</v>
      </c>
      <c r="L565" t="str">
        <f ca="1"/>
        <v>Scooter LE 4T 10W30 HC-TECH®</v>
      </c>
      <c r="M565">
        <f ca="1"/>
        <v>300</v>
      </c>
      <c r="N565">
        <f ca="1"/>
        <v>420</v>
      </c>
      <c r="O565">
        <f ca="1"/>
        <v>240</v>
      </c>
      <c r="P565">
        <f ca="1"/>
        <v>0</v>
      </c>
      <c r="Q565">
        <f ca="1"/>
        <v>0</v>
      </c>
      <c r="R565">
        <f ca="1"/>
        <v>420</v>
      </c>
      <c r="S565">
        <f ca="1"/>
        <v>300</v>
      </c>
      <c r="T565">
        <f ca="1"/>
        <v>240</v>
      </c>
      <c r="U565">
        <f ca="1"/>
        <v>126000</v>
      </c>
      <c r="V565">
        <f ca="1"/>
        <v>0</v>
      </c>
      <c r="W565">
        <f ca="1"/>
        <v>126000</v>
      </c>
      <c r="X565">
        <f ca="1"/>
        <v>16434.782608695652</v>
      </c>
      <c r="Y565">
        <f ca="1"/>
        <v>109565.21739130435</v>
      </c>
      <c r="Z565" t="str">
        <f ca="1"/>
        <v>Cash</v>
      </c>
      <c r="AA565">
        <f ca="1"/>
        <v>708</v>
      </c>
      <c r="AB565" t="str">
        <f ca="1"/>
        <v>Flat Discount</v>
      </c>
      <c r="AC565">
        <f ca="1"/>
        <v>45773</v>
      </c>
      <c r="AD565" t="str">
        <f ca="1"/>
        <v/>
      </c>
      <c r="AE565" t="str">
        <f ca="1"/>
        <v>Eastern</v>
      </c>
      <c r="AF565" t="str">
        <f ca="1"/>
        <v>Mineral</v>
      </c>
      <c r="AG565" t="str">
        <f ca="1"/>
        <v>MCO</v>
      </c>
      <c r="AH565" t="str">
        <f ca="1"/>
        <v>10W30</v>
      </c>
      <c r="AI565" t="str">
        <f ca="1"/>
        <v>Scooter</v>
      </c>
      <c r="AJ565">
        <f ca="1"/>
        <v>0</v>
      </c>
      <c r="AK565" t="str">
        <f ca="1"/>
        <v>20x0.8L</v>
      </c>
      <c r="AL565">
        <f ca="1"/>
        <v>99999</v>
      </c>
      <c r="AM565">
        <f ca="1"/>
        <v>9566.2173913043516</v>
      </c>
      <c r="AN565" t="str">
        <f ca="1"/>
        <v>O-45770-D-0018</v>
      </c>
      <c r="AO565" t="str">
        <f ca="1"/>
        <v>Delivered</v>
      </c>
    </row>
    <row r="566" spans="1:41" x14ac:dyDescent="0.5">
      <c r="A566" t="str">
        <f ca="1"/>
        <v>F-244</v>
      </c>
      <c r="B566" s="1">
        <f ca="1"/>
        <v>45770</v>
      </c>
      <c r="C566" t="str">
        <f ca="1"/>
        <v>D-0018</v>
      </c>
      <c r="D566" t="str">
        <f ca="1"/>
        <v xml:space="preserve">K B Lubricant </v>
      </c>
      <c r="E566" t="str">
        <f ca="1"/>
        <v xml:space="preserve">Ice Factory Road , Kadamtali Chittagong </v>
      </c>
      <c r="F566" t="str">
        <f ca="1"/>
        <v>019 7770 3528</v>
      </c>
      <c r="G566" t="str">
        <f ca="1"/>
        <v>Sultan Anisul Islam</v>
      </c>
      <c r="H566" t="str">
        <f ca="1"/>
        <v>Razur Rahman (Bipul)</v>
      </c>
      <c r="I566" t="str">
        <f ca="1"/>
        <v>KB Lubricants</v>
      </c>
      <c r="J566" t="str">
        <f ca="1"/>
        <v>Kadamtoli</v>
      </c>
      <c r="K566" t="str">
        <f ca="1"/>
        <v>LO00119</v>
      </c>
      <c r="L566" t="str">
        <f ca="1"/>
        <v>3000 4T 20W50</v>
      </c>
      <c r="M566">
        <f ca="1"/>
        <v>300</v>
      </c>
      <c r="N566">
        <f ca="1"/>
        <v>400</v>
      </c>
      <c r="O566">
        <f ca="1"/>
        <v>300</v>
      </c>
      <c r="P566">
        <f ca="1"/>
        <v>0</v>
      </c>
      <c r="Q566">
        <f ca="1"/>
        <v>0</v>
      </c>
      <c r="R566">
        <f ca="1"/>
        <v>400</v>
      </c>
      <c r="S566">
        <f ca="1"/>
        <v>300</v>
      </c>
      <c r="T566">
        <f ca="1"/>
        <v>300</v>
      </c>
      <c r="U566">
        <f ca="1"/>
        <v>120000</v>
      </c>
      <c r="V566">
        <f ca="1"/>
        <v>0</v>
      </c>
      <c r="W566">
        <f ca="1"/>
        <v>120000</v>
      </c>
      <c r="X566">
        <f ca="1"/>
        <v>15652.173913043478</v>
      </c>
      <c r="Y566">
        <f ca="1"/>
        <v>104347.82608695653</v>
      </c>
      <c r="Z566" t="str">
        <f ca="1"/>
        <v>Cash</v>
      </c>
      <c r="AA566">
        <f ca="1"/>
        <v>708</v>
      </c>
      <c r="AB566" t="str">
        <f ca="1"/>
        <v>Flat Discount</v>
      </c>
      <c r="AC566">
        <f ca="1"/>
        <v>45773</v>
      </c>
      <c r="AD566" t="str">
        <f ca="1"/>
        <v/>
      </c>
      <c r="AE566" t="str">
        <f ca="1"/>
        <v>Eastern</v>
      </c>
      <c r="AF566" t="str">
        <f ca="1"/>
        <v>Mineral</v>
      </c>
      <c r="AG566" t="str">
        <f ca="1"/>
        <v>MCO</v>
      </c>
      <c r="AH566" t="str">
        <f ca="1"/>
        <v>20W50</v>
      </c>
      <c r="AI566" t="str">
        <f ca="1"/>
        <v>3000</v>
      </c>
      <c r="AJ566">
        <f ca="1"/>
        <v>0</v>
      </c>
      <c r="AK566" t="str">
        <f ca="1"/>
        <v>20x1L</v>
      </c>
      <c r="AL566">
        <f ca="1"/>
        <v>109476</v>
      </c>
      <c r="AM566">
        <f ca="1"/>
        <v>-5128.1739130434726</v>
      </c>
      <c r="AN566" t="str">
        <f ca="1"/>
        <v>O-45770-D-0018</v>
      </c>
      <c r="AO566" t="str">
        <f ca="1"/>
        <v>Delivered</v>
      </c>
    </row>
    <row r="567" spans="1:41" x14ac:dyDescent="0.5">
      <c r="A567" t="str">
        <f ca="1"/>
        <v>Fd-246</v>
      </c>
      <c r="B567" s="1">
        <f ca="1"/>
        <v>45775</v>
      </c>
      <c r="C567" t="str">
        <f ca="1"/>
        <v>D-0025</v>
      </c>
      <c r="D567" t="str">
        <f ca="1"/>
        <v>Rancon Industrial park</v>
      </c>
      <c r="E567" t="str">
        <f ca="1"/>
        <v>Vobanipur</v>
      </c>
      <c r="F567" t="str">
        <f ca="1"/>
        <v/>
      </c>
      <c r="G567" t="str">
        <f ca="1"/>
        <v>Captive Sales</v>
      </c>
      <c r="H567" t="str">
        <f ca="1"/>
        <v>Captive Sales</v>
      </c>
      <c r="I567" t="str">
        <f ca="1"/>
        <v>Rancon Motor Bikes Ltd</v>
      </c>
      <c r="J567" t="str">
        <f ca="1"/>
        <v>Dhaka</v>
      </c>
      <c r="K567" t="str">
        <f ca="1"/>
        <v>LO00043</v>
      </c>
      <c r="L567" t="str">
        <f ca="1"/>
        <v>3000 4T PLUS 10W40</v>
      </c>
      <c r="M567">
        <f ca="1"/>
        <v>30</v>
      </c>
      <c r="N567">
        <f ca="1"/>
        <v>550</v>
      </c>
      <c r="O567">
        <f ca="1"/>
        <v>30</v>
      </c>
      <c r="P567">
        <f ca="1"/>
        <v>0.6</v>
      </c>
      <c r="Q567">
        <f ca="1"/>
        <v>0</v>
      </c>
      <c r="R567">
        <f ca="1"/>
        <v>220</v>
      </c>
      <c r="S567">
        <f ca="1"/>
        <v>30</v>
      </c>
      <c r="T567">
        <f ca="1"/>
        <v>30</v>
      </c>
      <c r="U567">
        <f ca="1"/>
        <v>16500</v>
      </c>
      <c r="V567">
        <f ca="1"/>
        <v>0</v>
      </c>
      <c r="W567">
        <f ca="1"/>
        <v>6600</v>
      </c>
      <c r="X567">
        <f ca="1"/>
        <v>860.86956521739125</v>
      </c>
      <c r="Y567">
        <f ca="1"/>
        <v>5739.130434782609</v>
      </c>
      <c r="Z567" t="str">
        <f ca="1"/>
        <v>Cash</v>
      </c>
      <c r="AA567" t="str">
        <f ca="1"/>
        <v/>
      </c>
      <c r="AB567" t="str">
        <f ca="1"/>
        <v>Custom</v>
      </c>
      <c r="AC567" t="str">
        <f ca="1"/>
        <v/>
      </c>
      <c r="AD567" t="str">
        <f ca="1"/>
        <v/>
      </c>
      <c r="AE567" t="str">
        <f ca="1"/>
        <v>Captive Sales</v>
      </c>
      <c r="AF567" t="str">
        <f ca="1"/>
        <v>Mineral</v>
      </c>
      <c r="AG567" t="str">
        <f ca="1"/>
        <v>MCO</v>
      </c>
      <c r="AH567" t="str">
        <f ca="1"/>
        <v>10W40</v>
      </c>
      <c r="AI567" t="str">
        <f ca="1"/>
        <v>3000</v>
      </c>
      <c r="AJ567">
        <f ca="1"/>
        <v>0</v>
      </c>
      <c r="AK567" t="str">
        <f ca="1"/>
        <v>20x1L</v>
      </c>
      <c r="AL567">
        <f ca="1"/>
        <v>11545.5</v>
      </c>
      <c r="AM567">
        <f ca="1"/>
        <v>-5806.369565217391</v>
      </c>
      <c r="AN567" t="str">
        <f ca="1"/>
        <v>O-45775-D-0025</v>
      </c>
      <c r="AO567" t="str">
        <f ca="1"/>
        <v>DMG-Sold</v>
      </c>
    </row>
    <row r="568" spans="1:41" x14ac:dyDescent="0.5">
      <c r="A568" t="str">
        <f ca="1"/>
        <v>F-247</v>
      </c>
      <c r="B568" s="1">
        <f ca="1"/>
        <v>45775</v>
      </c>
      <c r="C568" t="str">
        <f ca="1"/>
        <v>D-0027</v>
      </c>
      <c r="D568" t="str">
        <f ca="1"/>
        <v xml:space="preserve">DHS Motors Limited </v>
      </c>
      <c r="E568" t="str">
        <f ca="1"/>
        <v>Dhaka</v>
      </c>
      <c r="F568" t="str">
        <f ca="1"/>
        <v/>
      </c>
      <c r="G568" t="str">
        <f ca="1"/>
        <v>Captive Sales</v>
      </c>
      <c r="H568" t="str">
        <f ca="1"/>
        <v>Captive Sales</v>
      </c>
      <c r="I568" t="str">
        <f ca="1"/>
        <v xml:space="preserve">DHS Motors Limited </v>
      </c>
      <c r="J568" t="str">
        <f ca="1"/>
        <v>Dhaka</v>
      </c>
      <c r="K568" t="str">
        <f ca="1"/>
        <v>LO00062</v>
      </c>
      <c r="L568" t="str">
        <f ca="1"/>
        <v>8100 X.Max 0W40</v>
      </c>
      <c r="M568">
        <f ca="1"/>
        <v>50</v>
      </c>
      <c r="N568">
        <f ca="1"/>
        <v>5600</v>
      </c>
      <c r="O568">
        <f ca="1"/>
        <v>200</v>
      </c>
      <c r="P568">
        <f ca="1"/>
        <v>0.4642857142857143</v>
      </c>
      <c r="Q568">
        <f ca="1"/>
        <v>0</v>
      </c>
      <c r="R568">
        <f ca="1"/>
        <v>3000</v>
      </c>
      <c r="S568">
        <f ca="1"/>
        <v>50</v>
      </c>
      <c r="T568">
        <f ca="1"/>
        <v>200</v>
      </c>
      <c r="U568">
        <f ca="1"/>
        <v>280000</v>
      </c>
      <c r="V568">
        <f ca="1"/>
        <v>0</v>
      </c>
      <c r="W568">
        <f ca="1"/>
        <v>150000</v>
      </c>
      <c r="X568">
        <f ca="1"/>
        <v>19565.217391304348</v>
      </c>
      <c r="Y568">
        <f ca="1"/>
        <v>130434.78260869565</v>
      </c>
      <c r="Z568" t="str">
        <f ca="1"/>
        <v>Cash</v>
      </c>
      <c r="AA568">
        <f ca="1"/>
        <v>709</v>
      </c>
      <c r="AB568" t="str">
        <f ca="1"/>
        <v>Custom</v>
      </c>
      <c r="AC568">
        <f ca="1"/>
        <v>45775</v>
      </c>
      <c r="AD568" t="str">
        <f ca="1"/>
        <v/>
      </c>
      <c r="AE568" t="str">
        <f ca="1"/>
        <v>Captive Sales</v>
      </c>
      <c r="AF568" t="str">
        <f ca="1"/>
        <v>Synthetic</v>
      </c>
      <c r="AG568" t="str">
        <f ca="1"/>
        <v>PCMO</v>
      </c>
      <c r="AH568" t="str">
        <f ca="1"/>
        <v>0W40</v>
      </c>
      <c r="AI568" t="str">
        <f ca="1"/>
        <v>8100</v>
      </c>
      <c r="AJ568">
        <f ca="1"/>
        <v>0</v>
      </c>
      <c r="AK568" t="str">
        <f ca="1"/>
        <v>4x4L</v>
      </c>
      <c r="AL568">
        <f ca="1"/>
        <v>146798.5</v>
      </c>
      <c r="AM568">
        <f ca="1"/>
        <v>-16363.717391304352</v>
      </c>
      <c r="AN568" t="str">
        <f ca="1"/>
        <v>O-45775-D-0027</v>
      </c>
      <c r="AO568" t="str">
        <f ca="1"/>
        <v>Delivered</v>
      </c>
    </row>
    <row r="569" spans="1:41" x14ac:dyDescent="0.5">
      <c r="A569" t="str">
        <f ca="1"/>
        <v>F-248</v>
      </c>
      <c r="B569" s="1">
        <f ca="1"/>
        <v>45775</v>
      </c>
      <c r="C569" t="str">
        <f ca="1"/>
        <v>D-0026</v>
      </c>
      <c r="D569" t="str">
        <f ca="1"/>
        <v>Ranks Motor Workshop Limited</v>
      </c>
      <c r="E569" t="str">
        <f ca="1"/>
        <v>Dhaka</v>
      </c>
      <c r="F569" t="str">
        <f ca="1"/>
        <v/>
      </c>
      <c r="G569" t="str">
        <f ca="1"/>
        <v>Captive Sales</v>
      </c>
      <c r="H569" t="str">
        <f ca="1"/>
        <v>Captive Sales</v>
      </c>
      <c r="I569" t="str">
        <f ca="1"/>
        <v>Ranks Motor Workshop Limited</v>
      </c>
      <c r="J569" t="str">
        <f ca="1"/>
        <v>Dhaka</v>
      </c>
      <c r="K569" t="str">
        <f ca="1"/>
        <v>LO00087</v>
      </c>
      <c r="L569" t="str">
        <f ca="1"/>
        <v>4000 Motion Plus 15W40</v>
      </c>
      <c r="M569">
        <f ca="1"/>
        <v>95</v>
      </c>
      <c r="N569">
        <f ca="1"/>
        <v>2700</v>
      </c>
      <c r="O569">
        <f ca="1"/>
        <v>380</v>
      </c>
      <c r="P569">
        <f ca="1"/>
        <v>0.437037037037037</v>
      </c>
      <c r="Q569">
        <f ca="1"/>
        <v>0</v>
      </c>
      <c r="R569">
        <f ca="1"/>
        <v>1520</v>
      </c>
      <c r="S569">
        <f ca="1"/>
        <v>95</v>
      </c>
      <c r="T569">
        <f ca="1"/>
        <v>380</v>
      </c>
      <c r="U569">
        <f ca="1"/>
        <v>256500</v>
      </c>
      <c r="V569">
        <f ca="1"/>
        <v>0</v>
      </c>
      <c r="W569">
        <f ca="1"/>
        <v>144400</v>
      </c>
      <c r="X569">
        <f ca="1"/>
        <v>18834.782608695652</v>
      </c>
      <c r="Y569">
        <f ca="1"/>
        <v>125565.21739130435</v>
      </c>
      <c r="Z569" t="str">
        <f ca="1"/>
        <v>Cash</v>
      </c>
      <c r="AA569">
        <f ca="1"/>
        <v>710</v>
      </c>
      <c r="AB569" t="str">
        <f ca="1"/>
        <v>Custom</v>
      </c>
      <c r="AC569">
        <f ca="1"/>
        <v>45775</v>
      </c>
      <c r="AD569" t="str">
        <f ca="1"/>
        <v/>
      </c>
      <c r="AE569" t="str">
        <f ca="1"/>
        <v>Captive Sales</v>
      </c>
      <c r="AF569" t="str">
        <f ca="1"/>
        <v>Mineral</v>
      </c>
      <c r="AG569" t="str">
        <f ca="1"/>
        <v>PCMO</v>
      </c>
      <c r="AH569" t="str">
        <f ca="1"/>
        <v>15W40</v>
      </c>
      <c r="AI569" t="str">
        <f ca="1"/>
        <v>4000</v>
      </c>
      <c r="AJ569">
        <f ca="1"/>
        <v>0</v>
      </c>
      <c r="AK569" t="str">
        <f ca="1"/>
        <v>4x4L</v>
      </c>
      <c r="AL569">
        <f ca="1"/>
        <v>125663.15</v>
      </c>
      <c r="AM569">
        <f ca="1"/>
        <v>-97.932608695642557</v>
      </c>
      <c r="AN569" t="str">
        <f ca="1"/>
        <v>O-45775-D-0026</v>
      </c>
      <c r="AO569" t="str">
        <f ca="1"/>
        <v>Delivered</v>
      </c>
    </row>
    <row r="570" spans="1:41" x14ac:dyDescent="0.5">
      <c r="A570" t="str">
        <f ca="1"/>
        <v>F-249</v>
      </c>
      <c r="B570" s="1">
        <f ca="1"/>
        <v>45774</v>
      </c>
      <c r="C570" t="str">
        <f ca="1"/>
        <v>D-0014</v>
      </c>
      <c r="D570" t="str">
        <f ca="1"/>
        <v>Bike Fashion</v>
      </c>
      <c r="E570" t="str">
        <f ca="1"/>
        <v>Sadar Moulvibazar</v>
      </c>
      <c r="F570" t="str">
        <f ca="1"/>
        <v>+88001784-667321</v>
      </c>
      <c r="G570" t="str">
        <f ca="1"/>
        <v>Md. Robin Sheikh</v>
      </c>
      <c r="H570" t="str">
        <f ca="1"/>
        <v>Razur Rahman (Bipul)</v>
      </c>
      <c r="I570" t="str">
        <f ca="1"/>
        <v>City Lubricants</v>
      </c>
      <c r="J570" t="str">
        <f ca="1"/>
        <v>Paduar Bazar Bisso Road</v>
      </c>
      <c r="K570" t="str">
        <f ca="1"/>
        <v>LO00041</v>
      </c>
      <c r="L570" t="str">
        <f ca="1"/>
        <v>3000 4T PLUS 10W30</v>
      </c>
      <c r="M570">
        <f ca="1"/>
        <v>20</v>
      </c>
      <c r="N570">
        <f ca="1"/>
        <v>540</v>
      </c>
      <c r="O570">
        <f ca="1"/>
        <v>20</v>
      </c>
      <c r="P570">
        <f ca="1"/>
        <v>9.2592592592593004E-3</v>
      </c>
      <c r="Q570">
        <f ca="1"/>
        <v>0</v>
      </c>
      <c r="R570">
        <f ca="1"/>
        <v>535</v>
      </c>
      <c r="S570">
        <f ca="1"/>
        <v>20</v>
      </c>
      <c r="T570">
        <f ca="1"/>
        <v>20</v>
      </c>
      <c r="U570">
        <f ca="1"/>
        <v>10800</v>
      </c>
      <c r="V570">
        <f ca="1"/>
        <v>0</v>
      </c>
      <c r="W570">
        <f ca="1"/>
        <v>10700</v>
      </c>
      <c r="X570">
        <f ca="1"/>
        <v>1395.6521739130435</v>
      </c>
      <c r="Y570">
        <f ca="1"/>
        <v>9304.347826086956</v>
      </c>
      <c r="Z570" t="str">
        <f ca="1"/>
        <v>Cash</v>
      </c>
      <c r="AA570">
        <f ca="1"/>
        <v>711</v>
      </c>
      <c r="AB570" t="str">
        <f ca="1"/>
        <v>Custom</v>
      </c>
      <c r="AC570">
        <f ca="1"/>
        <v>45775</v>
      </c>
      <c r="AD570" t="str">
        <f ca="1"/>
        <v/>
      </c>
      <c r="AE570" t="str">
        <f ca="1"/>
        <v>Eastern</v>
      </c>
      <c r="AF570" t="str">
        <f ca="1"/>
        <v>Mineral</v>
      </c>
      <c r="AG570" t="str">
        <f ca="1"/>
        <v>MCO</v>
      </c>
      <c r="AH570" t="str">
        <f ca="1"/>
        <v>10W30</v>
      </c>
      <c r="AI570" t="str">
        <f ca="1"/>
        <v>3000</v>
      </c>
      <c r="AJ570">
        <f ca="1"/>
        <v>0</v>
      </c>
      <c r="AK570" t="str">
        <f ca="1"/>
        <v>20x1L</v>
      </c>
      <c r="AL570">
        <f ca="1"/>
        <v>7586.5999999999995</v>
      </c>
      <c r="AM570">
        <f ca="1"/>
        <v>1717.7478260869566</v>
      </c>
      <c r="AN570" t="str">
        <f ca="1"/>
        <v>O-45774-D-0014</v>
      </c>
      <c r="AO570" t="str">
        <f ca="1"/>
        <v>Delivered</v>
      </c>
    </row>
    <row r="571" spans="1:41" x14ac:dyDescent="0.5">
      <c r="A571" t="str">
        <f ca="1"/>
        <v>F-249</v>
      </c>
      <c r="B571" s="1">
        <f ca="1"/>
        <v>45774</v>
      </c>
      <c r="C571" t="str">
        <f ca="1"/>
        <v>D-0014</v>
      </c>
      <c r="D571" t="str">
        <f ca="1"/>
        <v>Bike Fashion</v>
      </c>
      <c r="E571" t="str">
        <f ca="1"/>
        <v>Sadar Moulvibazar</v>
      </c>
      <c r="F571" t="str">
        <f ca="1"/>
        <v>+88001784-667321</v>
      </c>
      <c r="G571" t="str">
        <f ca="1"/>
        <v>Md. Robin Sheikh</v>
      </c>
      <c r="H571" t="str">
        <f ca="1"/>
        <v>Razur Rahman (Bipul)</v>
      </c>
      <c r="I571" t="str">
        <f ca="1"/>
        <v>City Lubricants</v>
      </c>
      <c r="J571" t="str">
        <f ca="1"/>
        <v>Paduar Bazar Bisso Road</v>
      </c>
      <c r="K571" t="str">
        <f ca="1"/>
        <v>LO00119</v>
      </c>
      <c r="L571" t="str">
        <f ca="1"/>
        <v>3000 4T 20W50</v>
      </c>
      <c r="M571">
        <f ca="1"/>
        <v>20</v>
      </c>
      <c r="N571">
        <f ca="1"/>
        <v>495</v>
      </c>
      <c r="O571">
        <f ca="1"/>
        <v>20</v>
      </c>
      <c r="P571">
        <f ca="1"/>
        <v>3.0303030303030276E-2</v>
      </c>
      <c r="Q571">
        <f ca="1"/>
        <v>0</v>
      </c>
      <c r="R571">
        <f ca="1"/>
        <v>480</v>
      </c>
      <c r="S571">
        <f ca="1"/>
        <v>20</v>
      </c>
      <c r="T571">
        <f ca="1"/>
        <v>20</v>
      </c>
      <c r="U571">
        <f ca="1"/>
        <v>9900</v>
      </c>
      <c r="V571">
        <f ca="1"/>
        <v>0</v>
      </c>
      <c r="W571">
        <f ca="1"/>
        <v>9600</v>
      </c>
      <c r="X571">
        <f ca="1"/>
        <v>1252.1739130434783</v>
      </c>
      <c r="Y571">
        <f ca="1"/>
        <v>8347.826086956522</v>
      </c>
      <c r="Z571" t="str">
        <f ca="1"/>
        <v>Cash</v>
      </c>
      <c r="AA571">
        <f ca="1"/>
        <v>711</v>
      </c>
      <c r="AB571" t="str">
        <f ca="1"/>
        <v>Custom</v>
      </c>
      <c r="AC571">
        <f ca="1"/>
        <v>45775</v>
      </c>
      <c r="AD571" t="str">
        <f ca="1"/>
        <v/>
      </c>
      <c r="AE571" t="str">
        <f ca="1"/>
        <v>Eastern</v>
      </c>
      <c r="AF571" t="str">
        <f ca="1"/>
        <v>Mineral</v>
      </c>
      <c r="AG571" t="str">
        <f ca="1"/>
        <v>MCO</v>
      </c>
      <c r="AH571" t="str">
        <f ca="1"/>
        <v>20W50</v>
      </c>
      <c r="AI571" t="str">
        <f ca="1"/>
        <v>3000</v>
      </c>
      <c r="AJ571">
        <f ca="1"/>
        <v>0</v>
      </c>
      <c r="AK571" t="str">
        <f ca="1"/>
        <v>20x1L</v>
      </c>
      <c r="AL571">
        <f ca="1"/>
        <v>7298.4000000000005</v>
      </c>
      <c r="AM571">
        <f ca="1"/>
        <v>1049.4260869565214</v>
      </c>
      <c r="AN571" t="str">
        <f ca="1"/>
        <v>O-45774-D-0014</v>
      </c>
      <c r="AO571" t="str">
        <f ca="1"/>
        <v>Delivered</v>
      </c>
    </row>
    <row r="572" spans="1:41" x14ac:dyDescent="0.5">
      <c r="A572" t="str">
        <f ca="1"/>
        <v>F-250</v>
      </c>
      <c r="B572" s="1">
        <f ca="1"/>
        <v>45774</v>
      </c>
      <c r="C572" t="str">
        <f ca="1"/>
        <v>D-0014</v>
      </c>
      <c r="D572" t="str">
        <f ca="1"/>
        <v>Hazipur Traders</v>
      </c>
      <c r="E572" t="str">
        <f ca="1"/>
        <v>Chowmuhoni</v>
      </c>
      <c r="F572" t="str">
        <f ca="1"/>
        <v>+88001818-147844</v>
      </c>
      <c r="G572" t="str">
        <f ca="1"/>
        <v>Md. Robin Sheikh</v>
      </c>
      <c r="H572" t="str">
        <f ca="1"/>
        <v>Razur Rahman (Bipul)</v>
      </c>
      <c r="I572" t="str">
        <f ca="1"/>
        <v>City Lubricants</v>
      </c>
      <c r="J572" t="str">
        <f ca="1"/>
        <v>Paduar Bazar Bisso Road</v>
      </c>
      <c r="K572" t="str">
        <f ca="1"/>
        <v>LO00043</v>
      </c>
      <c r="L572" t="str">
        <f ca="1"/>
        <v>3000 4T PLUS 10W40</v>
      </c>
      <c r="M572">
        <f ca="1"/>
        <v>40</v>
      </c>
      <c r="N572">
        <f ca="1"/>
        <v>550</v>
      </c>
      <c r="O572">
        <f ca="1"/>
        <v>40</v>
      </c>
      <c r="P572">
        <f ca="1"/>
        <v>3.6363636363636376E-2</v>
      </c>
      <c r="Q572">
        <f ca="1"/>
        <v>0</v>
      </c>
      <c r="R572">
        <f ca="1"/>
        <v>530</v>
      </c>
      <c r="S572">
        <f ca="1"/>
        <v>40</v>
      </c>
      <c r="T572">
        <f ca="1"/>
        <v>40</v>
      </c>
      <c r="U572">
        <f ca="1"/>
        <v>22000</v>
      </c>
      <c r="V572">
        <f ca="1"/>
        <v>0</v>
      </c>
      <c r="W572">
        <f ca="1"/>
        <v>21200</v>
      </c>
      <c r="X572">
        <f ca="1"/>
        <v>2765.217391304348</v>
      </c>
      <c r="Y572">
        <f ca="1"/>
        <v>18434.782608695652</v>
      </c>
      <c r="Z572" t="str">
        <f ca="1"/>
        <v>Cash</v>
      </c>
      <c r="AA572">
        <f ca="1"/>
        <v>712</v>
      </c>
      <c r="AB572" t="str">
        <f ca="1"/>
        <v>Custom</v>
      </c>
      <c r="AC572">
        <f ca="1"/>
        <v>45775</v>
      </c>
      <c r="AD572" t="str">
        <f ca="1"/>
        <v/>
      </c>
      <c r="AE572" t="str">
        <f ca="1"/>
        <v>Eastern</v>
      </c>
      <c r="AF572" t="str">
        <f ca="1"/>
        <v>Mineral</v>
      </c>
      <c r="AG572" t="str">
        <f ca="1"/>
        <v>MCO</v>
      </c>
      <c r="AH572" t="str">
        <f ca="1"/>
        <v>10W40</v>
      </c>
      <c r="AI572" t="str">
        <f ca="1"/>
        <v>3000</v>
      </c>
      <c r="AJ572">
        <f ca="1"/>
        <v>0</v>
      </c>
      <c r="AK572" t="str">
        <f ca="1"/>
        <v>20x1L</v>
      </c>
      <c r="AL572">
        <f ca="1"/>
        <v>15394</v>
      </c>
      <c r="AM572">
        <f ca="1"/>
        <v>3040.782608695652</v>
      </c>
      <c r="AN572" t="str">
        <f ca="1"/>
        <v>O-45774-D-0014</v>
      </c>
      <c r="AO572" t="str">
        <f ca="1"/>
        <v>Delivered</v>
      </c>
    </row>
    <row r="573" spans="1:41" x14ac:dyDescent="0.5">
      <c r="A573" t="str">
        <f ca="1"/>
        <v>F-250</v>
      </c>
      <c r="B573" s="1">
        <f ca="1"/>
        <v>45774</v>
      </c>
      <c r="C573" t="str">
        <f ca="1"/>
        <v>D-0014</v>
      </c>
      <c r="D573" t="str">
        <f ca="1"/>
        <v>Hazipur Traders</v>
      </c>
      <c r="E573" t="str">
        <f ca="1"/>
        <v>Chowmuhoni</v>
      </c>
      <c r="F573" t="str">
        <f ca="1"/>
        <v>+88001818-147844</v>
      </c>
      <c r="G573" t="str">
        <f ca="1"/>
        <v>Md. Robin Sheikh</v>
      </c>
      <c r="H573" t="str">
        <f ca="1"/>
        <v>Razur Rahman (Bipul)</v>
      </c>
      <c r="I573" t="str">
        <f ca="1"/>
        <v>City Lubricants</v>
      </c>
      <c r="J573" t="str">
        <f ca="1"/>
        <v>Paduar Bazar Bisso Road</v>
      </c>
      <c r="K573" t="str">
        <f ca="1"/>
        <v>LO00099</v>
      </c>
      <c r="L573" t="str">
        <f ca="1"/>
        <v>RUN 4T 20W40</v>
      </c>
      <c r="M573">
        <f ca="1"/>
        <v>220</v>
      </c>
      <c r="N573">
        <f ca="1"/>
        <v>565</v>
      </c>
      <c r="O573">
        <f ca="1"/>
        <v>220</v>
      </c>
      <c r="P573">
        <f ca="1"/>
        <v>0.29203539823008851</v>
      </c>
      <c r="Q573">
        <f ca="1"/>
        <v>0</v>
      </c>
      <c r="R573">
        <f ca="1"/>
        <v>400</v>
      </c>
      <c r="S573">
        <f ca="1"/>
        <v>220</v>
      </c>
      <c r="T573">
        <f ca="1"/>
        <v>220</v>
      </c>
      <c r="U573">
        <f ca="1"/>
        <v>124300</v>
      </c>
      <c r="V573">
        <f ca="1"/>
        <v>0</v>
      </c>
      <c r="W573">
        <f ca="1"/>
        <v>88000</v>
      </c>
      <c r="X573">
        <f ca="1"/>
        <v>11478.260869565218</v>
      </c>
      <c r="Y573">
        <f ca="1"/>
        <v>76521.739130434784</v>
      </c>
      <c r="Z573" t="str">
        <f ca="1"/>
        <v>Cash</v>
      </c>
      <c r="AA573">
        <f ca="1"/>
        <v>712</v>
      </c>
      <c r="AB573" t="str">
        <f ca="1"/>
        <v>Custom</v>
      </c>
      <c r="AC573">
        <f ca="1"/>
        <v>45775</v>
      </c>
      <c r="AD573" t="str">
        <f ca="1"/>
        <v/>
      </c>
      <c r="AE573" t="str">
        <f ca="1"/>
        <v>Eastern</v>
      </c>
      <c r="AF573" t="str">
        <f ca="1"/>
        <v>Mineral</v>
      </c>
      <c r="AG573" t="str">
        <f ca="1"/>
        <v>MCO</v>
      </c>
      <c r="AH573" t="str">
        <f ca="1"/>
        <v>20W40</v>
      </c>
      <c r="AI573" t="str">
        <f ca="1"/>
        <v xml:space="preserve">RUN </v>
      </c>
      <c r="AJ573">
        <f ca="1"/>
        <v>0</v>
      </c>
      <c r="AK573" t="str">
        <f ca="1"/>
        <v>20x1L</v>
      </c>
      <c r="AL573">
        <f ca="1"/>
        <v>79105.399999999994</v>
      </c>
      <c r="AM573">
        <f ca="1"/>
        <v>-2583.6608695652103</v>
      </c>
      <c r="AN573" t="str">
        <f ca="1"/>
        <v>O-45774-D-0014</v>
      </c>
      <c r="AO573" t="str">
        <f ca="1"/>
        <v>Delivered</v>
      </c>
    </row>
    <row r="574" spans="1:41" x14ac:dyDescent="0.5">
      <c r="A574" t="str">
        <f ca="1"/>
        <v>F-251</v>
      </c>
      <c r="B574" s="1">
        <f ca="1"/>
        <v>45775</v>
      </c>
      <c r="C574" t="str">
        <f ca="1"/>
        <v>D-0030</v>
      </c>
      <c r="D574" t="str">
        <f ca="1"/>
        <v>Imran Motor</v>
      </c>
      <c r="E574" t="str">
        <f ca="1"/>
        <v>Uttara</v>
      </c>
      <c r="F574" t="str">
        <f ca="1"/>
        <v/>
      </c>
      <c r="G574" t="str">
        <f ca="1"/>
        <v>Sayed Al Amin Apu</v>
      </c>
      <c r="H574" t="str">
        <f ca="1"/>
        <v>Abdul Matin</v>
      </c>
      <c r="I574" t="str">
        <f ca="1"/>
        <v>Mahim Motors</v>
      </c>
      <c r="J574" t="str">
        <f ca="1"/>
        <v>Uttara</v>
      </c>
      <c r="K574" t="str">
        <f ca="1"/>
        <v>LO00075</v>
      </c>
      <c r="L574" t="str">
        <f ca="1"/>
        <v>2000 Multi Power 20W50</v>
      </c>
      <c r="M574">
        <f ca="1"/>
        <v>44</v>
      </c>
      <c r="N574">
        <f ca="1"/>
        <v>2350</v>
      </c>
      <c r="O574">
        <f ca="1"/>
        <v>176</v>
      </c>
      <c r="P574">
        <f ca="1"/>
        <v>0.57446808510638303</v>
      </c>
      <c r="Q574">
        <f ca="1"/>
        <v>0</v>
      </c>
      <c r="R574">
        <f ca="1"/>
        <v>1000</v>
      </c>
      <c r="S574">
        <f ca="1"/>
        <v>44</v>
      </c>
      <c r="T574">
        <f ca="1"/>
        <v>176</v>
      </c>
      <c r="U574">
        <f ca="1"/>
        <v>103400</v>
      </c>
      <c r="V574">
        <f ca="1"/>
        <v>0</v>
      </c>
      <c r="W574">
        <f ca="1"/>
        <v>44000</v>
      </c>
      <c r="X574">
        <f ca="1"/>
        <v>5739.130434782609</v>
      </c>
      <c r="Y574">
        <f ca="1"/>
        <v>38260.869565217392</v>
      </c>
      <c r="Z574" t="str">
        <f ca="1"/>
        <v>Cash</v>
      </c>
      <c r="AA574">
        <f ca="1"/>
        <v>713</v>
      </c>
      <c r="AB574" t="str">
        <f ca="1"/>
        <v>Custom</v>
      </c>
      <c r="AC574">
        <f ca="1"/>
        <v>45775</v>
      </c>
      <c r="AD574" t="str">
        <f ca="1"/>
        <v/>
      </c>
      <c r="AE574" t="str">
        <f ca="1"/>
        <v>Central</v>
      </c>
      <c r="AF574" t="str">
        <f ca="1"/>
        <v>Mineral</v>
      </c>
      <c r="AG574" t="str">
        <f ca="1"/>
        <v>PCMO</v>
      </c>
      <c r="AH574" t="str">
        <f ca="1"/>
        <v>20W50</v>
      </c>
      <c r="AI574" t="str">
        <f ca="1"/>
        <v>2000</v>
      </c>
      <c r="AJ574">
        <f ca="1"/>
        <v>0</v>
      </c>
      <c r="AK574" t="str">
        <f ca="1"/>
        <v>4X4L</v>
      </c>
      <c r="AL574">
        <f ca="1"/>
        <v>48199.8</v>
      </c>
      <c r="AM574">
        <f ca="1"/>
        <v>-9938.930434782611</v>
      </c>
      <c r="AN574" t="str">
        <f ca="1"/>
        <v>O-45775-D-0030</v>
      </c>
      <c r="AO574" t="str">
        <f ca="1"/>
        <v>Delivered</v>
      </c>
    </row>
    <row r="575" spans="1:41" x14ac:dyDescent="0.5">
      <c r="A575" t="str">
        <f ca="1"/>
        <v>F-252</v>
      </c>
      <c r="B575" s="1">
        <f ca="1"/>
        <v>45776</v>
      </c>
      <c r="C575" t="str">
        <f ca="1"/>
        <v>D-0018</v>
      </c>
      <c r="D575" t="str">
        <f ca="1"/>
        <v xml:space="preserve">M R Enterprise </v>
      </c>
      <c r="E575" t="str">
        <f ca="1"/>
        <v xml:space="preserve">Halisohor, Chittagong </v>
      </c>
      <c r="F575" t="str">
        <f ca="1"/>
        <v>0 16 7387 6255</v>
      </c>
      <c r="G575" t="str">
        <f ca="1"/>
        <v>Sultan Anisul Islam</v>
      </c>
      <c r="H575" t="str">
        <f ca="1"/>
        <v>Razur Rahman (Bipul)</v>
      </c>
      <c r="I575" t="str">
        <f ca="1"/>
        <v>KB Lubricants</v>
      </c>
      <c r="J575" t="str">
        <f ca="1"/>
        <v>Kadamtoli</v>
      </c>
      <c r="K575" t="str">
        <f ca="1"/>
        <v>LO00119</v>
      </c>
      <c r="L575" t="str">
        <f ca="1"/>
        <v>3000 4T 20W50</v>
      </c>
      <c r="M575">
        <f ca="1"/>
        <v>40</v>
      </c>
      <c r="N575">
        <f ca="1"/>
        <v>420</v>
      </c>
      <c r="O575">
        <f ca="1"/>
        <v>40</v>
      </c>
      <c r="P575">
        <f ca="1"/>
        <v>0</v>
      </c>
      <c r="Q575">
        <f ca="1"/>
        <v>0</v>
      </c>
      <c r="R575">
        <f ca="1"/>
        <v>420</v>
      </c>
      <c r="S575">
        <f ca="1"/>
        <v>40</v>
      </c>
      <c r="T575">
        <f ca="1"/>
        <v>40</v>
      </c>
      <c r="U575">
        <f ca="1"/>
        <v>16800</v>
      </c>
      <c r="V575">
        <f ca="1"/>
        <v>0</v>
      </c>
      <c r="W575">
        <f ca="1"/>
        <v>16800</v>
      </c>
      <c r="X575">
        <f ca="1"/>
        <v>2191.304347826087</v>
      </c>
      <c r="Y575">
        <f ca="1"/>
        <v>14608.695652173914</v>
      </c>
      <c r="Z575" t="str">
        <f ca="1"/>
        <v>Cash</v>
      </c>
      <c r="AA575">
        <f ca="1"/>
        <v>714</v>
      </c>
      <c r="AB575" t="str">
        <f ca="1"/>
        <v>Flat Discount</v>
      </c>
      <c r="AC575">
        <f ca="1"/>
        <v>45776</v>
      </c>
      <c r="AD575" t="str">
        <f ca="1"/>
        <v/>
      </c>
      <c r="AE575" t="str">
        <f ca="1"/>
        <v>Eastern</v>
      </c>
      <c r="AF575" t="str">
        <f ca="1"/>
        <v>Mineral</v>
      </c>
      <c r="AG575" t="str">
        <f ca="1"/>
        <v>MCO</v>
      </c>
      <c r="AH575" t="str">
        <f ca="1"/>
        <v>20W50</v>
      </c>
      <c r="AI575" t="str">
        <f ca="1"/>
        <v>3000</v>
      </c>
      <c r="AJ575">
        <f ca="1"/>
        <v>0</v>
      </c>
      <c r="AK575" t="str">
        <f ca="1"/>
        <v>20x1L</v>
      </c>
      <c r="AL575">
        <f ca="1"/>
        <v>14596.800000000001</v>
      </c>
      <c r="AM575">
        <f ca="1"/>
        <v>11.895652173912822</v>
      </c>
      <c r="AN575" t="str">
        <f ca="1"/>
        <v>O-45776-D-0018</v>
      </c>
      <c r="AO575" t="str">
        <f ca="1"/>
        <v>Delivered</v>
      </c>
    </row>
    <row r="576" spans="1:41" x14ac:dyDescent="0.5">
      <c r="A576" t="str">
        <f ca="1"/>
        <v>Fs-217</v>
      </c>
      <c r="B576" s="1">
        <f ca="1"/>
        <v>45777</v>
      </c>
      <c r="C576" t="str">
        <f ca="1"/>
        <v>D-0015</v>
      </c>
      <c r="D576" t="str">
        <f ca="1"/>
        <v>MK Trading Corporation</v>
      </c>
      <c r="E576" t="str">
        <f ca="1"/>
        <v xml:space="preserve">Wari </v>
      </c>
      <c r="F576" t="str">
        <f ca="1"/>
        <v/>
      </c>
      <c r="G576" t="str">
        <f ca="1"/>
        <v>Mahamudul Hasan Milon</v>
      </c>
      <c r="H576" t="str">
        <f ca="1"/>
        <v>Abdul Matin</v>
      </c>
      <c r="I576" t="str">
        <f ca="1"/>
        <v>MK Trading Corporation</v>
      </c>
      <c r="J576" t="str">
        <f ca="1"/>
        <v xml:space="preserve">Wari </v>
      </c>
      <c r="K576" t="str">
        <f ca="1"/>
        <v>LO00044</v>
      </c>
      <c r="L576" t="str">
        <f ca="1"/>
        <v>31004T GOLD 20W50</v>
      </c>
      <c r="M576">
        <f ca="1"/>
        <v>240</v>
      </c>
      <c r="N576">
        <f ca="1"/>
        <v>600</v>
      </c>
      <c r="O576">
        <f ca="1"/>
        <v>240</v>
      </c>
      <c r="P576">
        <f ca="1"/>
        <v>8.333333333333337E-2</v>
      </c>
      <c r="Q576">
        <f ca="1"/>
        <v>0</v>
      </c>
      <c r="R576">
        <f ca="1"/>
        <v>550</v>
      </c>
      <c r="S576">
        <f ca="1"/>
        <v>240</v>
      </c>
      <c r="T576">
        <f ca="1"/>
        <v>240</v>
      </c>
      <c r="U576">
        <f ca="1"/>
        <v>144000</v>
      </c>
      <c r="V576">
        <f ca="1"/>
        <v>0</v>
      </c>
      <c r="W576">
        <f ca="1"/>
        <v>132000</v>
      </c>
      <c r="X576">
        <f ca="1"/>
        <v>17217.391304347828</v>
      </c>
      <c r="Y576">
        <f ca="1"/>
        <v>114782.60869565218</v>
      </c>
      <c r="Z576" t="str">
        <f ca="1"/>
        <v>Cash</v>
      </c>
      <c r="AA576" t="str">
        <f ca="1"/>
        <v/>
      </c>
      <c r="AB576" t="str">
        <f ca="1"/>
        <v>Custom</v>
      </c>
      <c r="AC576" t="str">
        <f ca="1"/>
        <v/>
      </c>
      <c r="AD576" t="str">
        <f ca="1"/>
        <v/>
      </c>
      <c r="AE576" t="str">
        <f ca="1"/>
        <v>Central</v>
      </c>
      <c r="AF576" t="str">
        <f ca="1"/>
        <v>Technosynthese</v>
      </c>
      <c r="AG576" t="str">
        <f ca="1"/>
        <v>MCO</v>
      </c>
      <c r="AH576" t="str">
        <f ca="1"/>
        <v>20W50</v>
      </c>
      <c r="AI576" t="str">
        <f ca="1"/>
        <v>3100</v>
      </c>
      <c r="AJ576">
        <f ca="1"/>
        <v>0</v>
      </c>
      <c r="AK576" t="str">
        <f ca="1"/>
        <v>20x1L</v>
      </c>
      <c r="AL576">
        <f ca="1"/>
        <v>112653.59999999999</v>
      </c>
      <c r="AM576">
        <f ca="1"/>
        <v>2129.0086956521845</v>
      </c>
      <c r="AN576" t="str">
        <f ca="1"/>
        <v>O-45777-D-0015</v>
      </c>
      <c r="AO576" t="str">
        <f ca="1"/>
        <v>Pending</v>
      </c>
    </row>
    <row r="577" spans="1:41" x14ac:dyDescent="0.5">
      <c r="A577" t="str">
        <f ca="1"/>
        <v>F-254</v>
      </c>
      <c r="B577" s="1">
        <f ca="1"/>
        <v>45777</v>
      </c>
      <c r="C577" t="str">
        <f ca="1"/>
        <v>D-0025</v>
      </c>
      <c r="D577" t="str">
        <f ca="1"/>
        <v>Rancon Motor Ltd</v>
      </c>
      <c r="E577" t="str">
        <f ca="1"/>
        <v>Dhaka</v>
      </c>
      <c r="F577" t="str">
        <f ca="1"/>
        <v/>
      </c>
      <c r="G577" t="str">
        <f ca="1"/>
        <v>Captive Sales</v>
      </c>
      <c r="H577" t="str">
        <f ca="1"/>
        <v>Captive Sales</v>
      </c>
      <c r="I577" t="str">
        <f ca="1"/>
        <v>Rancon Motor Bikes Ltd</v>
      </c>
      <c r="J577" t="str">
        <f ca="1"/>
        <v>Dhaka</v>
      </c>
      <c r="K577" t="str">
        <f ca="1"/>
        <v>LO00062</v>
      </c>
      <c r="L577" t="str">
        <f ca="1"/>
        <v>8100 X.Max 0W40</v>
      </c>
      <c r="M577">
        <f ca="1"/>
        <v>100</v>
      </c>
      <c r="N577">
        <f ca="1"/>
        <v>5600</v>
      </c>
      <c r="O577">
        <f ca="1"/>
        <v>400</v>
      </c>
      <c r="P577">
        <f ca="1"/>
        <v>0.4642857142857143</v>
      </c>
      <c r="Q577">
        <f ca="1"/>
        <v>0</v>
      </c>
      <c r="R577">
        <f ca="1"/>
        <v>3000</v>
      </c>
      <c r="S577">
        <f ca="1"/>
        <v>100</v>
      </c>
      <c r="T577">
        <f ca="1"/>
        <v>400</v>
      </c>
      <c r="U577">
        <f ca="1"/>
        <v>560000</v>
      </c>
      <c r="V577">
        <f ca="1"/>
        <v>0</v>
      </c>
      <c r="W577">
        <f ca="1"/>
        <v>300000</v>
      </c>
      <c r="X577">
        <f ca="1"/>
        <v>39130.434782608696</v>
      </c>
      <c r="Y577">
        <f ca="1"/>
        <v>260869.5652173913</v>
      </c>
      <c r="Z577" t="str">
        <f ca="1"/>
        <v>Cash</v>
      </c>
      <c r="AA577">
        <f ca="1"/>
        <v>716</v>
      </c>
      <c r="AB577" t="str">
        <f ca="1"/>
        <v>Custom</v>
      </c>
      <c r="AC577" t="str">
        <f ca="1"/>
        <v/>
      </c>
      <c r="AD577" t="str">
        <f ca="1"/>
        <v/>
      </c>
      <c r="AE577" t="str">
        <f ca="1"/>
        <v>Captive Sales</v>
      </c>
      <c r="AF577" t="str">
        <f ca="1"/>
        <v>Synthetic</v>
      </c>
      <c r="AG577" t="str">
        <f ca="1"/>
        <v>PCMO</v>
      </c>
      <c r="AH577" t="str">
        <f ca="1"/>
        <v>0W40</v>
      </c>
      <c r="AI577" t="str">
        <f ca="1"/>
        <v>8100</v>
      </c>
      <c r="AJ577">
        <f ca="1"/>
        <v>0</v>
      </c>
      <c r="AK577" t="str">
        <f ca="1"/>
        <v>4x4L</v>
      </c>
      <c r="AL577">
        <f ca="1"/>
        <v>293597</v>
      </c>
      <c r="AM577">
        <f ca="1"/>
        <v>-32727.434782608703</v>
      </c>
      <c r="AN577" t="str">
        <f ca="1"/>
        <v>O-45777-D-0025</v>
      </c>
      <c r="AO577" t="str">
        <f ca="1"/>
        <v>Delivered</v>
      </c>
    </row>
    <row r="578" spans="1:41" x14ac:dyDescent="0.5">
      <c r="A578" t="str">
        <f ca="1"/>
        <v>F-255</v>
      </c>
      <c r="B578" s="1">
        <f ca="1"/>
        <v>45774</v>
      </c>
      <c r="C578" t="str">
        <f ca="1"/>
        <v>D-0015</v>
      </c>
      <c r="D578" t="str">
        <f ca="1"/>
        <v>MK Trading Corporation</v>
      </c>
      <c r="E578" t="str">
        <f ca="1"/>
        <v>Wari</v>
      </c>
      <c r="F578" t="str">
        <f ca="1"/>
        <v/>
      </c>
      <c r="G578" t="str">
        <f ca="1"/>
        <v>Mahamudul Hasan Milon</v>
      </c>
      <c r="H578" t="str">
        <f ca="1"/>
        <v>Abdul Matin</v>
      </c>
      <c r="I578" t="str">
        <f ca="1"/>
        <v>MK Trading Corporation</v>
      </c>
      <c r="J578" t="str">
        <f ca="1"/>
        <v xml:space="preserve">Wari </v>
      </c>
      <c r="K578" t="str">
        <f ca="1"/>
        <v>LO00041</v>
      </c>
      <c r="L578" t="str">
        <f ca="1"/>
        <v>3000 4T PLUS 10W30</v>
      </c>
      <c r="M578">
        <f ca="1"/>
        <v>600</v>
      </c>
      <c r="N578">
        <f ca="1"/>
        <v>540</v>
      </c>
      <c r="O578">
        <f ca="1"/>
        <v>600</v>
      </c>
      <c r="P578">
        <f ca="1"/>
        <v>4.629629629629628E-2</v>
      </c>
      <c r="Q578">
        <f ca="1"/>
        <v>0</v>
      </c>
      <c r="R578">
        <f ca="1"/>
        <v>515</v>
      </c>
      <c r="S578">
        <f ca="1"/>
        <v>600</v>
      </c>
      <c r="T578">
        <f ca="1"/>
        <v>600</v>
      </c>
      <c r="U578">
        <f ca="1"/>
        <v>324000</v>
      </c>
      <c r="V578">
        <f ca="1"/>
        <v>0</v>
      </c>
      <c r="W578">
        <f ca="1"/>
        <v>309000</v>
      </c>
      <c r="X578">
        <f ca="1"/>
        <v>40304.34782608696</v>
      </c>
      <c r="Y578">
        <f ca="1"/>
        <v>268695.65217391303</v>
      </c>
      <c r="Z578" t="str">
        <f ca="1"/>
        <v>Cash</v>
      </c>
      <c r="AA578">
        <f ca="1"/>
        <v>717</v>
      </c>
      <c r="AB578" t="str">
        <f ca="1"/>
        <v>Custom</v>
      </c>
      <c r="AC578" t="str">
        <f ca="1"/>
        <v/>
      </c>
      <c r="AD578" t="str">
        <f ca="1"/>
        <v>No Transport Allowance</v>
      </c>
      <c r="AE578" t="str">
        <f ca="1"/>
        <v>Central</v>
      </c>
      <c r="AF578" t="str">
        <f ca="1"/>
        <v>Mineral</v>
      </c>
      <c r="AG578" t="str">
        <f ca="1"/>
        <v>MCO</v>
      </c>
      <c r="AH578" t="str">
        <f ca="1"/>
        <v>10W30</v>
      </c>
      <c r="AI578" t="str">
        <f ca="1"/>
        <v>3000</v>
      </c>
      <c r="AJ578">
        <f ca="1"/>
        <v>0</v>
      </c>
      <c r="AK578" t="str">
        <f ca="1"/>
        <v>20x1L</v>
      </c>
      <c r="AL578">
        <f ca="1"/>
        <v>227598</v>
      </c>
      <c r="AM578">
        <f ca="1"/>
        <v>41097.652173913026</v>
      </c>
      <c r="AN578" t="str">
        <f ca="1"/>
        <v>O-45774-D-0015</v>
      </c>
      <c r="AO578" t="str">
        <f ca="1"/>
        <v>Delivered</v>
      </c>
    </row>
    <row r="579" spans="1:41" x14ac:dyDescent="0.5">
      <c r="A579" t="str">
        <f ca="1"/>
        <v>F-255</v>
      </c>
      <c r="B579" s="1">
        <f ca="1"/>
        <v>45774</v>
      </c>
      <c r="C579" t="str">
        <f ca="1"/>
        <v>D-0015</v>
      </c>
      <c r="D579" t="str">
        <f ca="1"/>
        <v>MK Trading Corporation</v>
      </c>
      <c r="E579" t="str">
        <f ca="1"/>
        <v>Wari</v>
      </c>
      <c r="F579" t="str">
        <f ca="1"/>
        <v/>
      </c>
      <c r="G579" t="str">
        <f ca="1"/>
        <v>Mahamudul Hasan Milon</v>
      </c>
      <c r="H579" t="str">
        <f ca="1"/>
        <v>Abdul Matin</v>
      </c>
      <c r="I579" t="str">
        <f ca="1"/>
        <v>MK Trading Corporation</v>
      </c>
      <c r="J579" t="str">
        <f ca="1"/>
        <v xml:space="preserve">Wari </v>
      </c>
      <c r="K579" t="str">
        <f ca="1"/>
        <v>LO00042</v>
      </c>
      <c r="L579" t="str">
        <f ca="1"/>
        <v>3000 4T PLUS 20W40</v>
      </c>
      <c r="M579">
        <f ca="1"/>
        <v>1600</v>
      </c>
      <c r="N579">
        <f ca="1"/>
        <v>535</v>
      </c>
      <c r="O579">
        <f ca="1"/>
        <v>1600</v>
      </c>
      <c r="P579">
        <f ca="1"/>
        <v>3.7383177570093462E-2</v>
      </c>
      <c r="Q579">
        <f ca="1"/>
        <v>0</v>
      </c>
      <c r="R579">
        <f ca="1"/>
        <v>515</v>
      </c>
      <c r="S579">
        <f ca="1"/>
        <v>1600</v>
      </c>
      <c r="T579">
        <f ca="1"/>
        <v>1600</v>
      </c>
      <c r="U579">
        <f ca="1"/>
        <v>856000</v>
      </c>
      <c r="V579">
        <f ca="1"/>
        <v>0</v>
      </c>
      <c r="W579">
        <f ca="1"/>
        <v>824000</v>
      </c>
      <c r="X579">
        <f ca="1"/>
        <v>107478.26086956522</v>
      </c>
      <c r="Y579">
        <f ca="1"/>
        <v>716521.73913043481</v>
      </c>
      <c r="Z579" t="str">
        <f ca="1"/>
        <v>Cash</v>
      </c>
      <c r="AA579">
        <f ca="1"/>
        <v>717</v>
      </c>
      <c r="AB579" t="str">
        <f ca="1"/>
        <v>Custom</v>
      </c>
      <c r="AC579" t="str">
        <f ca="1"/>
        <v/>
      </c>
      <c r="AD579" t="str">
        <f ca="1"/>
        <v>No Transport Allowance</v>
      </c>
      <c r="AE579" t="str">
        <f ca="1"/>
        <v>Central</v>
      </c>
      <c r="AF579" t="str">
        <f ca="1"/>
        <v>Mineral</v>
      </c>
      <c r="AG579" t="str">
        <f ca="1"/>
        <v>MCO</v>
      </c>
      <c r="AH579" t="str">
        <f ca="1"/>
        <v>20W40</v>
      </c>
      <c r="AI579" t="str">
        <f ca="1"/>
        <v>3000</v>
      </c>
      <c r="AJ579">
        <f ca="1"/>
        <v>0</v>
      </c>
      <c r="AK579" t="str">
        <f ca="1"/>
        <v>20x1L</v>
      </c>
      <c r="AL579">
        <f ca="1"/>
        <v>660416</v>
      </c>
      <c r="AM579">
        <f ca="1"/>
        <v>56105.739130434813</v>
      </c>
      <c r="AN579" t="str">
        <f ca="1"/>
        <v>O-45774-D-0015</v>
      </c>
      <c r="AO579" t="str">
        <f ca="1"/>
        <v>Delivered</v>
      </c>
    </row>
    <row r="580" spans="1:41" x14ac:dyDescent="0.5">
      <c r="A580" t="str">
        <f ca="1"/>
        <v>F-255</v>
      </c>
      <c r="B580" s="1">
        <f ca="1"/>
        <v>45774</v>
      </c>
      <c r="C580" t="str">
        <f ca="1"/>
        <v>D-0015</v>
      </c>
      <c r="D580" t="str">
        <f ca="1"/>
        <v>MK Trading Corporation</v>
      </c>
      <c r="E580" t="str">
        <f ca="1"/>
        <v>Wari</v>
      </c>
      <c r="F580" t="str">
        <f ca="1"/>
        <v/>
      </c>
      <c r="G580" t="str">
        <f ca="1"/>
        <v>Mahamudul Hasan Milon</v>
      </c>
      <c r="H580" t="str">
        <f ca="1"/>
        <v>Abdul Matin</v>
      </c>
      <c r="I580" t="str">
        <f ca="1"/>
        <v>MK Trading Corporation</v>
      </c>
      <c r="J580" t="str">
        <f ca="1"/>
        <v xml:space="preserve">Wari </v>
      </c>
      <c r="K580" t="str">
        <f ca="1"/>
        <v>LO00043</v>
      </c>
      <c r="L580" t="str">
        <f ca="1"/>
        <v>3000 4T PLUS 10W40</v>
      </c>
      <c r="M580">
        <f ca="1"/>
        <v>900</v>
      </c>
      <c r="N580">
        <f ca="1"/>
        <v>550</v>
      </c>
      <c r="O580">
        <f ca="1"/>
        <v>900</v>
      </c>
      <c r="P580">
        <f ca="1"/>
        <v>6.3636363636363602E-2</v>
      </c>
      <c r="Q580">
        <f ca="1"/>
        <v>0</v>
      </c>
      <c r="R580">
        <f ca="1"/>
        <v>515</v>
      </c>
      <c r="S580">
        <f ca="1"/>
        <v>900</v>
      </c>
      <c r="T580">
        <f ca="1"/>
        <v>900</v>
      </c>
      <c r="U580">
        <f ca="1"/>
        <v>495000</v>
      </c>
      <c r="V580">
        <f ca="1"/>
        <v>0</v>
      </c>
      <c r="W580">
        <f ca="1"/>
        <v>463500</v>
      </c>
      <c r="X580">
        <f ca="1"/>
        <v>60456.521739130432</v>
      </c>
      <c r="Y580">
        <f ca="1"/>
        <v>403043.47826086957</v>
      </c>
      <c r="Z580" t="str">
        <f ca="1"/>
        <v>Cash</v>
      </c>
      <c r="AA580">
        <f ca="1"/>
        <v>717</v>
      </c>
      <c r="AB580" t="str">
        <f ca="1"/>
        <v>Custom</v>
      </c>
      <c r="AC580" t="str">
        <f ca="1"/>
        <v/>
      </c>
      <c r="AD580" t="str">
        <f ca="1"/>
        <v>No Transport Allowance</v>
      </c>
      <c r="AE580" t="str">
        <f ca="1"/>
        <v>Central</v>
      </c>
      <c r="AF580" t="str">
        <f ca="1"/>
        <v>Mineral</v>
      </c>
      <c r="AG580" t="str">
        <f ca="1"/>
        <v>MCO</v>
      </c>
      <c r="AH580" t="str">
        <f ca="1"/>
        <v>10W40</v>
      </c>
      <c r="AI580" t="str">
        <f ca="1"/>
        <v>3000</v>
      </c>
      <c r="AJ580">
        <f ca="1"/>
        <v>0</v>
      </c>
      <c r="AK580" t="str">
        <f ca="1"/>
        <v>20x1L</v>
      </c>
      <c r="AL580">
        <f ca="1"/>
        <v>346365</v>
      </c>
      <c r="AM580">
        <f ca="1"/>
        <v>56678.478260869568</v>
      </c>
      <c r="AN580" t="str">
        <f ca="1"/>
        <v>O-45774-D-0015</v>
      </c>
      <c r="AO580" t="str">
        <f ca="1"/>
        <v>Delivered</v>
      </c>
    </row>
    <row r="581" spans="1:41" x14ac:dyDescent="0.5">
      <c r="A581" t="str">
        <f ca="1"/>
        <v>F-253</v>
      </c>
      <c r="B581" s="1">
        <f ca="1"/>
        <v>45775</v>
      </c>
      <c r="C581" t="str">
        <f ca="1"/>
        <v>D-0001</v>
      </c>
      <c r="D581" t="str">
        <f ca="1"/>
        <v>M/S Hasan Traders</v>
      </c>
      <c r="E581" t="str">
        <f ca="1"/>
        <v>Rajbari</v>
      </c>
      <c r="F581" t="str">
        <f ca="1"/>
        <v/>
      </c>
      <c r="G581" t="str">
        <f ca="1"/>
        <v>Md.Mahfuzur Rahman</v>
      </c>
      <c r="H581" t="str">
        <f ca="1"/>
        <v>Abdul Matin</v>
      </c>
      <c r="I581" t="str">
        <f ca="1"/>
        <v>M/S Hasan Traders</v>
      </c>
      <c r="J581" t="str">
        <f ca="1"/>
        <v>Pangsha</v>
      </c>
      <c r="K581" t="str">
        <f ca="1"/>
        <v>LO00043</v>
      </c>
      <c r="L581" t="str">
        <f ca="1"/>
        <v>3000 4T PLUS 10W40</v>
      </c>
      <c r="M581">
        <f ca="1"/>
        <v>1280</v>
      </c>
      <c r="N581">
        <f ca="1"/>
        <v>515</v>
      </c>
      <c r="O581">
        <f ca="1"/>
        <v>1280</v>
      </c>
      <c r="P581">
        <f ca="1"/>
        <v>0</v>
      </c>
      <c r="Q581">
        <f ca="1"/>
        <v>0</v>
      </c>
      <c r="R581">
        <f ca="1"/>
        <v>515</v>
      </c>
      <c r="S581">
        <f ca="1"/>
        <v>1280</v>
      </c>
      <c r="T581">
        <f ca="1"/>
        <v>1280</v>
      </c>
      <c r="U581">
        <f ca="1"/>
        <v>659200</v>
      </c>
      <c r="V581">
        <f ca="1"/>
        <v>0</v>
      </c>
      <c r="W581">
        <f ca="1"/>
        <v>659200</v>
      </c>
      <c r="X581">
        <f ca="1"/>
        <v>85982.608695652176</v>
      </c>
      <c r="Y581">
        <f ca="1"/>
        <v>573217.39130434778</v>
      </c>
      <c r="Z581" t="str">
        <f ca="1"/>
        <v>Cash</v>
      </c>
      <c r="AA581">
        <f ca="1"/>
        <v>715</v>
      </c>
      <c r="AB581" t="str">
        <f ca="1"/>
        <v>Flat Discount</v>
      </c>
      <c r="AC581" t="str">
        <f ca="1"/>
        <v/>
      </c>
      <c r="AD581" t="str">
        <f ca="1"/>
        <v/>
      </c>
      <c r="AE581" t="str">
        <f ca="1"/>
        <v>Central</v>
      </c>
      <c r="AF581" t="str">
        <f ca="1"/>
        <v>Mineral</v>
      </c>
      <c r="AG581" t="str">
        <f ca="1"/>
        <v>MCO</v>
      </c>
      <c r="AH581" t="str">
        <f ca="1"/>
        <v>10W40</v>
      </c>
      <c r="AI581" t="str">
        <f ca="1"/>
        <v>3000</v>
      </c>
      <c r="AJ581">
        <f ca="1"/>
        <v>0</v>
      </c>
      <c r="AK581" t="str">
        <f ca="1"/>
        <v>20x1L</v>
      </c>
      <c r="AL581">
        <f ca="1"/>
        <v>492608</v>
      </c>
      <c r="AM581">
        <f ca="1"/>
        <v>80609.391304347781</v>
      </c>
      <c r="AN581" t="str">
        <f ca="1"/>
        <v>O-45775-D-0001</v>
      </c>
      <c r="AO581" t="str">
        <f ca="1"/>
        <v>Delivered</v>
      </c>
    </row>
    <row r="582" spans="1:41" x14ac:dyDescent="0.5">
      <c r="A582" t="str">
        <f ca="1"/>
        <v>F-253</v>
      </c>
      <c r="B582" s="1">
        <f ca="1"/>
        <v>45775</v>
      </c>
      <c r="C582" t="str">
        <f ca="1"/>
        <v>D-0001</v>
      </c>
      <c r="D582" t="str">
        <f ca="1"/>
        <v>M/S Hasan Traders</v>
      </c>
      <c r="E582" t="str">
        <f ca="1"/>
        <v>Rajbari</v>
      </c>
      <c r="F582" t="str">
        <f ca="1"/>
        <v/>
      </c>
      <c r="G582" t="str">
        <f ca="1"/>
        <v>Md.Mahfuzur Rahman</v>
      </c>
      <c r="H582" t="str">
        <f ca="1"/>
        <v>Abdul Matin</v>
      </c>
      <c r="I582" t="str">
        <f ca="1"/>
        <v>M/S Hasan Traders</v>
      </c>
      <c r="J582" t="str">
        <f ca="1"/>
        <v>Pangsha</v>
      </c>
      <c r="K582" t="str">
        <f ca="1"/>
        <v>LO00046</v>
      </c>
      <c r="L582" t="str">
        <f ca="1"/>
        <v>51004T 10W40 ESTER</v>
      </c>
      <c r="M582">
        <f ca="1"/>
        <v>240</v>
      </c>
      <c r="N582">
        <f ca="1"/>
        <v>820</v>
      </c>
      <c r="O582">
        <f ca="1"/>
        <v>240</v>
      </c>
      <c r="P582">
        <f ca="1"/>
        <v>0</v>
      </c>
      <c r="Q582">
        <f ca="1"/>
        <v>0</v>
      </c>
      <c r="R582">
        <f ca="1"/>
        <v>820</v>
      </c>
      <c r="S582">
        <f ca="1"/>
        <v>240</v>
      </c>
      <c r="T582">
        <f ca="1"/>
        <v>240</v>
      </c>
      <c r="U582">
        <f ca="1"/>
        <v>196800</v>
      </c>
      <c r="V582">
        <f ca="1"/>
        <v>0</v>
      </c>
      <c r="W582">
        <f ca="1"/>
        <v>196800</v>
      </c>
      <c r="X582">
        <f ca="1"/>
        <v>25669.565217391304</v>
      </c>
      <c r="Y582">
        <f ca="1"/>
        <v>171130.4347826087</v>
      </c>
      <c r="Z582" t="str">
        <f ca="1"/>
        <v>Cash</v>
      </c>
      <c r="AA582">
        <f ca="1"/>
        <v>715</v>
      </c>
      <c r="AB582" t="str">
        <f ca="1"/>
        <v>Flat Discount</v>
      </c>
      <c r="AC582" t="str">
        <f ca="1"/>
        <v/>
      </c>
      <c r="AD582" t="str">
        <f ca="1"/>
        <v/>
      </c>
      <c r="AE582" t="str">
        <f ca="1"/>
        <v>Central</v>
      </c>
      <c r="AF582" t="str">
        <f ca="1"/>
        <v>Technosynthese</v>
      </c>
      <c r="AG582" t="str">
        <f ca="1"/>
        <v>MCO</v>
      </c>
      <c r="AH582" t="str">
        <f ca="1"/>
        <v>10W40</v>
      </c>
      <c r="AI582" t="str">
        <f ca="1"/>
        <v>5100</v>
      </c>
      <c r="AJ582">
        <f ca="1"/>
        <v>0</v>
      </c>
      <c r="AK582" t="str">
        <f ca="1"/>
        <v>12x1L</v>
      </c>
      <c r="AL582">
        <f ca="1"/>
        <v>145999.20000000001</v>
      </c>
      <c r="AM582">
        <f ca="1"/>
        <v>25131.234782608692</v>
      </c>
      <c r="AN582" t="str">
        <f ca="1"/>
        <v>O-45775-D-0001</v>
      </c>
      <c r="AO582" t="str">
        <f ca="1"/>
        <v>Delivered</v>
      </c>
    </row>
    <row r="583" spans="1:41" x14ac:dyDescent="0.5">
      <c r="A583" t="str">
        <f ca="1"/>
        <v>F-253</v>
      </c>
      <c r="B583" s="1">
        <f ca="1"/>
        <v>45775</v>
      </c>
      <c r="C583" t="str">
        <f ca="1"/>
        <v>D-0001</v>
      </c>
      <c r="D583" t="str">
        <f ca="1"/>
        <v>M/S Hasan Traders</v>
      </c>
      <c r="E583" t="str">
        <f ca="1"/>
        <v>Rajbari</v>
      </c>
      <c r="F583" t="str">
        <f ca="1"/>
        <v/>
      </c>
      <c r="G583" t="str">
        <f ca="1"/>
        <v>Md.Mahfuzur Rahman</v>
      </c>
      <c r="H583" t="str">
        <f ca="1"/>
        <v>Abdul Matin</v>
      </c>
      <c r="I583" t="str">
        <f ca="1"/>
        <v>M/S Hasan Traders</v>
      </c>
      <c r="J583" t="str">
        <f ca="1"/>
        <v>Pangsha</v>
      </c>
      <c r="K583" t="str">
        <f ca="1"/>
        <v>LO00119</v>
      </c>
      <c r="L583" t="str">
        <f ca="1"/>
        <v>3000 4T 20W50</v>
      </c>
      <c r="M583">
        <f ca="1"/>
        <v>400</v>
      </c>
      <c r="N583">
        <f ca="1"/>
        <v>400</v>
      </c>
      <c r="O583">
        <f ca="1"/>
        <v>400</v>
      </c>
      <c r="P583">
        <f ca="1"/>
        <v>0</v>
      </c>
      <c r="Q583">
        <f ca="1"/>
        <v>0</v>
      </c>
      <c r="R583">
        <f ca="1"/>
        <v>400</v>
      </c>
      <c r="S583">
        <f ca="1"/>
        <v>400</v>
      </c>
      <c r="T583">
        <f ca="1"/>
        <v>400</v>
      </c>
      <c r="U583">
        <f ca="1"/>
        <v>160000</v>
      </c>
      <c r="V583">
        <f ca="1"/>
        <v>0</v>
      </c>
      <c r="W583">
        <f ca="1"/>
        <v>160000</v>
      </c>
      <c r="X583">
        <f ca="1"/>
        <v>20869.565217391304</v>
      </c>
      <c r="Y583">
        <f ca="1"/>
        <v>139130.4347826087</v>
      </c>
      <c r="Z583" t="str">
        <f ca="1"/>
        <v>Cash</v>
      </c>
      <c r="AA583">
        <f ca="1"/>
        <v>715</v>
      </c>
      <c r="AB583" t="str">
        <f ca="1"/>
        <v>Flat Discount</v>
      </c>
      <c r="AC583" t="str">
        <f ca="1"/>
        <v/>
      </c>
      <c r="AD583" t="str">
        <f ca="1"/>
        <v/>
      </c>
      <c r="AE583" t="str">
        <f ca="1"/>
        <v>Central</v>
      </c>
      <c r="AF583" t="str">
        <f ca="1"/>
        <v>Mineral</v>
      </c>
      <c r="AG583" t="str">
        <f ca="1"/>
        <v>MCO</v>
      </c>
      <c r="AH583" t="str">
        <f ca="1"/>
        <v>20W50</v>
      </c>
      <c r="AI583" t="str">
        <f ca="1"/>
        <v>3000</v>
      </c>
      <c r="AJ583">
        <f ca="1"/>
        <v>0</v>
      </c>
      <c r="AK583" t="str">
        <f ca="1"/>
        <v>20x1L</v>
      </c>
      <c r="AL583">
        <f ca="1"/>
        <v>145968</v>
      </c>
      <c r="AM583">
        <f ca="1"/>
        <v>-6837.5652173912968</v>
      </c>
      <c r="AN583" t="str">
        <f ca="1"/>
        <v>O-45775-D-0001</v>
      </c>
      <c r="AO583" t="str">
        <f ca="1"/>
        <v>Delivered</v>
      </c>
    </row>
    <row r="584" spans="1:41" x14ac:dyDescent="0.5">
      <c r="A584" t="str">
        <f ca="1"/>
        <v>Fs-218</v>
      </c>
      <c r="B584" s="1">
        <f ca="1"/>
        <v>45774</v>
      </c>
      <c r="C584" t="str">
        <f ca="1"/>
        <v>D-0015</v>
      </c>
      <c r="D584" t="str">
        <f ca="1"/>
        <v>MK Trading Corporation</v>
      </c>
      <c r="E584" t="str">
        <f ca="1"/>
        <v>Wari</v>
      </c>
      <c r="F584" t="str">
        <f ca="1"/>
        <v/>
      </c>
      <c r="G584" t="str">
        <f ca="1"/>
        <v>Mahamudul Hasan Milon</v>
      </c>
      <c r="H584" t="str">
        <f ca="1"/>
        <v>Abdul Matin</v>
      </c>
      <c r="I584" t="str">
        <f ca="1"/>
        <v>MK Trading Corporation</v>
      </c>
      <c r="J584" t="str">
        <f ca="1"/>
        <v xml:space="preserve">Wari </v>
      </c>
      <c r="K584" t="str">
        <f ca="1"/>
        <v>LO00041</v>
      </c>
      <c r="L584" t="str">
        <f ca="1"/>
        <v>3000 4T PLUS 10W30</v>
      </c>
      <c r="M584">
        <f ca="1"/>
        <v>400</v>
      </c>
      <c r="N584">
        <f ca="1"/>
        <v>540</v>
      </c>
      <c r="O584">
        <f ca="1"/>
        <v>400</v>
      </c>
      <c r="P584">
        <f ca="1"/>
        <v>4.629629629629628E-2</v>
      </c>
      <c r="Q584">
        <f ca="1"/>
        <v>0</v>
      </c>
      <c r="R584">
        <f ca="1"/>
        <v>515</v>
      </c>
      <c r="S584">
        <f ca="1"/>
        <v>400</v>
      </c>
      <c r="T584">
        <f ca="1"/>
        <v>400</v>
      </c>
      <c r="U584">
        <f ca="1"/>
        <v>216000</v>
      </c>
      <c r="V584">
        <f ca="1"/>
        <v>0</v>
      </c>
      <c r="W584">
        <f ca="1"/>
        <v>206000</v>
      </c>
      <c r="X584">
        <f ca="1"/>
        <v>26869.565217391304</v>
      </c>
      <c r="Y584">
        <f ca="1"/>
        <v>179130.4347826087</v>
      </c>
      <c r="Z584" t="str">
        <f ca="1"/>
        <v>Cash</v>
      </c>
      <c r="AA584" t="str">
        <f ca="1"/>
        <v/>
      </c>
      <c r="AB584" t="str">
        <f ca="1"/>
        <v>Custom</v>
      </c>
      <c r="AC584" t="str">
        <f ca="1"/>
        <v/>
      </c>
      <c r="AD584" t="str">
        <f ca="1"/>
        <v>No Transport Allowance</v>
      </c>
      <c r="AE584" t="str">
        <f ca="1"/>
        <v>Central</v>
      </c>
      <c r="AF584" t="str">
        <f ca="1"/>
        <v>Mineral</v>
      </c>
      <c r="AG584" t="str">
        <f ca="1"/>
        <v>MCO</v>
      </c>
      <c r="AH584" t="str">
        <f ca="1"/>
        <v>10W30</v>
      </c>
      <c r="AI584" t="str">
        <f ca="1"/>
        <v>3000</v>
      </c>
      <c r="AJ584">
        <f ca="1"/>
        <v>0</v>
      </c>
      <c r="AK584" t="str">
        <f ca="1"/>
        <v>20x1L</v>
      </c>
      <c r="AL584">
        <f ca="1"/>
        <v>151732</v>
      </c>
      <c r="AM584">
        <f ca="1"/>
        <v>27398.434782608703</v>
      </c>
      <c r="AN584" t="str">
        <f ca="1"/>
        <v>O-45774-D-0015</v>
      </c>
      <c r="AO584" t="str">
        <f ca="1"/>
        <v>Pending</v>
      </c>
    </row>
    <row r="585" spans="1:41" x14ac:dyDescent="0.5">
      <c r="A585" t="str">
        <f ca="1"/>
        <v>Fs-218</v>
      </c>
      <c r="B585" s="1">
        <f ca="1"/>
        <v>45774</v>
      </c>
      <c r="C585" t="str">
        <f ca="1"/>
        <v>D-0015</v>
      </c>
      <c r="D585" t="str">
        <f ca="1"/>
        <v>MK Trading Corporation</v>
      </c>
      <c r="E585" t="str">
        <f ca="1"/>
        <v>Wari</v>
      </c>
      <c r="F585" t="str">
        <f ca="1"/>
        <v/>
      </c>
      <c r="G585" t="str">
        <f ca="1"/>
        <v>Mahamudul Hasan Milon</v>
      </c>
      <c r="H585" t="str">
        <f ca="1"/>
        <v>Abdul Matin</v>
      </c>
      <c r="I585" t="str">
        <f ca="1"/>
        <v>MK Trading Corporation</v>
      </c>
      <c r="J585" t="str">
        <f ca="1"/>
        <v xml:space="preserve">Wari </v>
      </c>
      <c r="K585" t="str">
        <f ca="1"/>
        <v>LO00042</v>
      </c>
      <c r="L585" t="str">
        <f ca="1"/>
        <v>3000 4T PLUS 20W40</v>
      </c>
      <c r="M585">
        <f ca="1"/>
        <v>1400</v>
      </c>
      <c r="N585">
        <f ca="1"/>
        <v>535</v>
      </c>
      <c r="O585">
        <f ca="1"/>
        <v>1400</v>
      </c>
      <c r="P585">
        <f ca="1"/>
        <v>3.7383177570093462E-2</v>
      </c>
      <c r="Q585">
        <f ca="1"/>
        <v>0</v>
      </c>
      <c r="R585">
        <f ca="1"/>
        <v>515</v>
      </c>
      <c r="S585">
        <f ca="1"/>
        <v>1400</v>
      </c>
      <c r="T585">
        <f ca="1"/>
        <v>1400</v>
      </c>
      <c r="U585">
        <f ca="1"/>
        <v>749000</v>
      </c>
      <c r="V585">
        <f ca="1"/>
        <v>0</v>
      </c>
      <c r="W585">
        <f ca="1"/>
        <v>721000</v>
      </c>
      <c r="X585">
        <f ca="1"/>
        <v>94043.478260869568</v>
      </c>
      <c r="Y585">
        <f ca="1"/>
        <v>626956.52173913049</v>
      </c>
      <c r="Z585" t="str">
        <f ca="1"/>
        <v>Cash</v>
      </c>
      <c r="AA585" t="str">
        <f ca="1"/>
        <v/>
      </c>
      <c r="AB585" t="str">
        <f ca="1"/>
        <v>Custom</v>
      </c>
      <c r="AC585" t="str">
        <f ca="1"/>
        <v/>
      </c>
      <c r="AD585" t="str">
        <f ca="1"/>
        <v>No Transport Allowance</v>
      </c>
      <c r="AE585" t="str">
        <f ca="1"/>
        <v>Central</v>
      </c>
      <c r="AF585" t="str">
        <f ca="1"/>
        <v>Mineral</v>
      </c>
      <c r="AG585" t="str">
        <f ca="1"/>
        <v>MCO</v>
      </c>
      <c r="AH585" t="str">
        <f ca="1"/>
        <v>20W40</v>
      </c>
      <c r="AI585" t="str">
        <f ca="1"/>
        <v>3000</v>
      </c>
      <c r="AJ585">
        <f ca="1"/>
        <v>0</v>
      </c>
      <c r="AK585" t="str">
        <f ca="1"/>
        <v>20x1L</v>
      </c>
      <c r="AL585">
        <f ca="1"/>
        <v>577864</v>
      </c>
      <c r="AM585">
        <f ca="1"/>
        <v>49092.52173913049</v>
      </c>
      <c r="AN585" t="str">
        <f ca="1"/>
        <v>O-45774-D-0015</v>
      </c>
      <c r="AO585" t="str">
        <f ca="1"/>
        <v>Pending</v>
      </c>
    </row>
    <row r="586" spans="1:41" x14ac:dyDescent="0.5">
      <c r="A586" t="str">
        <f ca="1"/>
        <v>Fs-218</v>
      </c>
      <c r="B586" s="1">
        <f ca="1"/>
        <v>45774</v>
      </c>
      <c r="C586" t="str">
        <f ca="1"/>
        <v>D-0015</v>
      </c>
      <c r="D586" t="str">
        <f ca="1"/>
        <v>MK Trading Corporation</v>
      </c>
      <c r="E586" t="str">
        <f ca="1"/>
        <v>Wari</v>
      </c>
      <c r="F586" t="str">
        <f ca="1"/>
        <v/>
      </c>
      <c r="G586" t="str">
        <f ca="1"/>
        <v>Mahamudul Hasan Milon</v>
      </c>
      <c r="H586" t="str">
        <f ca="1"/>
        <v>Abdul Matin</v>
      </c>
      <c r="I586" t="str">
        <f ca="1"/>
        <v>MK Trading Corporation</v>
      </c>
      <c r="J586" t="str">
        <f ca="1"/>
        <v xml:space="preserve">Wari </v>
      </c>
      <c r="K586" t="str">
        <f ca="1"/>
        <v>LO00043</v>
      </c>
      <c r="L586" t="str">
        <f ca="1"/>
        <v>3000 4T PLUS 10W40</v>
      </c>
      <c r="M586">
        <f ca="1"/>
        <v>2100</v>
      </c>
      <c r="N586">
        <f ca="1"/>
        <v>550</v>
      </c>
      <c r="O586">
        <f ca="1"/>
        <v>2100</v>
      </c>
      <c r="P586">
        <f ca="1"/>
        <v>6.3636363636363602E-2</v>
      </c>
      <c r="Q586">
        <f ca="1"/>
        <v>0</v>
      </c>
      <c r="R586">
        <f ca="1"/>
        <v>515</v>
      </c>
      <c r="S586">
        <f ca="1"/>
        <v>2100</v>
      </c>
      <c r="T586">
        <f ca="1"/>
        <v>2100</v>
      </c>
      <c r="U586">
        <f ca="1"/>
        <v>1155000</v>
      </c>
      <c r="V586">
        <f ca="1"/>
        <v>0</v>
      </c>
      <c r="W586">
        <f ca="1"/>
        <v>1081500</v>
      </c>
      <c r="X586">
        <f ca="1"/>
        <v>141065.21739130435</v>
      </c>
      <c r="Y586">
        <f ca="1"/>
        <v>940434.78260869568</v>
      </c>
      <c r="Z586" t="str">
        <f ca="1"/>
        <v>Cash</v>
      </c>
      <c r="AA586" t="str">
        <f ca="1"/>
        <v/>
      </c>
      <c r="AB586" t="str">
        <f ca="1"/>
        <v>Custom</v>
      </c>
      <c r="AC586" t="str">
        <f ca="1"/>
        <v/>
      </c>
      <c r="AD586" t="str">
        <f ca="1"/>
        <v>No Transport Allowance</v>
      </c>
      <c r="AE586" t="str">
        <f ca="1"/>
        <v>Central</v>
      </c>
      <c r="AF586" t="str">
        <f ca="1"/>
        <v>Mineral</v>
      </c>
      <c r="AG586" t="str">
        <f ca="1"/>
        <v>MCO</v>
      </c>
      <c r="AH586" t="str">
        <f ca="1"/>
        <v>10W40</v>
      </c>
      <c r="AI586" t="str">
        <f ca="1"/>
        <v>3000</v>
      </c>
      <c r="AJ586">
        <f ca="1"/>
        <v>0</v>
      </c>
      <c r="AK586" t="str">
        <f ca="1"/>
        <v>20x1L</v>
      </c>
      <c r="AL586">
        <f ca="1"/>
        <v>808185</v>
      </c>
      <c r="AM586">
        <f ca="1"/>
        <v>132249.78260869568</v>
      </c>
      <c r="AN586" t="str">
        <f ca="1"/>
        <v>O-45774-D-0015</v>
      </c>
      <c r="AO586" t="str">
        <f ca="1"/>
        <v>Pending</v>
      </c>
    </row>
    <row r="587" spans="1:41" x14ac:dyDescent="0.5">
      <c r="A587" t="str">
        <f ca="1"/>
        <v>Fs-219</v>
      </c>
      <c r="B587" s="1">
        <f ca="1"/>
        <v>45775</v>
      </c>
      <c r="C587" t="str">
        <f ca="1"/>
        <v>D-0001</v>
      </c>
      <c r="D587" t="str">
        <f ca="1"/>
        <v xml:space="preserve">M/S Hasan traders </v>
      </c>
      <c r="E587" t="str">
        <f ca="1"/>
        <v>pangsha</v>
      </c>
      <c r="F587">
        <f ca="1"/>
        <v>1711154387</v>
      </c>
      <c r="G587" t="str">
        <f ca="1"/>
        <v>Md.Mahfuzur Rahman</v>
      </c>
      <c r="H587" t="str">
        <f ca="1"/>
        <v>Abdul Matin</v>
      </c>
      <c r="I587" t="str">
        <f ca="1"/>
        <v>M/S Hasan Traders</v>
      </c>
      <c r="J587" t="str">
        <f ca="1"/>
        <v>Pangsha</v>
      </c>
      <c r="K587" t="str">
        <f ca="1"/>
        <v>LO00041</v>
      </c>
      <c r="L587" t="str">
        <f ca="1"/>
        <v>3000 4T PLUS 10W30</v>
      </c>
      <c r="M587">
        <f ca="1"/>
        <v>2000</v>
      </c>
      <c r="N587">
        <f ca="1"/>
        <v>515</v>
      </c>
      <c r="O587">
        <f ca="1"/>
        <v>2000</v>
      </c>
      <c r="P587">
        <f ca="1"/>
        <v>0</v>
      </c>
      <c r="Q587">
        <f ca="1"/>
        <v>0</v>
      </c>
      <c r="R587">
        <f ca="1"/>
        <v>515</v>
      </c>
      <c r="S587">
        <f ca="1"/>
        <v>2000</v>
      </c>
      <c r="T587">
        <f ca="1"/>
        <v>2000</v>
      </c>
      <c r="U587">
        <f ca="1"/>
        <v>1030000</v>
      </c>
      <c r="V587">
        <f ca="1"/>
        <v>0</v>
      </c>
      <c r="W587">
        <f ca="1"/>
        <v>1030000</v>
      </c>
      <c r="X587">
        <f ca="1"/>
        <v>134347.82608695651</v>
      </c>
      <c r="Y587">
        <f ca="1"/>
        <v>895652.17391304346</v>
      </c>
      <c r="Z587" t="str">
        <f ca="1"/>
        <v>Cash</v>
      </c>
      <c r="AA587" t="str">
        <f ca="1"/>
        <v/>
      </c>
      <c r="AB587" t="str">
        <f ca="1"/>
        <v>Flat Discount</v>
      </c>
      <c r="AC587" t="str">
        <f ca="1"/>
        <v/>
      </c>
      <c r="AD587" t="str">
        <f ca="1"/>
        <v/>
      </c>
      <c r="AE587" t="str">
        <f ca="1"/>
        <v>Central</v>
      </c>
      <c r="AF587" t="str">
        <f ca="1"/>
        <v>Mineral</v>
      </c>
      <c r="AG587" t="str">
        <f ca="1"/>
        <v>MCO</v>
      </c>
      <c r="AH587" t="str">
        <f ca="1"/>
        <v>10W30</v>
      </c>
      <c r="AI587" t="str">
        <f ca="1"/>
        <v>3000</v>
      </c>
      <c r="AJ587">
        <f ca="1"/>
        <v>0</v>
      </c>
      <c r="AK587" t="str">
        <f ca="1"/>
        <v>20x1L</v>
      </c>
      <c r="AL587">
        <f ca="1"/>
        <v>758660</v>
      </c>
      <c r="AM587">
        <f ca="1"/>
        <v>136992.17391304346</v>
      </c>
      <c r="AN587" t="str">
        <f ca="1"/>
        <v>O-45775-D-0001</v>
      </c>
      <c r="AO587" t="str">
        <f ca="1"/>
        <v>Pending</v>
      </c>
    </row>
    <row r="588" spans="1:41" x14ac:dyDescent="0.5">
      <c r="A588" t="str">
        <f ca="1"/>
        <v>Fs-219</v>
      </c>
      <c r="B588" s="1">
        <f ca="1"/>
        <v>45775</v>
      </c>
      <c r="C588" t="str">
        <f ca="1"/>
        <v>D-0001</v>
      </c>
      <c r="D588" t="str">
        <f ca="1"/>
        <v xml:space="preserve">M/S Hasan traders </v>
      </c>
      <c r="E588" t="str">
        <f ca="1"/>
        <v>pangsha</v>
      </c>
      <c r="F588">
        <f ca="1"/>
        <v>1711154387</v>
      </c>
      <c r="G588" t="str">
        <f ca="1"/>
        <v>Md.Mahfuzur Rahman</v>
      </c>
      <c r="H588" t="str">
        <f ca="1"/>
        <v>Abdul Matin</v>
      </c>
      <c r="I588" t="str">
        <f ca="1"/>
        <v>M/S Hasan Traders</v>
      </c>
      <c r="J588" t="str">
        <f ca="1"/>
        <v>Pangsha</v>
      </c>
      <c r="K588" t="str">
        <f ca="1"/>
        <v>LO00042</v>
      </c>
      <c r="L588" t="str">
        <f ca="1"/>
        <v>3000 4T PLUS 20W40</v>
      </c>
      <c r="M588">
        <f ca="1"/>
        <v>1500</v>
      </c>
      <c r="N588">
        <f ca="1"/>
        <v>515</v>
      </c>
      <c r="O588">
        <f ca="1"/>
        <v>1500</v>
      </c>
      <c r="P588">
        <f ca="1"/>
        <v>0</v>
      </c>
      <c r="Q588">
        <f ca="1"/>
        <v>0</v>
      </c>
      <c r="R588">
        <f ca="1"/>
        <v>515</v>
      </c>
      <c r="S588">
        <f ca="1"/>
        <v>1500</v>
      </c>
      <c r="T588">
        <f ca="1"/>
        <v>1500</v>
      </c>
      <c r="U588">
        <f ca="1"/>
        <v>772500</v>
      </c>
      <c r="V588">
        <f ca="1"/>
        <v>0</v>
      </c>
      <c r="W588">
        <f ca="1"/>
        <v>772500</v>
      </c>
      <c r="X588">
        <f ca="1"/>
        <v>100760.86956521739</v>
      </c>
      <c r="Y588">
        <f ca="1"/>
        <v>671739.13043478259</v>
      </c>
      <c r="Z588" t="str">
        <f ca="1"/>
        <v>Cash</v>
      </c>
      <c r="AA588" t="str">
        <f ca="1"/>
        <v/>
      </c>
      <c r="AB588" t="str">
        <f ca="1"/>
        <v>Flat Discount</v>
      </c>
      <c r="AC588" t="str">
        <f ca="1"/>
        <v/>
      </c>
      <c r="AD588" t="str">
        <f ca="1"/>
        <v/>
      </c>
      <c r="AE588" t="str">
        <f ca="1"/>
        <v>Central</v>
      </c>
      <c r="AF588" t="str">
        <f ca="1"/>
        <v>Mineral</v>
      </c>
      <c r="AG588" t="str">
        <f ca="1"/>
        <v>MCO</v>
      </c>
      <c r="AH588" t="str">
        <f ca="1"/>
        <v>20W40</v>
      </c>
      <c r="AI588" t="str">
        <f ca="1"/>
        <v>3000</v>
      </c>
      <c r="AJ588">
        <f ca="1"/>
        <v>0</v>
      </c>
      <c r="AK588" t="str">
        <f ca="1"/>
        <v>20x1L</v>
      </c>
      <c r="AL588">
        <f ca="1"/>
        <v>619140</v>
      </c>
      <c r="AM588">
        <f ca="1"/>
        <v>52599.130434782594</v>
      </c>
      <c r="AN588" t="str">
        <f ca="1"/>
        <v>O-45775-D-0001</v>
      </c>
      <c r="AO588" t="str">
        <f ca="1"/>
        <v>Pending</v>
      </c>
    </row>
    <row r="589" spans="1:41" x14ac:dyDescent="0.5">
      <c r="A589" t="str">
        <f ca="1"/>
        <v>Fs-219</v>
      </c>
      <c r="B589" s="1">
        <f ca="1"/>
        <v>45775</v>
      </c>
      <c r="C589" t="str">
        <f ca="1"/>
        <v>D-0001</v>
      </c>
      <c r="D589" t="str">
        <f ca="1"/>
        <v xml:space="preserve">M/S Hasan traders </v>
      </c>
      <c r="E589" t="str">
        <f ca="1"/>
        <v>pangsha</v>
      </c>
      <c r="F589">
        <f ca="1"/>
        <v>1711154387</v>
      </c>
      <c r="G589" t="str">
        <f ca="1"/>
        <v>Md.Mahfuzur Rahman</v>
      </c>
      <c r="H589" t="str">
        <f ca="1"/>
        <v>Abdul Matin</v>
      </c>
      <c r="I589" t="str">
        <f ca="1"/>
        <v>M/S Hasan Traders</v>
      </c>
      <c r="J589" t="str">
        <f ca="1"/>
        <v>Pangsha</v>
      </c>
      <c r="K589" t="str">
        <f ca="1"/>
        <v>LO00043</v>
      </c>
      <c r="L589" t="str">
        <f ca="1"/>
        <v>3000 4T PLUS 10W40</v>
      </c>
      <c r="M589">
        <f ca="1"/>
        <v>1720</v>
      </c>
      <c r="N589">
        <f ca="1"/>
        <v>515</v>
      </c>
      <c r="O589">
        <f ca="1"/>
        <v>1720</v>
      </c>
      <c r="P589">
        <f ca="1"/>
        <v>0</v>
      </c>
      <c r="Q589">
        <f ca="1"/>
        <v>0</v>
      </c>
      <c r="R589">
        <f ca="1"/>
        <v>515</v>
      </c>
      <c r="S589">
        <f ca="1"/>
        <v>1720</v>
      </c>
      <c r="T589">
        <f ca="1"/>
        <v>1720</v>
      </c>
      <c r="U589">
        <f ca="1"/>
        <v>885800</v>
      </c>
      <c r="V589">
        <f ca="1"/>
        <v>0</v>
      </c>
      <c r="W589">
        <f ca="1"/>
        <v>885800</v>
      </c>
      <c r="X589">
        <f ca="1"/>
        <v>115539.13043478261</v>
      </c>
      <c r="Y589">
        <f ca="1"/>
        <v>770260.86956521741</v>
      </c>
      <c r="Z589" t="str">
        <f ca="1"/>
        <v>Cash</v>
      </c>
      <c r="AA589" t="str">
        <f ca="1"/>
        <v/>
      </c>
      <c r="AB589" t="str">
        <f ca="1"/>
        <v>Flat Discount</v>
      </c>
      <c r="AC589" t="str">
        <f ca="1"/>
        <v/>
      </c>
      <c r="AD589" t="str">
        <f ca="1"/>
        <v/>
      </c>
      <c r="AE589" t="str">
        <f ca="1"/>
        <v>Central</v>
      </c>
      <c r="AF589" t="str">
        <f ca="1"/>
        <v>Mineral</v>
      </c>
      <c r="AG589" t="str">
        <f ca="1"/>
        <v>MCO</v>
      </c>
      <c r="AH589" t="str">
        <f ca="1"/>
        <v>10W40</v>
      </c>
      <c r="AI589" t="str">
        <f ca="1"/>
        <v>3000</v>
      </c>
      <c r="AJ589">
        <f ca="1"/>
        <v>0</v>
      </c>
      <c r="AK589" t="str">
        <f ca="1"/>
        <v>20x1L</v>
      </c>
      <c r="AL589">
        <f ca="1"/>
        <v>661942</v>
      </c>
      <c r="AM589">
        <f ca="1"/>
        <v>108318.86956521741</v>
      </c>
      <c r="AN589" t="str">
        <f ca="1"/>
        <v>O-45775-D-0001</v>
      </c>
      <c r="AO589" t="str">
        <f ca="1"/>
        <v>Pending</v>
      </c>
    </row>
    <row r="590" spans="1:41" x14ac:dyDescent="0.5">
      <c r="A590" t="str">
        <f ca="1"/>
        <v>Fs-219</v>
      </c>
      <c r="B590" s="1">
        <f ca="1"/>
        <v>45775</v>
      </c>
      <c r="C590" t="str">
        <f ca="1"/>
        <v>D-0001</v>
      </c>
      <c r="D590" t="str">
        <f ca="1"/>
        <v xml:space="preserve">M/S Hasan traders </v>
      </c>
      <c r="E590" t="str">
        <f ca="1"/>
        <v>pangsha</v>
      </c>
      <c r="F590">
        <f ca="1"/>
        <v>1711154387</v>
      </c>
      <c r="G590" t="str">
        <f ca="1"/>
        <v>Md.Mahfuzur Rahman</v>
      </c>
      <c r="H590" t="str">
        <f ca="1"/>
        <v>Abdul Matin</v>
      </c>
      <c r="I590" t="str">
        <f ca="1"/>
        <v>M/S Hasan Traders</v>
      </c>
      <c r="J590" t="str">
        <f ca="1"/>
        <v>Pangsha</v>
      </c>
      <c r="K590" t="str">
        <f ca="1"/>
        <v>LO00076</v>
      </c>
      <c r="L590" t="str">
        <f ca="1"/>
        <v>Inugel Expert Coolant</v>
      </c>
      <c r="M590">
        <f ca="1"/>
        <v>200</v>
      </c>
      <c r="N590">
        <f ca="1"/>
        <v>400</v>
      </c>
      <c r="O590">
        <f ca="1"/>
        <v>200</v>
      </c>
      <c r="P590">
        <f ca="1"/>
        <v>0</v>
      </c>
      <c r="Q590">
        <f ca="1"/>
        <v>0</v>
      </c>
      <c r="R590">
        <f ca="1"/>
        <v>400</v>
      </c>
      <c r="S590">
        <f ca="1"/>
        <v>200</v>
      </c>
      <c r="T590">
        <f ca="1"/>
        <v>200</v>
      </c>
      <c r="U590">
        <f ca="1"/>
        <v>80000</v>
      </c>
      <c r="V590">
        <f ca="1"/>
        <v>0</v>
      </c>
      <c r="W590">
        <f ca="1"/>
        <v>80000</v>
      </c>
      <c r="X590">
        <f ca="1"/>
        <v>10434.782608695652</v>
      </c>
      <c r="Y590">
        <f ca="1"/>
        <v>69565.217391304352</v>
      </c>
      <c r="Z590" t="str">
        <f ca="1"/>
        <v>Cash</v>
      </c>
      <c r="AA590" t="str">
        <f ca="1"/>
        <v/>
      </c>
      <c r="AB590" t="str">
        <f ca="1"/>
        <v>Flat Discount</v>
      </c>
      <c r="AC590" t="str">
        <f ca="1"/>
        <v/>
      </c>
      <c r="AD590" t="str">
        <f ca="1"/>
        <v/>
      </c>
      <c r="AE590" t="str">
        <f ca="1"/>
        <v>Central</v>
      </c>
      <c r="AF590" t="str">
        <f ca="1"/>
        <v>Care Products</v>
      </c>
      <c r="AG590" t="str">
        <f ca="1"/>
        <v>Care Products</v>
      </c>
      <c r="AH590" t="str">
        <f ca="1"/>
        <v>Care Products</v>
      </c>
      <c r="AI590" t="str">
        <f ca="1"/>
        <v>Coolant</v>
      </c>
      <c r="AJ590">
        <f ca="1"/>
        <v>0</v>
      </c>
      <c r="AK590" t="str">
        <f ca="1"/>
        <v>20x1L</v>
      </c>
      <c r="AL590">
        <f ca="1"/>
        <v>46128</v>
      </c>
      <c r="AM590">
        <f ca="1"/>
        <v>23437.217391304352</v>
      </c>
      <c r="AN590" t="str">
        <f ca="1"/>
        <v>O-45775-D-0001</v>
      </c>
      <c r="AO590" t="str">
        <f ca="1"/>
        <v>Pending</v>
      </c>
    </row>
    <row r="591" spans="1:41" x14ac:dyDescent="0.5">
      <c r="A591" t="str">
        <f ca="1"/>
        <v>Fs-219</v>
      </c>
      <c r="B591" s="1">
        <f ca="1"/>
        <v>45775</v>
      </c>
      <c r="C591" t="str">
        <f ca="1"/>
        <v>D-0001</v>
      </c>
      <c r="D591" t="str">
        <f ca="1"/>
        <v xml:space="preserve">M/S Hasan traders </v>
      </c>
      <c r="E591" t="str">
        <f ca="1"/>
        <v>pangsha</v>
      </c>
      <c r="F591">
        <f ca="1"/>
        <v>1711154387</v>
      </c>
      <c r="G591" t="str">
        <f ca="1"/>
        <v>Md.Mahfuzur Rahman</v>
      </c>
      <c r="H591" t="str">
        <f ca="1"/>
        <v>Abdul Matin</v>
      </c>
      <c r="I591" t="str">
        <f ca="1"/>
        <v>M/S Hasan Traders</v>
      </c>
      <c r="J591" t="str">
        <f ca="1"/>
        <v>Pangsha</v>
      </c>
      <c r="K591" t="str">
        <f ca="1"/>
        <v>LO00119</v>
      </c>
      <c r="L591" t="str">
        <f ca="1"/>
        <v>3000 4T 20W50</v>
      </c>
      <c r="M591">
        <f ca="1"/>
        <v>2100</v>
      </c>
      <c r="N591">
        <f ca="1"/>
        <v>400</v>
      </c>
      <c r="O591">
        <f ca="1"/>
        <v>2100</v>
      </c>
      <c r="P591">
        <f ca="1"/>
        <v>0</v>
      </c>
      <c r="Q591">
        <f ca="1"/>
        <v>0</v>
      </c>
      <c r="R591">
        <f ca="1"/>
        <v>400</v>
      </c>
      <c r="S591">
        <f ca="1"/>
        <v>2100</v>
      </c>
      <c r="T591">
        <f ca="1"/>
        <v>2100</v>
      </c>
      <c r="U591">
        <f ca="1"/>
        <v>840000</v>
      </c>
      <c r="V591">
        <f ca="1"/>
        <v>0</v>
      </c>
      <c r="W591">
        <f ca="1"/>
        <v>840000</v>
      </c>
      <c r="X591">
        <f ca="1"/>
        <v>109565.21739130435</v>
      </c>
      <c r="Y591">
        <f ca="1"/>
        <v>730434.78260869568</v>
      </c>
      <c r="Z591" t="str">
        <f ca="1"/>
        <v>Cash</v>
      </c>
      <c r="AA591" t="str">
        <f ca="1"/>
        <v/>
      </c>
      <c r="AB591" t="str">
        <f ca="1"/>
        <v>Flat Discount</v>
      </c>
      <c r="AC591" t="str">
        <f ca="1"/>
        <v/>
      </c>
      <c r="AD591" t="str">
        <f ca="1"/>
        <v/>
      </c>
      <c r="AE591" t="str">
        <f ca="1"/>
        <v>Central</v>
      </c>
      <c r="AF591" t="str">
        <f ca="1"/>
        <v>Mineral</v>
      </c>
      <c r="AG591" t="str">
        <f ca="1"/>
        <v>MCO</v>
      </c>
      <c r="AH591" t="str">
        <f ca="1"/>
        <v>20W50</v>
      </c>
      <c r="AI591" t="str">
        <f ca="1"/>
        <v>3000</v>
      </c>
      <c r="AJ591">
        <f ca="1"/>
        <v>0</v>
      </c>
      <c r="AK591" t="str">
        <f ca="1"/>
        <v>20x1L</v>
      </c>
      <c r="AL591">
        <f ca="1"/>
        <v>766332</v>
      </c>
      <c r="AM591">
        <f ca="1"/>
        <v>-35897.217391304323</v>
      </c>
      <c r="AN591" t="str">
        <f ca="1"/>
        <v>O-45775-D-0001</v>
      </c>
      <c r="AO591" t="str">
        <f ca="1"/>
        <v>Pending</v>
      </c>
    </row>
    <row r="592" spans="1:41" x14ac:dyDescent="0.5">
      <c r="A592" t="str">
        <f ca="1"/>
        <v>Fd-220</v>
      </c>
      <c r="B592" s="1">
        <f ca="1"/>
        <v>45777</v>
      </c>
      <c r="C592" t="str">
        <f ca="1"/>
        <v>D-0015</v>
      </c>
      <c r="D592" t="str">
        <f ca="1"/>
        <v>MK Trading Corporation</v>
      </c>
      <c r="E592" t="str">
        <f ca="1"/>
        <v xml:space="preserve">Wari </v>
      </c>
      <c r="F592" t="str">
        <f ca="1"/>
        <v/>
      </c>
      <c r="G592" t="str">
        <f ca="1"/>
        <v>Mahamudul Hasan Milon</v>
      </c>
      <c r="H592" t="str">
        <f ca="1"/>
        <v>Abdul Matin</v>
      </c>
      <c r="I592" t="str">
        <f ca="1"/>
        <v>MK Trading Corporation</v>
      </c>
      <c r="J592" t="str">
        <f ca="1"/>
        <v xml:space="preserve">Wari </v>
      </c>
      <c r="K592" t="str">
        <f ca="1"/>
        <v>LO00043</v>
      </c>
      <c r="L592" t="str">
        <f ca="1"/>
        <v>3000 4T PLUS 10W40</v>
      </c>
      <c r="M592">
        <f ca="1"/>
        <v>8055</v>
      </c>
      <c r="N592">
        <f ca="1"/>
        <v>550</v>
      </c>
      <c r="O592">
        <f ca="1"/>
        <v>8055</v>
      </c>
      <c r="P592">
        <f ca="1"/>
        <v>0.63636363636363635</v>
      </c>
      <c r="Q592">
        <f ca="1"/>
        <v>0</v>
      </c>
      <c r="R592">
        <f ca="1"/>
        <v>200</v>
      </c>
      <c r="S592">
        <f ca="1"/>
        <v>8055</v>
      </c>
      <c r="T592">
        <f ca="1"/>
        <v>8055</v>
      </c>
      <c r="U592">
        <f ca="1"/>
        <v>4430250</v>
      </c>
      <c r="V592">
        <f ca="1"/>
        <v>0</v>
      </c>
      <c r="W592">
        <f ca="1"/>
        <v>1611000</v>
      </c>
      <c r="X592">
        <f ca="1"/>
        <v>210130.4347826087</v>
      </c>
      <c r="Y592">
        <f ca="1"/>
        <v>1400869.5652173914</v>
      </c>
      <c r="Z592" t="str">
        <f ca="1"/>
        <v>Cash</v>
      </c>
      <c r="AA592" t="str">
        <f ca="1"/>
        <v/>
      </c>
      <c r="AB592" t="str">
        <f ca="1"/>
        <v>Custom</v>
      </c>
      <c r="AC592" t="str">
        <f ca="1"/>
        <v/>
      </c>
      <c r="AD592" t="str">
        <f ca="1"/>
        <v/>
      </c>
      <c r="AE592" t="str">
        <f ca="1"/>
        <v>Central</v>
      </c>
      <c r="AF592" t="str">
        <f ca="1"/>
        <v>Mineral</v>
      </c>
      <c r="AG592" t="str">
        <f ca="1"/>
        <v>MCO</v>
      </c>
      <c r="AH592" t="str">
        <f ca="1"/>
        <v>10W40</v>
      </c>
      <c r="AI592" t="str">
        <f ca="1"/>
        <v>3000</v>
      </c>
      <c r="AJ592">
        <f ca="1"/>
        <v>0</v>
      </c>
      <c r="AK592" t="str">
        <f ca="1"/>
        <v>20x1L</v>
      </c>
      <c r="AL592">
        <f ca="1"/>
        <v>3099966.75</v>
      </c>
      <c r="AM592">
        <f ca="1"/>
        <v>-1699097.1847826086</v>
      </c>
      <c r="AN592" t="str">
        <f ca="1"/>
        <v>O-45777-D-0015</v>
      </c>
      <c r="AO592" t="str">
        <f ca="1"/>
        <v>DMG-Sold</v>
      </c>
    </row>
  </sheetData>
  <mergeCells count="1">
    <mergeCell ref="A1:A3"/>
  </mergeCells>
  <conditionalFormatting sqref="A5:AO445">
    <cfRule type="notContainsBlanks" dxfId="198" priority="3">
      <formula>LEN(TRIM(A5))&gt;0</formula>
    </cfRule>
  </conditionalFormatting>
  <dataValidations count="1">
    <dataValidation type="list" allowBlank="1" showInputMessage="1" showErrorMessage="1" sqref="F1" xr:uid="{BF147474-361E-40AC-8795-B8150C146A6A}">
      <formula1>$A$4:$AO$4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TextBox1">
          <controlPr defaultSize="0" autoLine="0" autoPict="0" linkedCell="C2" r:id="rId4">
            <anchor moveWithCells="1">
              <from>
                <xdr:col>1</xdr:col>
                <xdr:colOff>374650</xdr:colOff>
                <xdr:row>0</xdr:row>
                <xdr:rowOff>50800</xdr:rowOff>
              </from>
              <to>
                <xdr:col>3</xdr:col>
                <xdr:colOff>1758950</xdr:colOff>
                <xdr:row>2</xdr:row>
                <xdr:rowOff>101600</xdr:rowOff>
              </to>
            </anchor>
          </controlPr>
        </control>
      </mc:Choice>
      <mc:Fallback>
        <control shapeId="15361" r:id="rId3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E729-D1E6-461E-8C70-6BF2FF0F18D6}">
  <sheetPr codeName="Sheet9">
    <tabColor theme="9" tint="-0.249977111117893"/>
    <pageSetUpPr fitToPage="1"/>
  </sheetPr>
  <dimension ref="A1:R224"/>
  <sheetViews>
    <sheetView topLeftCell="B1" workbookViewId="0">
      <selection activeCell="E10" sqref="E10"/>
    </sheetView>
  </sheetViews>
  <sheetFormatPr defaultRowHeight="16.5" x14ac:dyDescent="0.5"/>
  <cols>
    <col min="1" max="1" width="22.6328125" style="30" bestFit="1" customWidth="1"/>
    <col min="2" max="2" width="17.54296875" style="30" bestFit="1" customWidth="1"/>
    <col min="3" max="3" width="12.81640625" bestFit="1" customWidth="1"/>
    <col min="4" max="4" width="17.08984375" bestFit="1" customWidth="1"/>
    <col min="5" max="8" width="19" bestFit="1" customWidth="1"/>
    <col min="9" max="9" width="19" customWidth="1"/>
    <col min="10" max="10" width="19" bestFit="1" customWidth="1"/>
    <col min="11" max="13" width="19" hidden="1" customWidth="1"/>
    <col min="14" max="15" width="19" bestFit="1" customWidth="1"/>
    <col min="16" max="18" width="19" hidden="1" customWidth="1"/>
    <col min="19" max="28" width="19" bestFit="1" customWidth="1"/>
    <col min="29" max="29" width="7.6328125" bestFit="1" customWidth="1"/>
    <col min="30" max="30" width="11.1796875" bestFit="1" customWidth="1"/>
    <col min="31" max="31" width="18.7265625" bestFit="1" customWidth="1"/>
    <col min="32" max="32" width="7.6328125" bestFit="1" customWidth="1"/>
    <col min="33" max="33" width="11.1796875" bestFit="1" customWidth="1"/>
    <col min="34" max="34" width="18.7265625" bestFit="1" customWidth="1"/>
    <col min="35" max="35" width="7.26953125" bestFit="1" customWidth="1"/>
    <col min="36" max="36" width="10.1796875" bestFit="1" customWidth="1"/>
    <col min="37" max="37" width="18.7265625" bestFit="1" customWidth="1"/>
    <col min="38" max="38" width="12" bestFit="1" customWidth="1"/>
    <col min="39" max="39" width="12.7265625" bestFit="1" customWidth="1"/>
    <col min="40" max="40" width="23.54296875" bestFit="1" customWidth="1"/>
    <col min="41" max="41" width="18.7265625" bestFit="1" customWidth="1"/>
    <col min="42" max="42" width="7.6328125" bestFit="1" customWidth="1"/>
    <col min="43" max="43" width="20.36328125" bestFit="1" customWidth="1"/>
    <col min="44" max="44" width="15.6328125" bestFit="1" customWidth="1"/>
    <col min="45" max="45" width="18.7265625" bestFit="1" customWidth="1"/>
    <col min="46" max="46" width="7.26953125" bestFit="1" customWidth="1"/>
    <col min="47" max="47" width="20.36328125" bestFit="1" customWidth="1"/>
    <col min="48" max="48" width="15.6328125" bestFit="1" customWidth="1"/>
    <col min="49" max="49" width="18.7265625" bestFit="1" customWidth="1"/>
    <col min="50" max="50" width="12" bestFit="1" customWidth="1"/>
    <col min="51" max="51" width="25.26953125" bestFit="1" customWidth="1"/>
    <col min="52" max="52" width="20.453125" bestFit="1" customWidth="1"/>
    <col min="53" max="53" width="23.54296875" bestFit="1" customWidth="1"/>
    <col min="54" max="54" width="18.453125" bestFit="1" customWidth="1"/>
    <col min="55" max="55" width="20.36328125" bestFit="1" customWidth="1"/>
    <col min="56" max="56" width="15.6328125" bestFit="1" customWidth="1"/>
    <col min="57" max="57" width="18.7265625" bestFit="1" customWidth="1"/>
    <col min="58" max="58" width="18.453125" bestFit="1" customWidth="1"/>
    <col min="59" max="59" width="20.36328125" bestFit="1" customWidth="1"/>
    <col min="60" max="60" width="15.6328125" bestFit="1" customWidth="1"/>
    <col min="61" max="61" width="18.7265625" bestFit="1" customWidth="1"/>
    <col min="62" max="62" width="21.7265625" bestFit="1" customWidth="1"/>
    <col min="63" max="63" width="23.6328125" bestFit="1" customWidth="1"/>
    <col min="64" max="64" width="18.90625" bestFit="1" customWidth="1"/>
    <col min="65" max="65" width="22" bestFit="1" customWidth="1"/>
    <col min="66" max="66" width="18.453125" bestFit="1" customWidth="1"/>
    <col min="67" max="67" width="20.36328125" bestFit="1" customWidth="1"/>
    <col min="68" max="68" width="15.6328125" bestFit="1" customWidth="1"/>
    <col min="69" max="69" width="18.7265625" bestFit="1" customWidth="1"/>
    <col min="70" max="70" width="18.453125" bestFit="1" customWidth="1"/>
    <col min="71" max="71" width="20.36328125" bestFit="1" customWidth="1"/>
    <col min="72" max="72" width="15.6328125" bestFit="1" customWidth="1"/>
    <col min="73" max="73" width="18.7265625" bestFit="1" customWidth="1"/>
    <col min="74" max="74" width="18.453125" bestFit="1" customWidth="1"/>
    <col min="75" max="75" width="20.36328125" bestFit="1" customWidth="1"/>
    <col min="76" max="76" width="15.6328125" bestFit="1" customWidth="1"/>
    <col min="77" max="77" width="18.7265625" bestFit="1" customWidth="1"/>
    <col min="78" max="78" width="18.453125" bestFit="1" customWidth="1"/>
    <col min="79" max="79" width="20.36328125" bestFit="1" customWidth="1"/>
    <col min="80" max="80" width="15.6328125" bestFit="1" customWidth="1"/>
    <col min="81" max="81" width="18.7265625" bestFit="1" customWidth="1"/>
    <col min="82" max="82" width="18.453125" bestFit="1" customWidth="1"/>
    <col min="83" max="83" width="20.36328125" bestFit="1" customWidth="1"/>
    <col min="84" max="84" width="15.6328125" bestFit="1" customWidth="1"/>
    <col min="85" max="85" width="18.7265625" bestFit="1" customWidth="1"/>
    <col min="86" max="86" width="18.453125" bestFit="1" customWidth="1"/>
    <col min="87" max="87" width="20.36328125" bestFit="1" customWidth="1"/>
    <col min="88" max="88" width="15.6328125" bestFit="1" customWidth="1"/>
    <col min="89" max="89" width="18.7265625" bestFit="1" customWidth="1"/>
    <col min="90" max="90" width="18.453125" bestFit="1" customWidth="1"/>
    <col min="91" max="91" width="20.36328125" bestFit="1" customWidth="1"/>
    <col min="92" max="92" width="15.6328125" bestFit="1" customWidth="1"/>
    <col min="93" max="93" width="18.7265625" bestFit="1" customWidth="1"/>
    <col min="94" max="94" width="18.453125" bestFit="1" customWidth="1"/>
    <col min="95" max="95" width="20.36328125" bestFit="1" customWidth="1"/>
    <col min="96" max="96" width="15.6328125" bestFit="1" customWidth="1"/>
    <col min="97" max="97" width="18.7265625" bestFit="1" customWidth="1"/>
    <col min="98" max="98" width="18.453125" bestFit="1" customWidth="1"/>
    <col min="99" max="99" width="20.36328125" bestFit="1" customWidth="1"/>
    <col min="100" max="100" width="15.6328125" bestFit="1" customWidth="1"/>
    <col min="101" max="101" width="18.7265625" bestFit="1" customWidth="1"/>
    <col min="102" max="102" width="18.453125" bestFit="1" customWidth="1"/>
    <col min="103" max="103" width="20.36328125" bestFit="1" customWidth="1"/>
    <col min="104" max="104" width="15.6328125" bestFit="1" customWidth="1"/>
    <col min="105" max="105" width="18.7265625" bestFit="1" customWidth="1"/>
    <col min="106" max="106" width="18.453125" bestFit="1" customWidth="1"/>
    <col min="107" max="107" width="20.36328125" bestFit="1" customWidth="1"/>
    <col min="108" max="108" width="15.6328125" bestFit="1" customWidth="1"/>
    <col min="109" max="109" width="18.7265625" bestFit="1" customWidth="1"/>
    <col min="110" max="110" width="18.453125" bestFit="1" customWidth="1"/>
    <col min="111" max="111" width="20.36328125" bestFit="1" customWidth="1"/>
    <col min="112" max="112" width="15.6328125" bestFit="1" customWidth="1"/>
    <col min="113" max="113" width="18.7265625" bestFit="1" customWidth="1"/>
    <col min="114" max="114" width="18.453125" bestFit="1" customWidth="1"/>
    <col min="115" max="115" width="20.36328125" bestFit="1" customWidth="1"/>
    <col min="116" max="116" width="15.6328125" bestFit="1" customWidth="1"/>
    <col min="117" max="117" width="18.7265625" bestFit="1" customWidth="1"/>
    <col min="118" max="118" width="18.453125" bestFit="1" customWidth="1"/>
    <col min="119" max="119" width="20.36328125" bestFit="1" customWidth="1"/>
    <col min="120" max="120" width="15.6328125" bestFit="1" customWidth="1"/>
    <col min="121" max="121" width="18.7265625" bestFit="1" customWidth="1"/>
    <col min="122" max="122" width="18.453125" bestFit="1" customWidth="1"/>
    <col min="123" max="123" width="20.36328125" bestFit="1" customWidth="1"/>
    <col min="124" max="124" width="15.6328125" bestFit="1" customWidth="1"/>
    <col min="125" max="125" width="18.7265625" bestFit="1" customWidth="1"/>
    <col min="126" max="126" width="18.453125" bestFit="1" customWidth="1"/>
    <col min="127" max="127" width="20.36328125" bestFit="1" customWidth="1"/>
    <col min="128" max="128" width="15.6328125" bestFit="1" customWidth="1"/>
    <col min="129" max="129" width="18.7265625" bestFit="1" customWidth="1"/>
    <col min="130" max="130" width="22" bestFit="1" customWidth="1"/>
    <col min="131" max="131" width="23.90625" bestFit="1" customWidth="1"/>
    <col min="132" max="132" width="19.1796875" bestFit="1" customWidth="1"/>
    <col min="133" max="133" width="22.26953125" bestFit="1" customWidth="1"/>
    <col min="134" max="134" width="18.453125" bestFit="1" customWidth="1"/>
    <col min="135" max="135" width="20.36328125" bestFit="1" customWidth="1"/>
    <col min="136" max="136" width="15.6328125" bestFit="1" customWidth="1"/>
    <col min="137" max="137" width="18.7265625" bestFit="1" customWidth="1"/>
    <col min="138" max="138" width="18.453125" bestFit="1" customWidth="1"/>
    <col min="139" max="139" width="20.36328125" bestFit="1" customWidth="1"/>
    <col min="140" max="140" width="15.6328125" bestFit="1" customWidth="1"/>
    <col min="141" max="141" width="18.7265625" bestFit="1" customWidth="1"/>
    <col min="142" max="142" width="18.453125" bestFit="1" customWidth="1"/>
    <col min="143" max="143" width="20.36328125" bestFit="1" customWidth="1"/>
    <col min="144" max="144" width="15.6328125" bestFit="1" customWidth="1"/>
    <col min="145" max="145" width="18.7265625" bestFit="1" customWidth="1"/>
    <col min="146" max="146" width="18.453125" bestFit="1" customWidth="1"/>
    <col min="147" max="147" width="20.36328125" bestFit="1" customWidth="1"/>
    <col min="148" max="148" width="15.6328125" bestFit="1" customWidth="1"/>
    <col min="149" max="149" width="18.7265625" bestFit="1" customWidth="1"/>
    <col min="150" max="150" width="18.453125" bestFit="1" customWidth="1"/>
    <col min="151" max="151" width="20.36328125" bestFit="1" customWidth="1"/>
    <col min="152" max="152" width="15.6328125" bestFit="1" customWidth="1"/>
    <col min="153" max="153" width="18.7265625" bestFit="1" customWidth="1"/>
    <col min="154" max="154" width="18.453125" bestFit="1" customWidth="1"/>
    <col min="155" max="155" width="20.36328125" bestFit="1" customWidth="1"/>
    <col min="156" max="156" width="15.6328125" bestFit="1" customWidth="1"/>
    <col min="157" max="157" width="18.7265625" bestFit="1" customWidth="1"/>
    <col min="158" max="158" width="18.453125" bestFit="1" customWidth="1"/>
    <col min="159" max="159" width="20.36328125" bestFit="1" customWidth="1"/>
    <col min="160" max="160" width="15.6328125" bestFit="1" customWidth="1"/>
    <col min="161" max="161" width="18.7265625" bestFit="1" customWidth="1"/>
    <col min="162" max="162" width="18.453125" bestFit="1" customWidth="1"/>
    <col min="163" max="163" width="20.36328125" bestFit="1" customWidth="1"/>
    <col min="164" max="164" width="15.6328125" bestFit="1" customWidth="1"/>
    <col min="165" max="165" width="18.7265625" bestFit="1" customWidth="1"/>
    <col min="166" max="166" width="18.453125" bestFit="1" customWidth="1"/>
    <col min="167" max="167" width="20.36328125" bestFit="1" customWidth="1"/>
    <col min="168" max="168" width="15.6328125" bestFit="1" customWidth="1"/>
    <col min="169" max="169" width="18.7265625" bestFit="1" customWidth="1"/>
    <col min="170" max="170" width="18.453125" bestFit="1" customWidth="1"/>
    <col min="171" max="171" width="20.36328125" bestFit="1" customWidth="1"/>
    <col min="172" max="172" width="15.6328125" bestFit="1" customWidth="1"/>
    <col min="173" max="173" width="18.7265625" bestFit="1" customWidth="1"/>
    <col min="174" max="174" width="18.453125" bestFit="1" customWidth="1"/>
    <col min="175" max="175" width="20.36328125" bestFit="1" customWidth="1"/>
    <col min="176" max="176" width="15.6328125" bestFit="1" customWidth="1"/>
    <col min="177" max="177" width="18.7265625" bestFit="1" customWidth="1"/>
    <col min="178" max="178" width="18.453125" bestFit="1" customWidth="1"/>
    <col min="179" max="179" width="20.36328125" bestFit="1" customWidth="1"/>
    <col min="180" max="180" width="15.6328125" bestFit="1" customWidth="1"/>
    <col min="181" max="181" width="18.7265625" bestFit="1" customWidth="1"/>
    <col min="182" max="182" width="18.453125" bestFit="1" customWidth="1"/>
    <col min="183" max="183" width="20.36328125" bestFit="1" customWidth="1"/>
    <col min="184" max="184" width="15.6328125" bestFit="1" customWidth="1"/>
    <col min="185" max="185" width="18.7265625" bestFit="1" customWidth="1"/>
    <col min="186" max="186" width="18.453125" bestFit="1" customWidth="1"/>
    <col min="187" max="187" width="20.36328125" bestFit="1" customWidth="1"/>
    <col min="188" max="188" width="15.6328125" bestFit="1" customWidth="1"/>
    <col min="189" max="189" width="18.7265625" bestFit="1" customWidth="1"/>
    <col min="190" max="190" width="18.453125" bestFit="1" customWidth="1"/>
    <col min="191" max="191" width="20.36328125" bestFit="1" customWidth="1"/>
    <col min="192" max="192" width="15.6328125" bestFit="1" customWidth="1"/>
    <col min="193" max="193" width="18.7265625" bestFit="1" customWidth="1"/>
    <col min="194" max="194" width="18.453125" bestFit="1" customWidth="1"/>
    <col min="195" max="195" width="20.36328125" bestFit="1" customWidth="1"/>
    <col min="196" max="196" width="15.6328125" bestFit="1" customWidth="1"/>
    <col min="197" max="197" width="18.7265625" bestFit="1" customWidth="1"/>
    <col min="198" max="198" width="18.453125" bestFit="1" customWidth="1"/>
    <col min="199" max="199" width="20.36328125" bestFit="1" customWidth="1"/>
    <col min="200" max="200" width="15.6328125" bestFit="1" customWidth="1"/>
    <col min="201" max="201" width="18.7265625" bestFit="1" customWidth="1"/>
    <col min="202" max="202" width="18.453125" bestFit="1" customWidth="1"/>
    <col min="203" max="203" width="20.36328125" bestFit="1" customWidth="1"/>
    <col min="204" max="204" width="15.6328125" bestFit="1" customWidth="1"/>
    <col min="205" max="205" width="18.7265625" bestFit="1" customWidth="1"/>
    <col min="206" max="206" width="18.453125" bestFit="1" customWidth="1"/>
    <col min="207" max="207" width="20.36328125" bestFit="1" customWidth="1"/>
    <col min="208" max="208" width="15.6328125" bestFit="1" customWidth="1"/>
    <col min="209" max="209" width="18.7265625" bestFit="1" customWidth="1"/>
    <col min="210" max="210" width="22.453125" bestFit="1" customWidth="1"/>
    <col min="211" max="211" width="24.36328125" bestFit="1" customWidth="1"/>
    <col min="212" max="212" width="19.6328125" bestFit="1" customWidth="1"/>
    <col min="213" max="213" width="22.7265625" bestFit="1" customWidth="1"/>
    <col min="214" max="214" width="18.453125" bestFit="1" customWidth="1"/>
    <col min="215" max="215" width="20.36328125" bestFit="1" customWidth="1"/>
    <col min="216" max="216" width="15.6328125" bestFit="1" customWidth="1"/>
    <col min="217" max="217" width="18.7265625" bestFit="1" customWidth="1"/>
    <col min="218" max="218" width="18.453125" bestFit="1" customWidth="1"/>
    <col min="219" max="219" width="20.36328125" bestFit="1" customWidth="1"/>
    <col min="220" max="220" width="15.6328125" bestFit="1" customWidth="1"/>
    <col min="221" max="221" width="18.7265625" bestFit="1" customWidth="1"/>
    <col min="222" max="222" width="18.453125" bestFit="1" customWidth="1"/>
    <col min="223" max="223" width="20.36328125" bestFit="1" customWidth="1"/>
    <col min="224" max="224" width="15.6328125" bestFit="1" customWidth="1"/>
    <col min="225" max="225" width="18.7265625" bestFit="1" customWidth="1"/>
    <col min="226" max="226" width="18.453125" bestFit="1" customWidth="1"/>
    <col min="227" max="227" width="20.36328125" bestFit="1" customWidth="1"/>
    <col min="228" max="228" width="15.6328125" bestFit="1" customWidth="1"/>
    <col min="229" max="229" width="18.7265625" bestFit="1" customWidth="1"/>
    <col min="230" max="230" width="18.453125" bestFit="1" customWidth="1"/>
    <col min="231" max="231" width="20.36328125" bestFit="1" customWidth="1"/>
    <col min="232" max="232" width="15.6328125" bestFit="1" customWidth="1"/>
    <col min="233" max="233" width="18.7265625" bestFit="1" customWidth="1"/>
    <col min="234" max="234" width="18.453125" bestFit="1" customWidth="1"/>
    <col min="235" max="235" width="20.36328125" bestFit="1" customWidth="1"/>
    <col min="236" max="236" width="15.6328125" bestFit="1" customWidth="1"/>
    <col min="237" max="237" width="18.7265625" bestFit="1" customWidth="1"/>
    <col min="238" max="238" width="18.453125" bestFit="1" customWidth="1"/>
    <col min="239" max="239" width="20.36328125" bestFit="1" customWidth="1"/>
    <col min="240" max="240" width="15.6328125" bestFit="1" customWidth="1"/>
    <col min="241" max="241" width="18.7265625" bestFit="1" customWidth="1"/>
    <col min="242" max="242" width="18.453125" bestFit="1" customWidth="1"/>
    <col min="243" max="243" width="20.36328125" bestFit="1" customWidth="1"/>
    <col min="244" max="244" width="15.6328125" bestFit="1" customWidth="1"/>
    <col min="245" max="245" width="18.7265625" bestFit="1" customWidth="1"/>
    <col min="246" max="246" width="18.453125" bestFit="1" customWidth="1"/>
    <col min="247" max="247" width="20.36328125" bestFit="1" customWidth="1"/>
    <col min="248" max="248" width="15.6328125" bestFit="1" customWidth="1"/>
    <col min="249" max="249" width="18.7265625" bestFit="1" customWidth="1"/>
    <col min="250" max="250" width="18.453125" bestFit="1" customWidth="1"/>
    <col min="251" max="251" width="20.36328125" bestFit="1" customWidth="1"/>
    <col min="252" max="252" width="15.6328125" bestFit="1" customWidth="1"/>
    <col min="253" max="253" width="18.7265625" bestFit="1" customWidth="1"/>
    <col min="254" max="254" width="18.453125" bestFit="1" customWidth="1"/>
    <col min="255" max="255" width="20.36328125" bestFit="1" customWidth="1"/>
    <col min="256" max="256" width="15.6328125" bestFit="1" customWidth="1"/>
    <col min="257" max="257" width="18.7265625" bestFit="1" customWidth="1"/>
    <col min="258" max="258" width="18.453125" bestFit="1" customWidth="1"/>
    <col min="259" max="259" width="20.36328125" bestFit="1" customWidth="1"/>
    <col min="260" max="260" width="15.6328125" bestFit="1" customWidth="1"/>
    <col min="261" max="261" width="18.7265625" bestFit="1" customWidth="1"/>
    <col min="262" max="262" width="18.453125" bestFit="1" customWidth="1"/>
    <col min="263" max="263" width="20.36328125" bestFit="1" customWidth="1"/>
    <col min="264" max="264" width="15.6328125" bestFit="1" customWidth="1"/>
    <col min="265" max="265" width="18.7265625" bestFit="1" customWidth="1"/>
    <col min="266" max="266" width="18.453125" bestFit="1" customWidth="1"/>
    <col min="267" max="267" width="20.36328125" bestFit="1" customWidth="1"/>
    <col min="268" max="268" width="15.6328125" bestFit="1" customWidth="1"/>
    <col min="269" max="269" width="18.7265625" bestFit="1" customWidth="1"/>
    <col min="270" max="270" width="18.453125" bestFit="1" customWidth="1"/>
    <col min="271" max="271" width="20.36328125" bestFit="1" customWidth="1"/>
    <col min="272" max="272" width="15.6328125" bestFit="1" customWidth="1"/>
    <col min="273" max="273" width="18.7265625" bestFit="1" customWidth="1"/>
    <col min="274" max="274" width="18.453125" bestFit="1" customWidth="1"/>
    <col min="275" max="275" width="20.36328125" bestFit="1" customWidth="1"/>
    <col min="276" max="276" width="15.6328125" bestFit="1" customWidth="1"/>
    <col min="277" max="277" width="18.7265625" bestFit="1" customWidth="1"/>
    <col min="278" max="278" width="18.453125" bestFit="1" customWidth="1"/>
    <col min="279" max="279" width="20.36328125" bestFit="1" customWidth="1"/>
    <col min="280" max="280" width="15.6328125" bestFit="1" customWidth="1"/>
    <col min="281" max="281" width="18.7265625" bestFit="1" customWidth="1"/>
    <col min="282" max="282" width="22" bestFit="1" customWidth="1"/>
    <col min="283" max="283" width="23.90625" bestFit="1" customWidth="1"/>
    <col min="284" max="284" width="19.1796875" bestFit="1" customWidth="1"/>
    <col min="285" max="285" width="22.26953125" bestFit="1" customWidth="1"/>
    <col min="286" max="286" width="18.453125" bestFit="1" customWidth="1"/>
    <col min="287" max="287" width="20.36328125" bestFit="1" customWidth="1"/>
    <col min="288" max="288" width="15.6328125" bestFit="1" customWidth="1"/>
    <col min="289" max="289" width="18.7265625" bestFit="1" customWidth="1"/>
    <col min="290" max="290" width="18.453125" bestFit="1" customWidth="1"/>
    <col min="291" max="291" width="20.36328125" bestFit="1" customWidth="1"/>
    <col min="292" max="292" width="15.6328125" bestFit="1" customWidth="1"/>
    <col min="293" max="293" width="18.7265625" bestFit="1" customWidth="1"/>
    <col min="294" max="294" width="18.453125" bestFit="1" customWidth="1"/>
    <col min="295" max="295" width="20.36328125" bestFit="1" customWidth="1"/>
    <col min="296" max="296" width="15.6328125" bestFit="1" customWidth="1"/>
    <col min="297" max="297" width="18.7265625" bestFit="1" customWidth="1"/>
    <col min="298" max="298" width="18.453125" bestFit="1" customWidth="1"/>
    <col min="299" max="299" width="20.36328125" bestFit="1" customWidth="1"/>
    <col min="300" max="300" width="15.6328125" bestFit="1" customWidth="1"/>
    <col min="301" max="301" width="18.7265625" bestFit="1" customWidth="1"/>
    <col min="302" max="302" width="18.453125" bestFit="1" customWidth="1"/>
    <col min="303" max="303" width="20.36328125" bestFit="1" customWidth="1"/>
    <col min="304" max="304" width="15.6328125" bestFit="1" customWidth="1"/>
    <col min="305" max="305" width="18.7265625" bestFit="1" customWidth="1"/>
    <col min="306" max="306" width="18.453125" bestFit="1" customWidth="1"/>
    <col min="307" max="307" width="20.36328125" bestFit="1" customWidth="1"/>
    <col min="308" max="308" width="15.6328125" bestFit="1" customWidth="1"/>
    <col min="309" max="309" width="18.7265625" bestFit="1" customWidth="1"/>
    <col min="310" max="310" width="18.453125" bestFit="1" customWidth="1"/>
    <col min="311" max="311" width="20.36328125" bestFit="1" customWidth="1"/>
    <col min="312" max="312" width="15.6328125" bestFit="1" customWidth="1"/>
    <col min="313" max="313" width="18.7265625" bestFit="1" customWidth="1"/>
    <col min="314" max="314" width="18.453125" bestFit="1" customWidth="1"/>
    <col min="315" max="315" width="20.36328125" bestFit="1" customWidth="1"/>
    <col min="316" max="316" width="15.6328125" bestFit="1" customWidth="1"/>
    <col min="317" max="317" width="18.7265625" bestFit="1" customWidth="1"/>
    <col min="318" max="318" width="18.453125" bestFit="1" customWidth="1"/>
    <col min="319" max="319" width="20.36328125" bestFit="1" customWidth="1"/>
    <col min="320" max="320" width="15.6328125" bestFit="1" customWidth="1"/>
    <col min="321" max="321" width="18.7265625" bestFit="1" customWidth="1"/>
    <col min="322" max="322" width="18.453125" bestFit="1" customWidth="1"/>
    <col min="323" max="323" width="20.36328125" bestFit="1" customWidth="1"/>
    <col min="324" max="324" width="15.6328125" bestFit="1" customWidth="1"/>
    <col min="325" max="325" width="18.7265625" bestFit="1" customWidth="1"/>
    <col min="326" max="326" width="18.453125" bestFit="1" customWidth="1"/>
    <col min="327" max="327" width="20.36328125" bestFit="1" customWidth="1"/>
    <col min="328" max="328" width="15.6328125" bestFit="1" customWidth="1"/>
    <col min="329" max="329" width="18.7265625" bestFit="1" customWidth="1"/>
    <col min="330" max="330" width="18.453125" bestFit="1" customWidth="1"/>
    <col min="331" max="331" width="20.36328125" bestFit="1" customWidth="1"/>
    <col min="332" max="332" width="15.6328125" bestFit="1" customWidth="1"/>
    <col min="333" max="333" width="18.7265625" bestFit="1" customWidth="1"/>
    <col min="334" max="334" width="18.453125" bestFit="1" customWidth="1"/>
    <col min="335" max="335" width="20.36328125" bestFit="1" customWidth="1"/>
    <col min="336" max="336" width="15.6328125" bestFit="1" customWidth="1"/>
    <col min="337" max="337" width="18.7265625" bestFit="1" customWidth="1"/>
    <col min="338" max="338" width="18.453125" bestFit="1" customWidth="1"/>
    <col min="339" max="339" width="20.36328125" bestFit="1" customWidth="1"/>
    <col min="340" max="340" width="15.6328125" bestFit="1" customWidth="1"/>
    <col min="341" max="341" width="18.7265625" bestFit="1" customWidth="1"/>
    <col min="342" max="342" width="18.453125" bestFit="1" customWidth="1"/>
    <col min="343" max="343" width="20.36328125" bestFit="1" customWidth="1"/>
    <col min="344" max="344" width="15.6328125" bestFit="1" customWidth="1"/>
    <col min="345" max="345" width="18.7265625" bestFit="1" customWidth="1"/>
    <col min="346" max="346" width="18.453125" bestFit="1" customWidth="1"/>
    <col min="347" max="347" width="20.36328125" bestFit="1" customWidth="1"/>
    <col min="348" max="348" width="15.6328125" bestFit="1" customWidth="1"/>
    <col min="349" max="349" width="18.7265625" bestFit="1" customWidth="1"/>
    <col min="350" max="350" width="18.453125" bestFit="1" customWidth="1"/>
    <col min="351" max="351" width="20.36328125" bestFit="1" customWidth="1"/>
    <col min="352" max="352" width="15.6328125" bestFit="1" customWidth="1"/>
    <col min="353" max="353" width="18.7265625" bestFit="1" customWidth="1"/>
    <col min="354" max="354" width="22.6328125" bestFit="1" customWidth="1"/>
    <col min="355" max="355" width="24.54296875" bestFit="1" customWidth="1"/>
    <col min="356" max="356" width="19.81640625" bestFit="1" customWidth="1"/>
    <col min="357" max="357" width="22.90625" bestFit="1" customWidth="1"/>
    <col min="358" max="358" width="18.453125" bestFit="1" customWidth="1"/>
    <col min="359" max="359" width="20.36328125" bestFit="1" customWidth="1"/>
    <col min="360" max="360" width="15.6328125" bestFit="1" customWidth="1"/>
    <col min="361" max="361" width="18.7265625" bestFit="1" customWidth="1"/>
    <col min="362" max="362" width="18.453125" bestFit="1" customWidth="1"/>
    <col min="363" max="363" width="20.36328125" bestFit="1" customWidth="1"/>
    <col min="364" max="364" width="15.6328125" bestFit="1" customWidth="1"/>
    <col min="365" max="365" width="18.7265625" bestFit="1" customWidth="1"/>
    <col min="366" max="366" width="18.453125" bestFit="1" customWidth="1"/>
    <col min="367" max="367" width="20.36328125" bestFit="1" customWidth="1"/>
    <col min="368" max="368" width="15.6328125" bestFit="1" customWidth="1"/>
    <col min="369" max="369" width="18.7265625" bestFit="1" customWidth="1"/>
    <col min="370" max="370" width="18.453125" bestFit="1" customWidth="1"/>
    <col min="371" max="371" width="20.36328125" bestFit="1" customWidth="1"/>
    <col min="372" max="372" width="15.6328125" bestFit="1" customWidth="1"/>
    <col min="373" max="373" width="18.7265625" bestFit="1" customWidth="1"/>
    <col min="374" max="374" width="18.453125" bestFit="1" customWidth="1"/>
    <col min="375" max="375" width="20.36328125" bestFit="1" customWidth="1"/>
    <col min="376" max="376" width="15.6328125" bestFit="1" customWidth="1"/>
    <col min="377" max="377" width="18.7265625" bestFit="1" customWidth="1"/>
    <col min="378" max="378" width="18.453125" bestFit="1" customWidth="1"/>
    <col min="379" max="379" width="20.36328125" bestFit="1" customWidth="1"/>
    <col min="380" max="380" width="15.6328125" bestFit="1" customWidth="1"/>
    <col min="381" max="381" width="18.7265625" bestFit="1" customWidth="1"/>
    <col min="382" max="382" width="18.453125" bestFit="1" customWidth="1"/>
    <col min="383" max="383" width="20.36328125" bestFit="1" customWidth="1"/>
    <col min="384" max="384" width="15.6328125" bestFit="1" customWidth="1"/>
    <col min="385" max="385" width="18.7265625" bestFit="1" customWidth="1"/>
    <col min="386" max="386" width="18.453125" bestFit="1" customWidth="1"/>
    <col min="387" max="387" width="20.36328125" bestFit="1" customWidth="1"/>
    <col min="388" max="388" width="15.6328125" bestFit="1" customWidth="1"/>
    <col min="389" max="389" width="18.7265625" bestFit="1" customWidth="1"/>
    <col min="390" max="390" width="18.453125" bestFit="1" customWidth="1"/>
    <col min="391" max="391" width="20.36328125" bestFit="1" customWidth="1"/>
    <col min="392" max="392" width="15.6328125" bestFit="1" customWidth="1"/>
    <col min="393" max="393" width="18.7265625" bestFit="1" customWidth="1"/>
    <col min="394" max="394" width="18.453125" bestFit="1" customWidth="1"/>
    <col min="395" max="395" width="20.36328125" bestFit="1" customWidth="1"/>
    <col min="396" max="396" width="15.6328125" bestFit="1" customWidth="1"/>
    <col min="397" max="397" width="18.7265625" bestFit="1" customWidth="1"/>
    <col min="398" max="398" width="18.453125" bestFit="1" customWidth="1"/>
    <col min="399" max="399" width="20.36328125" bestFit="1" customWidth="1"/>
    <col min="400" max="400" width="15.6328125" bestFit="1" customWidth="1"/>
    <col min="401" max="401" width="18.7265625" bestFit="1" customWidth="1"/>
    <col min="402" max="402" width="18.453125" bestFit="1" customWidth="1"/>
    <col min="403" max="403" width="20.36328125" bestFit="1" customWidth="1"/>
    <col min="404" max="404" width="15.6328125" bestFit="1" customWidth="1"/>
    <col min="405" max="405" width="18.7265625" bestFit="1" customWidth="1"/>
    <col min="406" max="406" width="21.81640625" bestFit="1" customWidth="1"/>
    <col min="407" max="407" width="23.7265625" bestFit="1" customWidth="1"/>
    <col min="408" max="408" width="19" bestFit="1" customWidth="1"/>
    <col min="409" max="409" width="22.08984375" bestFit="1" customWidth="1"/>
    <col min="410" max="410" width="18.453125" bestFit="1" customWidth="1"/>
    <col min="411" max="411" width="20.36328125" bestFit="1" customWidth="1"/>
    <col min="412" max="412" width="15.6328125" bestFit="1" customWidth="1"/>
    <col min="413" max="413" width="18.7265625" bestFit="1" customWidth="1"/>
    <col min="414" max="414" width="18.453125" bestFit="1" customWidth="1"/>
    <col min="415" max="415" width="20.36328125" bestFit="1" customWidth="1"/>
    <col min="416" max="416" width="15.6328125" bestFit="1" customWidth="1"/>
    <col min="417" max="417" width="18.7265625" bestFit="1" customWidth="1"/>
    <col min="418" max="418" width="18.453125" bestFit="1" customWidth="1"/>
    <col min="419" max="419" width="20.36328125" bestFit="1" customWidth="1"/>
    <col min="420" max="420" width="15.6328125" bestFit="1" customWidth="1"/>
    <col min="421" max="421" width="18.7265625" bestFit="1" customWidth="1"/>
    <col min="422" max="422" width="18.453125" bestFit="1" customWidth="1"/>
    <col min="423" max="423" width="20.36328125" bestFit="1" customWidth="1"/>
    <col min="424" max="424" width="15.6328125" bestFit="1" customWidth="1"/>
    <col min="425" max="425" width="18.7265625" bestFit="1" customWidth="1"/>
    <col min="426" max="426" width="18.453125" bestFit="1" customWidth="1"/>
    <col min="427" max="427" width="20.36328125" bestFit="1" customWidth="1"/>
    <col min="428" max="428" width="15.6328125" bestFit="1" customWidth="1"/>
    <col min="429" max="429" width="18.7265625" bestFit="1" customWidth="1"/>
    <col min="430" max="430" width="18.453125" bestFit="1" customWidth="1"/>
    <col min="431" max="431" width="20.36328125" bestFit="1" customWidth="1"/>
    <col min="432" max="432" width="15.6328125" bestFit="1" customWidth="1"/>
    <col min="433" max="433" width="18.7265625" bestFit="1" customWidth="1"/>
    <col min="434" max="434" width="18.453125" bestFit="1" customWidth="1"/>
    <col min="435" max="435" width="20.36328125" bestFit="1" customWidth="1"/>
    <col min="436" max="436" width="15.6328125" bestFit="1" customWidth="1"/>
    <col min="437" max="437" width="18.7265625" bestFit="1" customWidth="1"/>
    <col min="438" max="438" width="18.453125" bestFit="1" customWidth="1"/>
    <col min="439" max="439" width="20.36328125" bestFit="1" customWidth="1"/>
    <col min="440" max="440" width="15.6328125" bestFit="1" customWidth="1"/>
    <col min="441" max="441" width="18.7265625" bestFit="1" customWidth="1"/>
    <col min="442" max="442" width="18.453125" bestFit="1" customWidth="1"/>
    <col min="443" max="443" width="20.36328125" bestFit="1" customWidth="1"/>
    <col min="444" max="444" width="15.6328125" bestFit="1" customWidth="1"/>
    <col min="445" max="445" width="18.7265625" bestFit="1" customWidth="1"/>
    <col min="446" max="446" width="18.453125" bestFit="1" customWidth="1"/>
    <col min="447" max="447" width="20.36328125" bestFit="1" customWidth="1"/>
    <col min="448" max="448" width="15.6328125" bestFit="1" customWidth="1"/>
    <col min="449" max="449" width="18.7265625" bestFit="1" customWidth="1"/>
    <col min="450" max="450" width="18.453125" bestFit="1" customWidth="1"/>
    <col min="451" max="451" width="20.36328125" bestFit="1" customWidth="1"/>
    <col min="452" max="452" width="15.6328125" bestFit="1" customWidth="1"/>
    <col min="453" max="453" width="18.7265625" bestFit="1" customWidth="1"/>
    <col min="454" max="454" width="18.453125" bestFit="1" customWidth="1"/>
    <col min="455" max="455" width="20.36328125" bestFit="1" customWidth="1"/>
    <col min="456" max="456" width="15.6328125" bestFit="1" customWidth="1"/>
    <col min="457" max="457" width="18.7265625" bestFit="1" customWidth="1"/>
    <col min="458" max="458" width="21.1796875" bestFit="1" customWidth="1"/>
    <col min="459" max="459" width="23.08984375" bestFit="1" customWidth="1"/>
    <col min="460" max="460" width="18.36328125" bestFit="1" customWidth="1"/>
    <col min="461" max="461" width="21.453125" bestFit="1" customWidth="1"/>
    <col min="462" max="462" width="18.453125" bestFit="1" customWidth="1"/>
    <col min="463" max="463" width="20.36328125" bestFit="1" customWidth="1"/>
    <col min="464" max="464" width="15.6328125" bestFit="1" customWidth="1"/>
    <col min="465" max="465" width="18.7265625" bestFit="1" customWidth="1"/>
    <col min="466" max="466" width="18.453125" bestFit="1" customWidth="1"/>
    <col min="467" max="467" width="20.36328125" bestFit="1" customWidth="1"/>
    <col min="468" max="468" width="15.6328125" bestFit="1" customWidth="1"/>
    <col min="469" max="469" width="18.7265625" bestFit="1" customWidth="1"/>
    <col min="470" max="470" width="18.453125" bestFit="1" customWidth="1"/>
    <col min="471" max="471" width="20.36328125" bestFit="1" customWidth="1"/>
    <col min="472" max="472" width="15.6328125" bestFit="1" customWidth="1"/>
    <col min="473" max="473" width="18.7265625" bestFit="1" customWidth="1"/>
    <col min="474" max="474" width="18.453125" bestFit="1" customWidth="1"/>
    <col min="475" max="475" width="20.36328125" bestFit="1" customWidth="1"/>
    <col min="476" max="476" width="15.6328125" bestFit="1" customWidth="1"/>
    <col min="477" max="477" width="18.7265625" bestFit="1" customWidth="1"/>
    <col min="478" max="478" width="18.453125" bestFit="1" customWidth="1"/>
    <col min="479" max="479" width="20.36328125" bestFit="1" customWidth="1"/>
    <col min="480" max="480" width="15.6328125" bestFit="1" customWidth="1"/>
    <col min="481" max="481" width="18.7265625" bestFit="1" customWidth="1"/>
    <col min="482" max="482" width="18.453125" bestFit="1" customWidth="1"/>
    <col min="483" max="483" width="20.36328125" bestFit="1" customWidth="1"/>
    <col min="484" max="484" width="15.6328125" bestFit="1" customWidth="1"/>
    <col min="485" max="485" width="18.7265625" bestFit="1" customWidth="1"/>
    <col min="486" max="486" width="18.453125" bestFit="1" customWidth="1"/>
    <col min="487" max="487" width="20.36328125" bestFit="1" customWidth="1"/>
    <col min="488" max="488" width="15.6328125" bestFit="1" customWidth="1"/>
    <col min="489" max="489" width="18.7265625" bestFit="1" customWidth="1"/>
    <col min="490" max="490" width="18.453125" bestFit="1" customWidth="1"/>
    <col min="491" max="491" width="20.36328125" bestFit="1" customWidth="1"/>
    <col min="492" max="492" width="15.6328125" bestFit="1" customWidth="1"/>
    <col min="493" max="493" width="18.7265625" bestFit="1" customWidth="1"/>
    <col min="494" max="494" width="18.453125" bestFit="1" customWidth="1"/>
    <col min="495" max="495" width="20.36328125" bestFit="1" customWidth="1"/>
    <col min="496" max="496" width="15.6328125" bestFit="1" customWidth="1"/>
    <col min="497" max="497" width="18.7265625" bestFit="1" customWidth="1"/>
    <col min="498" max="498" width="18.453125" bestFit="1" customWidth="1"/>
    <col min="499" max="499" width="20.36328125" bestFit="1" customWidth="1"/>
    <col min="500" max="500" width="15.6328125" bestFit="1" customWidth="1"/>
    <col min="501" max="501" width="18.7265625" bestFit="1" customWidth="1"/>
    <col min="502" max="502" width="18.453125" bestFit="1" customWidth="1"/>
    <col min="503" max="503" width="20.36328125" bestFit="1" customWidth="1"/>
    <col min="504" max="504" width="15.6328125" bestFit="1" customWidth="1"/>
    <col min="505" max="505" width="18.7265625" bestFit="1" customWidth="1"/>
    <col min="506" max="506" width="18.453125" bestFit="1" customWidth="1"/>
    <col min="507" max="507" width="20.36328125" bestFit="1" customWidth="1"/>
    <col min="508" max="508" width="15.6328125" bestFit="1" customWidth="1"/>
    <col min="509" max="509" width="18.7265625" bestFit="1" customWidth="1"/>
    <col min="510" max="510" width="18.453125" bestFit="1" customWidth="1"/>
    <col min="511" max="511" width="20.36328125" bestFit="1" customWidth="1"/>
    <col min="512" max="512" width="15.6328125" bestFit="1" customWidth="1"/>
    <col min="513" max="513" width="18.7265625" bestFit="1" customWidth="1"/>
    <col min="514" max="514" width="18.453125" bestFit="1" customWidth="1"/>
    <col min="515" max="515" width="20.36328125" bestFit="1" customWidth="1"/>
    <col min="516" max="516" width="15.6328125" bestFit="1" customWidth="1"/>
    <col min="517" max="517" width="18.7265625" bestFit="1" customWidth="1"/>
    <col min="518" max="518" width="18.453125" bestFit="1" customWidth="1"/>
    <col min="519" max="519" width="20.36328125" bestFit="1" customWidth="1"/>
    <col min="520" max="520" width="15.6328125" bestFit="1" customWidth="1"/>
    <col min="521" max="521" width="18.7265625" bestFit="1" customWidth="1"/>
    <col min="522" max="522" width="22.1796875" bestFit="1" customWidth="1"/>
    <col min="523" max="523" width="24.08984375" bestFit="1" customWidth="1"/>
    <col min="524" max="524" width="19.36328125" bestFit="1" customWidth="1"/>
    <col min="525" max="525" width="22.453125" bestFit="1" customWidth="1"/>
    <col min="526" max="526" width="18.453125" bestFit="1" customWidth="1"/>
    <col min="527" max="527" width="20.36328125" bestFit="1" customWidth="1"/>
    <col min="528" max="528" width="15.6328125" bestFit="1" customWidth="1"/>
    <col min="529" max="529" width="18.7265625" bestFit="1" customWidth="1"/>
    <col min="530" max="530" width="18.453125" bestFit="1" customWidth="1"/>
    <col min="531" max="531" width="20.36328125" bestFit="1" customWidth="1"/>
    <col min="532" max="532" width="15.6328125" bestFit="1" customWidth="1"/>
    <col min="533" max="533" width="18.7265625" bestFit="1" customWidth="1"/>
    <col min="534" max="534" width="18.453125" bestFit="1" customWidth="1"/>
    <col min="535" max="535" width="20.36328125" bestFit="1" customWidth="1"/>
    <col min="536" max="536" width="15.6328125" bestFit="1" customWidth="1"/>
    <col min="537" max="537" width="18.7265625" bestFit="1" customWidth="1"/>
    <col min="538" max="538" width="18.453125" bestFit="1" customWidth="1"/>
    <col min="539" max="539" width="20.36328125" bestFit="1" customWidth="1"/>
    <col min="540" max="540" width="15.6328125" bestFit="1" customWidth="1"/>
    <col min="541" max="541" width="18.7265625" bestFit="1" customWidth="1"/>
    <col min="542" max="542" width="18.453125" bestFit="1" customWidth="1"/>
    <col min="543" max="543" width="20.36328125" bestFit="1" customWidth="1"/>
    <col min="544" max="544" width="15.6328125" bestFit="1" customWidth="1"/>
    <col min="545" max="545" width="18.7265625" bestFit="1" customWidth="1"/>
    <col min="546" max="546" width="18.453125" bestFit="1" customWidth="1"/>
    <col min="547" max="547" width="20.36328125" bestFit="1" customWidth="1"/>
    <col min="548" max="548" width="15.6328125" bestFit="1" customWidth="1"/>
    <col min="549" max="549" width="18.7265625" bestFit="1" customWidth="1"/>
    <col min="550" max="550" width="18.453125" bestFit="1" customWidth="1"/>
    <col min="551" max="551" width="20.36328125" bestFit="1" customWidth="1"/>
    <col min="552" max="552" width="15.6328125" bestFit="1" customWidth="1"/>
    <col min="553" max="553" width="18.7265625" bestFit="1" customWidth="1"/>
    <col min="554" max="554" width="18.453125" bestFit="1" customWidth="1"/>
    <col min="555" max="555" width="20.36328125" bestFit="1" customWidth="1"/>
    <col min="556" max="556" width="15.6328125" bestFit="1" customWidth="1"/>
    <col min="557" max="557" width="18.7265625" bestFit="1" customWidth="1"/>
    <col min="558" max="558" width="18.453125" bestFit="1" customWidth="1"/>
    <col min="559" max="559" width="20.36328125" bestFit="1" customWidth="1"/>
    <col min="560" max="560" width="15.6328125" bestFit="1" customWidth="1"/>
    <col min="561" max="561" width="18.7265625" bestFit="1" customWidth="1"/>
    <col min="562" max="562" width="18.453125" bestFit="1" customWidth="1"/>
    <col min="563" max="563" width="20.36328125" bestFit="1" customWidth="1"/>
    <col min="564" max="564" width="15.6328125" bestFit="1" customWidth="1"/>
    <col min="565" max="565" width="18.7265625" bestFit="1" customWidth="1"/>
    <col min="566" max="566" width="18.453125" bestFit="1" customWidth="1"/>
    <col min="567" max="567" width="20.36328125" bestFit="1" customWidth="1"/>
    <col min="568" max="568" width="15.6328125" bestFit="1" customWidth="1"/>
    <col min="569" max="569" width="18.7265625" bestFit="1" customWidth="1"/>
    <col min="570" max="570" width="18.453125" bestFit="1" customWidth="1"/>
    <col min="571" max="571" width="20.36328125" bestFit="1" customWidth="1"/>
    <col min="572" max="572" width="15.6328125" bestFit="1" customWidth="1"/>
    <col min="573" max="573" width="18.7265625" bestFit="1" customWidth="1"/>
    <col min="574" max="574" width="18.453125" bestFit="1" customWidth="1"/>
    <col min="575" max="575" width="20.36328125" bestFit="1" customWidth="1"/>
    <col min="576" max="576" width="15.6328125" bestFit="1" customWidth="1"/>
    <col min="577" max="577" width="18.7265625" bestFit="1" customWidth="1"/>
    <col min="578" max="578" width="18.453125" bestFit="1" customWidth="1"/>
    <col min="579" max="579" width="20.36328125" bestFit="1" customWidth="1"/>
    <col min="580" max="580" width="15.6328125" bestFit="1" customWidth="1"/>
    <col min="581" max="581" width="18.7265625" bestFit="1" customWidth="1"/>
    <col min="582" max="582" width="18.453125" bestFit="1" customWidth="1"/>
    <col min="583" max="583" width="20.36328125" bestFit="1" customWidth="1"/>
    <col min="584" max="584" width="15.6328125" bestFit="1" customWidth="1"/>
    <col min="585" max="585" width="18.7265625" bestFit="1" customWidth="1"/>
    <col min="586" max="586" width="18.453125" bestFit="1" customWidth="1"/>
    <col min="587" max="587" width="20.36328125" bestFit="1" customWidth="1"/>
    <col min="588" max="588" width="15.6328125" bestFit="1" customWidth="1"/>
    <col min="589" max="589" width="18.7265625" bestFit="1" customWidth="1"/>
    <col min="590" max="590" width="18.453125" bestFit="1" customWidth="1"/>
    <col min="591" max="591" width="20.36328125" bestFit="1" customWidth="1"/>
    <col min="592" max="592" width="15.6328125" bestFit="1" customWidth="1"/>
    <col min="593" max="593" width="18.7265625" bestFit="1" customWidth="1"/>
    <col min="594" max="594" width="18.453125" bestFit="1" customWidth="1"/>
    <col min="595" max="595" width="20.36328125" bestFit="1" customWidth="1"/>
    <col min="596" max="596" width="15.6328125" bestFit="1" customWidth="1"/>
    <col min="597" max="597" width="18.7265625" bestFit="1" customWidth="1"/>
    <col min="598" max="598" width="18.453125" bestFit="1" customWidth="1"/>
    <col min="599" max="599" width="20.36328125" bestFit="1" customWidth="1"/>
    <col min="600" max="600" width="15.6328125" bestFit="1" customWidth="1"/>
    <col min="601" max="601" width="18.7265625" bestFit="1" customWidth="1"/>
    <col min="602" max="602" width="22" bestFit="1" customWidth="1"/>
    <col min="603" max="603" width="23.90625" bestFit="1" customWidth="1"/>
    <col min="604" max="604" width="19.1796875" bestFit="1" customWidth="1"/>
    <col min="605" max="605" width="22.26953125" bestFit="1" customWidth="1"/>
    <col min="606" max="606" width="18.453125" bestFit="1" customWidth="1"/>
    <col min="607" max="607" width="20.36328125" bestFit="1" customWidth="1"/>
    <col min="608" max="608" width="15.6328125" bestFit="1" customWidth="1"/>
    <col min="609" max="609" width="18.7265625" bestFit="1" customWidth="1"/>
    <col min="610" max="610" width="18.453125" bestFit="1" customWidth="1"/>
    <col min="611" max="611" width="20.36328125" bestFit="1" customWidth="1"/>
    <col min="612" max="612" width="15.6328125" bestFit="1" customWidth="1"/>
    <col min="613" max="613" width="18.7265625" bestFit="1" customWidth="1"/>
    <col min="614" max="614" width="18.453125" bestFit="1" customWidth="1"/>
    <col min="615" max="615" width="20.36328125" bestFit="1" customWidth="1"/>
    <col min="616" max="616" width="15.6328125" bestFit="1" customWidth="1"/>
    <col min="617" max="617" width="18.7265625" bestFit="1" customWidth="1"/>
    <col min="618" max="618" width="18.453125" bestFit="1" customWidth="1"/>
    <col min="619" max="619" width="20.36328125" bestFit="1" customWidth="1"/>
    <col min="620" max="620" width="15.6328125" bestFit="1" customWidth="1"/>
    <col min="621" max="621" width="18.7265625" bestFit="1" customWidth="1"/>
    <col min="622" max="622" width="18.453125" bestFit="1" customWidth="1"/>
    <col min="623" max="623" width="20.36328125" bestFit="1" customWidth="1"/>
    <col min="624" max="624" width="15.6328125" bestFit="1" customWidth="1"/>
    <col min="625" max="625" width="18.7265625" bestFit="1" customWidth="1"/>
    <col min="626" max="626" width="18.453125" bestFit="1" customWidth="1"/>
    <col min="627" max="627" width="20.36328125" bestFit="1" customWidth="1"/>
    <col min="628" max="628" width="15.6328125" bestFit="1" customWidth="1"/>
    <col min="629" max="629" width="18.7265625" bestFit="1" customWidth="1"/>
    <col min="630" max="630" width="18.453125" bestFit="1" customWidth="1"/>
    <col min="631" max="631" width="20.36328125" bestFit="1" customWidth="1"/>
    <col min="632" max="632" width="15.6328125" bestFit="1" customWidth="1"/>
    <col min="633" max="633" width="18.7265625" bestFit="1" customWidth="1"/>
    <col min="634" max="634" width="18.453125" bestFit="1" customWidth="1"/>
    <col min="635" max="635" width="20.36328125" bestFit="1" customWidth="1"/>
    <col min="636" max="636" width="15.6328125" bestFit="1" customWidth="1"/>
    <col min="637" max="637" width="18.7265625" bestFit="1" customWidth="1"/>
    <col min="638" max="638" width="18.453125" bestFit="1" customWidth="1"/>
    <col min="639" max="639" width="20.36328125" bestFit="1" customWidth="1"/>
    <col min="640" max="640" width="15.6328125" bestFit="1" customWidth="1"/>
    <col min="641" max="641" width="18.7265625" bestFit="1" customWidth="1"/>
    <col min="642" max="642" width="18.453125" bestFit="1" customWidth="1"/>
    <col min="643" max="643" width="20.36328125" bestFit="1" customWidth="1"/>
    <col min="644" max="644" width="15.6328125" bestFit="1" customWidth="1"/>
    <col min="645" max="645" width="18.7265625" bestFit="1" customWidth="1"/>
    <col min="646" max="646" width="18.453125" bestFit="1" customWidth="1"/>
    <col min="647" max="647" width="20.36328125" bestFit="1" customWidth="1"/>
    <col min="648" max="648" width="15.6328125" bestFit="1" customWidth="1"/>
    <col min="649" max="649" width="18.7265625" bestFit="1" customWidth="1"/>
    <col min="650" max="650" width="18.453125" bestFit="1" customWidth="1"/>
    <col min="651" max="651" width="20.36328125" bestFit="1" customWidth="1"/>
    <col min="652" max="652" width="15.6328125" bestFit="1" customWidth="1"/>
    <col min="653" max="653" width="18.7265625" bestFit="1" customWidth="1"/>
    <col min="654" max="654" width="21.90625" bestFit="1" customWidth="1"/>
    <col min="655" max="655" width="23.81640625" bestFit="1" customWidth="1"/>
    <col min="656" max="656" width="19.08984375" bestFit="1" customWidth="1"/>
    <col min="657" max="657" width="22.1796875" bestFit="1" customWidth="1"/>
    <col min="658" max="658" width="18.453125" bestFit="1" customWidth="1"/>
    <col min="659" max="659" width="20.36328125" bestFit="1" customWidth="1"/>
    <col min="660" max="660" width="15.6328125" bestFit="1" customWidth="1"/>
    <col min="661" max="661" width="18.7265625" bestFit="1" customWidth="1"/>
    <col min="662" max="662" width="18.453125" bestFit="1" customWidth="1"/>
    <col min="663" max="663" width="20.36328125" bestFit="1" customWidth="1"/>
    <col min="664" max="664" width="15.6328125" bestFit="1" customWidth="1"/>
    <col min="665" max="665" width="18.7265625" bestFit="1" customWidth="1"/>
    <col min="666" max="666" width="18.453125" bestFit="1" customWidth="1"/>
    <col min="667" max="667" width="20.36328125" bestFit="1" customWidth="1"/>
    <col min="668" max="668" width="15.6328125" bestFit="1" customWidth="1"/>
    <col min="669" max="669" width="18.7265625" bestFit="1" customWidth="1"/>
    <col min="670" max="670" width="18.453125" bestFit="1" customWidth="1"/>
    <col min="671" max="671" width="20.36328125" bestFit="1" customWidth="1"/>
    <col min="672" max="672" width="15.6328125" bestFit="1" customWidth="1"/>
    <col min="673" max="673" width="18.7265625" bestFit="1" customWidth="1"/>
    <col min="674" max="674" width="18.453125" bestFit="1" customWidth="1"/>
    <col min="675" max="675" width="20.36328125" bestFit="1" customWidth="1"/>
    <col min="676" max="676" width="15.6328125" bestFit="1" customWidth="1"/>
    <col min="677" max="677" width="18.7265625" bestFit="1" customWidth="1"/>
    <col min="678" max="678" width="18.453125" bestFit="1" customWidth="1"/>
    <col min="679" max="679" width="20.36328125" bestFit="1" customWidth="1"/>
    <col min="680" max="680" width="15.6328125" bestFit="1" customWidth="1"/>
    <col min="681" max="681" width="18.7265625" bestFit="1" customWidth="1"/>
    <col min="682" max="682" width="18.453125" bestFit="1" customWidth="1"/>
    <col min="683" max="683" width="20.36328125" bestFit="1" customWidth="1"/>
    <col min="684" max="684" width="15.6328125" bestFit="1" customWidth="1"/>
    <col min="685" max="685" width="18.7265625" bestFit="1" customWidth="1"/>
    <col min="686" max="686" width="18.453125" bestFit="1" customWidth="1"/>
    <col min="687" max="687" width="20.36328125" bestFit="1" customWidth="1"/>
    <col min="688" max="688" width="15.6328125" bestFit="1" customWidth="1"/>
    <col min="689" max="689" width="18.7265625" bestFit="1" customWidth="1"/>
    <col min="690" max="690" width="18.453125" bestFit="1" customWidth="1"/>
    <col min="691" max="691" width="20.36328125" bestFit="1" customWidth="1"/>
    <col min="692" max="692" width="15.6328125" bestFit="1" customWidth="1"/>
    <col min="693" max="693" width="18.7265625" bestFit="1" customWidth="1"/>
    <col min="694" max="694" width="18.453125" bestFit="1" customWidth="1"/>
    <col min="695" max="695" width="20.36328125" bestFit="1" customWidth="1"/>
    <col min="696" max="696" width="15.6328125" bestFit="1" customWidth="1"/>
    <col min="697" max="697" width="18.7265625" bestFit="1" customWidth="1"/>
    <col min="698" max="698" width="18.453125" bestFit="1" customWidth="1"/>
    <col min="699" max="699" width="20.36328125" bestFit="1" customWidth="1"/>
    <col min="700" max="700" width="15.6328125" bestFit="1" customWidth="1"/>
    <col min="701" max="701" width="18.7265625" bestFit="1" customWidth="1"/>
    <col min="702" max="702" width="18.453125" bestFit="1" customWidth="1"/>
    <col min="703" max="703" width="20.36328125" bestFit="1" customWidth="1"/>
    <col min="704" max="704" width="15.6328125" bestFit="1" customWidth="1"/>
    <col min="705" max="705" width="18.7265625" bestFit="1" customWidth="1"/>
    <col min="706" max="706" width="18.453125" bestFit="1" customWidth="1"/>
    <col min="707" max="707" width="20.36328125" bestFit="1" customWidth="1"/>
    <col min="708" max="708" width="15.6328125" bestFit="1" customWidth="1"/>
    <col min="709" max="709" width="18.7265625" bestFit="1" customWidth="1"/>
    <col min="710" max="710" width="18.453125" bestFit="1" customWidth="1"/>
    <col min="711" max="711" width="20.36328125" bestFit="1" customWidth="1"/>
    <col min="712" max="712" width="15.6328125" bestFit="1" customWidth="1"/>
    <col min="713" max="713" width="18.7265625" bestFit="1" customWidth="1"/>
    <col min="714" max="714" width="18.453125" bestFit="1" customWidth="1"/>
    <col min="715" max="715" width="20.36328125" bestFit="1" customWidth="1"/>
    <col min="716" max="716" width="15.6328125" bestFit="1" customWidth="1"/>
    <col min="717" max="717" width="18.7265625" bestFit="1" customWidth="1"/>
    <col min="718" max="718" width="18.453125" bestFit="1" customWidth="1"/>
    <col min="719" max="719" width="20.36328125" bestFit="1" customWidth="1"/>
    <col min="720" max="720" width="15.6328125" bestFit="1" customWidth="1"/>
    <col min="721" max="721" width="18.7265625" bestFit="1" customWidth="1"/>
    <col min="722" max="722" width="22.26953125" bestFit="1" customWidth="1"/>
    <col min="723" max="723" width="24.1796875" bestFit="1" customWidth="1"/>
    <col min="724" max="724" width="19.453125" bestFit="1" customWidth="1"/>
    <col min="725" max="725" width="22.54296875" bestFit="1" customWidth="1"/>
    <col min="726" max="726" width="18.453125" bestFit="1" customWidth="1"/>
    <col min="727" max="727" width="20.36328125" bestFit="1" customWidth="1"/>
    <col min="728" max="728" width="15.6328125" bestFit="1" customWidth="1"/>
    <col min="729" max="729" width="18.7265625" bestFit="1" customWidth="1"/>
    <col min="730" max="730" width="18.453125" bestFit="1" customWidth="1"/>
    <col min="731" max="731" width="20.36328125" bestFit="1" customWidth="1"/>
    <col min="732" max="732" width="15.6328125" bestFit="1" customWidth="1"/>
    <col min="733" max="733" width="18.7265625" bestFit="1" customWidth="1"/>
    <col min="734" max="734" width="18.453125" bestFit="1" customWidth="1"/>
    <col min="735" max="735" width="20.36328125" bestFit="1" customWidth="1"/>
    <col min="736" max="736" width="15.6328125" bestFit="1" customWidth="1"/>
    <col min="737" max="737" width="18.7265625" bestFit="1" customWidth="1"/>
    <col min="738" max="738" width="18.453125" bestFit="1" customWidth="1"/>
    <col min="739" max="739" width="20.36328125" bestFit="1" customWidth="1"/>
    <col min="740" max="740" width="15.6328125" bestFit="1" customWidth="1"/>
    <col min="741" max="741" width="18.7265625" bestFit="1" customWidth="1"/>
    <col min="742" max="742" width="22.08984375" bestFit="1" customWidth="1"/>
    <col min="743" max="743" width="24" bestFit="1" customWidth="1"/>
    <col min="744" max="744" width="19.26953125" bestFit="1" customWidth="1"/>
    <col min="745" max="745" width="22.36328125" bestFit="1" customWidth="1"/>
    <col min="746" max="746" width="23.26953125" bestFit="1" customWidth="1"/>
    <col min="747" max="747" width="25.26953125" bestFit="1" customWidth="1"/>
    <col min="748" max="748" width="20.453125" bestFit="1" customWidth="1"/>
    <col min="749" max="749" width="23.54296875" bestFit="1" customWidth="1"/>
    <col min="750" max="750" width="18.453125" bestFit="1" customWidth="1"/>
    <col min="751" max="751" width="20.36328125" bestFit="1" customWidth="1"/>
    <col min="752" max="752" width="15.6328125" bestFit="1" customWidth="1"/>
    <col min="753" max="753" width="18.7265625" bestFit="1" customWidth="1"/>
    <col min="754" max="754" width="24.453125" bestFit="1" customWidth="1"/>
    <col min="755" max="755" width="26.453125" bestFit="1" customWidth="1"/>
    <col min="756" max="756" width="21.7265625" bestFit="1" customWidth="1"/>
    <col min="757" max="757" width="24.7265625" bestFit="1" customWidth="1"/>
    <col min="758" max="758" width="18.453125" bestFit="1" customWidth="1"/>
    <col min="759" max="759" width="20.36328125" bestFit="1" customWidth="1"/>
    <col min="760" max="760" width="15.6328125" bestFit="1" customWidth="1"/>
    <col min="761" max="761" width="18.7265625" bestFit="1" customWidth="1"/>
    <col min="762" max="762" width="24.453125" bestFit="1" customWidth="1"/>
    <col min="763" max="763" width="26.453125" bestFit="1" customWidth="1"/>
    <col min="764" max="764" width="21.7265625" bestFit="1" customWidth="1"/>
    <col min="765" max="765" width="24.7265625" bestFit="1" customWidth="1"/>
    <col min="766" max="766" width="18.453125" bestFit="1" customWidth="1"/>
    <col min="767" max="767" width="20.36328125" bestFit="1" customWidth="1"/>
    <col min="768" max="768" width="15.6328125" bestFit="1" customWidth="1"/>
    <col min="769" max="769" width="18.7265625" bestFit="1" customWidth="1"/>
    <col min="770" max="770" width="24.453125" bestFit="1" customWidth="1"/>
    <col min="771" max="771" width="26.453125" bestFit="1" customWidth="1"/>
    <col min="772" max="772" width="21.7265625" bestFit="1" customWidth="1"/>
    <col min="773" max="773" width="24.7265625" bestFit="1" customWidth="1"/>
    <col min="774" max="774" width="18.453125" bestFit="1" customWidth="1"/>
    <col min="775" max="775" width="20.36328125" bestFit="1" customWidth="1"/>
    <col min="776" max="776" width="15.6328125" bestFit="1" customWidth="1"/>
    <col min="777" max="777" width="18.7265625" bestFit="1" customWidth="1"/>
    <col min="778" max="778" width="24.453125" bestFit="1" customWidth="1"/>
    <col min="779" max="779" width="26.453125" bestFit="1" customWidth="1"/>
    <col min="780" max="780" width="21.7265625" bestFit="1" customWidth="1"/>
    <col min="781" max="781" width="24.7265625" bestFit="1" customWidth="1"/>
    <col min="782" max="782" width="18.453125" bestFit="1" customWidth="1"/>
    <col min="783" max="783" width="20.36328125" bestFit="1" customWidth="1"/>
    <col min="784" max="784" width="15.6328125" bestFit="1" customWidth="1"/>
    <col min="785" max="785" width="18.7265625" bestFit="1" customWidth="1"/>
    <col min="786" max="786" width="24.453125" bestFit="1" customWidth="1"/>
    <col min="787" max="787" width="26.453125" bestFit="1" customWidth="1"/>
    <col min="788" max="788" width="21.7265625" bestFit="1" customWidth="1"/>
    <col min="789" max="789" width="24.7265625" bestFit="1" customWidth="1"/>
    <col min="790" max="790" width="21.81640625" bestFit="1" customWidth="1"/>
    <col min="791" max="791" width="23.7265625" bestFit="1" customWidth="1"/>
    <col min="792" max="792" width="19" bestFit="1" customWidth="1"/>
    <col min="793" max="793" width="22.08984375" bestFit="1" customWidth="1"/>
    <col min="794" max="794" width="18.453125" bestFit="1" customWidth="1"/>
    <col min="795" max="795" width="20.36328125" bestFit="1" customWidth="1"/>
    <col min="796" max="796" width="15.6328125" bestFit="1" customWidth="1"/>
    <col min="797" max="797" width="18.7265625" bestFit="1" customWidth="1"/>
    <col min="798" max="798" width="22.81640625" bestFit="1" customWidth="1"/>
    <col min="799" max="799" width="24.7265625" bestFit="1" customWidth="1"/>
    <col min="800" max="800" width="20" bestFit="1" customWidth="1"/>
    <col min="801" max="801" width="23.08984375" bestFit="1" customWidth="1"/>
    <col min="802" max="802" width="18.453125" bestFit="1" customWidth="1"/>
    <col min="803" max="803" width="20.36328125" bestFit="1" customWidth="1"/>
    <col min="804" max="804" width="15.6328125" bestFit="1" customWidth="1"/>
    <col min="805" max="805" width="18.7265625" bestFit="1" customWidth="1"/>
    <col min="806" max="806" width="22.81640625" bestFit="1" customWidth="1"/>
    <col min="807" max="807" width="24.7265625" bestFit="1" customWidth="1"/>
    <col min="808" max="808" width="20" bestFit="1" customWidth="1"/>
    <col min="809" max="809" width="23.08984375" bestFit="1" customWidth="1"/>
    <col min="810" max="810" width="18.453125" bestFit="1" customWidth="1"/>
    <col min="811" max="811" width="20.36328125" bestFit="1" customWidth="1"/>
    <col min="812" max="812" width="15.6328125" bestFit="1" customWidth="1"/>
    <col min="813" max="813" width="18.7265625" bestFit="1" customWidth="1"/>
    <col min="814" max="814" width="23.81640625" bestFit="1" customWidth="1"/>
    <col min="815" max="815" width="25.81640625" bestFit="1" customWidth="1"/>
    <col min="816" max="816" width="21.08984375" bestFit="1" customWidth="1"/>
    <col min="817" max="817" width="24.08984375" bestFit="1" customWidth="1"/>
    <col min="818" max="818" width="18.453125" bestFit="1" customWidth="1"/>
    <col min="819" max="819" width="20.36328125" bestFit="1" customWidth="1"/>
    <col min="820" max="820" width="15.6328125" bestFit="1" customWidth="1"/>
    <col min="821" max="821" width="18.7265625" bestFit="1" customWidth="1"/>
    <col min="822" max="822" width="23.81640625" bestFit="1" customWidth="1"/>
    <col min="823" max="823" width="25.81640625" bestFit="1" customWidth="1"/>
    <col min="824" max="824" width="21.08984375" bestFit="1" customWidth="1"/>
    <col min="825" max="825" width="24.08984375" bestFit="1" customWidth="1"/>
    <col min="826" max="826" width="18.453125" bestFit="1" customWidth="1"/>
    <col min="827" max="827" width="20.36328125" bestFit="1" customWidth="1"/>
    <col min="828" max="828" width="15.6328125" bestFit="1" customWidth="1"/>
    <col min="829" max="829" width="18.7265625" bestFit="1" customWidth="1"/>
    <col min="830" max="830" width="23.81640625" bestFit="1" customWidth="1"/>
    <col min="831" max="831" width="25.81640625" bestFit="1" customWidth="1"/>
    <col min="832" max="832" width="21.08984375" bestFit="1" customWidth="1"/>
    <col min="833" max="833" width="24.08984375" bestFit="1" customWidth="1"/>
    <col min="834" max="834" width="18.453125" bestFit="1" customWidth="1"/>
    <col min="835" max="835" width="20.36328125" bestFit="1" customWidth="1"/>
    <col min="836" max="836" width="15.6328125" bestFit="1" customWidth="1"/>
    <col min="837" max="837" width="18.7265625" bestFit="1" customWidth="1"/>
    <col min="838" max="838" width="23.81640625" bestFit="1" customWidth="1"/>
    <col min="839" max="839" width="25.81640625" bestFit="1" customWidth="1"/>
    <col min="840" max="840" width="21.08984375" bestFit="1" customWidth="1"/>
    <col min="841" max="841" width="24.08984375" bestFit="1" customWidth="1"/>
    <col min="842" max="842" width="18.453125" bestFit="1" customWidth="1"/>
    <col min="843" max="843" width="20.36328125" bestFit="1" customWidth="1"/>
    <col min="844" max="844" width="15.6328125" bestFit="1" customWidth="1"/>
    <col min="845" max="845" width="18.7265625" bestFit="1" customWidth="1"/>
    <col min="846" max="846" width="23.81640625" bestFit="1" customWidth="1"/>
    <col min="847" max="847" width="25.81640625" bestFit="1" customWidth="1"/>
    <col min="848" max="848" width="21.08984375" bestFit="1" customWidth="1"/>
    <col min="849" max="849" width="24.08984375" bestFit="1" customWidth="1"/>
    <col min="850" max="850" width="18.453125" bestFit="1" customWidth="1"/>
    <col min="851" max="851" width="20.36328125" bestFit="1" customWidth="1"/>
    <col min="852" max="852" width="15.6328125" bestFit="1" customWidth="1"/>
    <col min="853" max="853" width="18.7265625" bestFit="1" customWidth="1"/>
    <col min="854" max="854" width="23.81640625" bestFit="1" customWidth="1"/>
    <col min="855" max="855" width="25.81640625" bestFit="1" customWidth="1"/>
    <col min="856" max="856" width="21.08984375" bestFit="1" customWidth="1"/>
    <col min="857" max="857" width="24.08984375" bestFit="1" customWidth="1"/>
    <col min="858" max="858" width="18.453125" bestFit="1" customWidth="1"/>
    <col min="859" max="859" width="20.36328125" bestFit="1" customWidth="1"/>
    <col min="860" max="860" width="15.6328125" bestFit="1" customWidth="1"/>
    <col min="861" max="861" width="18.7265625" bestFit="1" customWidth="1"/>
    <col min="862" max="862" width="23.81640625" bestFit="1" customWidth="1"/>
    <col min="863" max="863" width="25.81640625" bestFit="1" customWidth="1"/>
    <col min="864" max="864" width="21.08984375" bestFit="1" customWidth="1"/>
    <col min="865" max="865" width="24.08984375" bestFit="1" customWidth="1"/>
    <col min="866" max="866" width="18.453125" bestFit="1" customWidth="1"/>
    <col min="867" max="867" width="20.36328125" bestFit="1" customWidth="1"/>
    <col min="868" max="868" width="15.6328125" bestFit="1" customWidth="1"/>
    <col min="869" max="869" width="18.7265625" bestFit="1" customWidth="1"/>
    <col min="870" max="870" width="23.81640625" bestFit="1" customWidth="1"/>
    <col min="871" max="871" width="25.81640625" bestFit="1" customWidth="1"/>
    <col min="872" max="872" width="21.08984375" bestFit="1" customWidth="1"/>
    <col min="873" max="873" width="24.08984375" bestFit="1" customWidth="1"/>
    <col min="874" max="874" width="18.453125" bestFit="1" customWidth="1"/>
    <col min="875" max="875" width="20.36328125" bestFit="1" customWidth="1"/>
    <col min="876" max="876" width="15.6328125" bestFit="1" customWidth="1"/>
    <col min="877" max="877" width="18.7265625" bestFit="1" customWidth="1"/>
    <col min="878" max="878" width="23.81640625" bestFit="1" customWidth="1"/>
    <col min="879" max="879" width="25.81640625" bestFit="1" customWidth="1"/>
    <col min="880" max="880" width="21.08984375" bestFit="1" customWidth="1"/>
    <col min="881" max="881" width="24.08984375" bestFit="1" customWidth="1"/>
    <col min="882" max="882" width="18.453125" bestFit="1" customWidth="1"/>
    <col min="883" max="883" width="20.36328125" bestFit="1" customWidth="1"/>
    <col min="884" max="884" width="15.6328125" bestFit="1" customWidth="1"/>
    <col min="885" max="885" width="18.7265625" bestFit="1" customWidth="1"/>
    <col min="886" max="886" width="23.81640625" bestFit="1" customWidth="1"/>
    <col min="887" max="887" width="25.81640625" bestFit="1" customWidth="1"/>
    <col min="888" max="888" width="21.08984375" bestFit="1" customWidth="1"/>
    <col min="889" max="889" width="24.08984375" bestFit="1" customWidth="1"/>
    <col min="890" max="890" width="21.1796875" bestFit="1" customWidth="1"/>
    <col min="891" max="891" width="23.08984375" bestFit="1" customWidth="1"/>
    <col min="892" max="892" width="18.36328125" bestFit="1" customWidth="1"/>
    <col min="893" max="893" width="21.453125" bestFit="1" customWidth="1"/>
    <col min="894" max="894" width="18.453125" bestFit="1" customWidth="1"/>
    <col min="895" max="895" width="20.36328125" bestFit="1" customWidth="1"/>
    <col min="896" max="896" width="15.6328125" bestFit="1" customWidth="1"/>
    <col min="897" max="897" width="18.7265625" bestFit="1" customWidth="1"/>
    <col min="898" max="898" width="24.81640625" bestFit="1" customWidth="1"/>
    <col min="899" max="899" width="26.81640625" bestFit="1" customWidth="1"/>
    <col min="900" max="900" width="22.08984375" bestFit="1" customWidth="1"/>
    <col min="901" max="901" width="25.1796875" bestFit="1" customWidth="1"/>
    <col min="902" max="902" width="18.453125" bestFit="1" customWidth="1"/>
    <col min="903" max="903" width="20.36328125" bestFit="1" customWidth="1"/>
    <col min="904" max="904" width="15.6328125" bestFit="1" customWidth="1"/>
    <col min="905" max="905" width="18.7265625" bestFit="1" customWidth="1"/>
    <col min="906" max="906" width="24.81640625" bestFit="1" customWidth="1"/>
    <col min="907" max="907" width="26.81640625" bestFit="1" customWidth="1"/>
    <col min="908" max="908" width="22.08984375" bestFit="1" customWidth="1"/>
    <col min="909" max="909" width="25.1796875" bestFit="1" customWidth="1"/>
    <col min="910" max="910" width="18.453125" bestFit="1" customWidth="1"/>
    <col min="911" max="911" width="20.36328125" bestFit="1" customWidth="1"/>
    <col min="912" max="912" width="15.6328125" bestFit="1" customWidth="1"/>
    <col min="913" max="913" width="18.7265625" bestFit="1" customWidth="1"/>
    <col min="914" max="914" width="24.81640625" bestFit="1" customWidth="1"/>
    <col min="915" max="915" width="26.81640625" bestFit="1" customWidth="1"/>
    <col min="916" max="916" width="22.08984375" bestFit="1" customWidth="1"/>
    <col min="917" max="917" width="25.1796875" bestFit="1" customWidth="1"/>
    <col min="918" max="918" width="18.453125" bestFit="1" customWidth="1"/>
    <col min="919" max="919" width="20.36328125" bestFit="1" customWidth="1"/>
    <col min="920" max="920" width="15.6328125" bestFit="1" customWidth="1"/>
    <col min="921" max="921" width="18.7265625" bestFit="1" customWidth="1"/>
    <col min="922" max="922" width="24.81640625" bestFit="1" customWidth="1"/>
    <col min="923" max="923" width="26.81640625" bestFit="1" customWidth="1"/>
    <col min="924" max="924" width="22.08984375" bestFit="1" customWidth="1"/>
    <col min="925" max="925" width="25.1796875" bestFit="1" customWidth="1"/>
    <col min="926" max="926" width="18.453125" bestFit="1" customWidth="1"/>
    <col min="927" max="927" width="20.36328125" bestFit="1" customWidth="1"/>
    <col min="928" max="928" width="15.6328125" bestFit="1" customWidth="1"/>
    <col min="929" max="929" width="18.7265625" bestFit="1" customWidth="1"/>
    <col min="930" max="930" width="24.81640625" bestFit="1" customWidth="1"/>
    <col min="931" max="931" width="26.81640625" bestFit="1" customWidth="1"/>
    <col min="932" max="932" width="22.08984375" bestFit="1" customWidth="1"/>
    <col min="933" max="933" width="25.1796875" bestFit="1" customWidth="1"/>
    <col min="934" max="934" width="18.453125" bestFit="1" customWidth="1"/>
    <col min="935" max="935" width="20.36328125" bestFit="1" customWidth="1"/>
    <col min="936" max="936" width="15.6328125" bestFit="1" customWidth="1"/>
    <col min="937" max="937" width="18.7265625" bestFit="1" customWidth="1"/>
    <col min="938" max="938" width="24.81640625" bestFit="1" customWidth="1"/>
    <col min="939" max="939" width="26.81640625" bestFit="1" customWidth="1"/>
    <col min="940" max="940" width="22.08984375" bestFit="1" customWidth="1"/>
    <col min="941" max="941" width="25.1796875" bestFit="1" customWidth="1"/>
    <col min="942" max="942" width="18.453125" bestFit="1" customWidth="1"/>
    <col min="943" max="943" width="20.36328125" bestFit="1" customWidth="1"/>
    <col min="944" max="944" width="15.6328125" bestFit="1" customWidth="1"/>
    <col min="945" max="945" width="18.7265625" bestFit="1" customWidth="1"/>
    <col min="946" max="946" width="24.81640625" bestFit="1" customWidth="1"/>
    <col min="947" max="947" width="26.81640625" bestFit="1" customWidth="1"/>
    <col min="948" max="948" width="22.08984375" bestFit="1" customWidth="1"/>
    <col min="949" max="949" width="25.1796875" bestFit="1" customWidth="1"/>
    <col min="950" max="950" width="18.453125" bestFit="1" customWidth="1"/>
    <col min="951" max="951" width="20.36328125" bestFit="1" customWidth="1"/>
    <col min="952" max="952" width="15.6328125" bestFit="1" customWidth="1"/>
    <col min="953" max="953" width="18.7265625" bestFit="1" customWidth="1"/>
    <col min="954" max="954" width="24.81640625" bestFit="1" customWidth="1"/>
    <col min="955" max="955" width="26.81640625" bestFit="1" customWidth="1"/>
    <col min="956" max="956" width="22.08984375" bestFit="1" customWidth="1"/>
    <col min="957" max="957" width="25.1796875" bestFit="1" customWidth="1"/>
    <col min="958" max="958" width="18.453125" bestFit="1" customWidth="1"/>
    <col min="959" max="959" width="20.36328125" bestFit="1" customWidth="1"/>
    <col min="960" max="960" width="15.6328125" bestFit="1" customWidth="1"/>
    <col min="961" max="961" width="18.7265625" bestFit="1" customWidth="1"/>
    <col min="962" max="962" width="24.81640625" bestFit="1" customWidth="1"/>
    <col min="963" max="963" width="26.81640625" bestFit="1" customWidth="1"/>
    <col min="964" max="964" width="22.08984375" bestFit="1" customWidth="1"/>
    <col min="965" max="965" width="25.1796875" bestFit="1" customWidth="1"/>
    <col min="966" max="966" width="18.453125" bestFit="1" customWidth="1"/>
    <col min="967" max="967" width="20.36328125" bestFit="1" customWidth="1"/>
    <col min="968" max="968" width="15.6328125" bestFit="1" customWidth="1"/>
    <col min="969" max="969" width="18.7265625" bestFit="1" customWidth="1"/>
    <col min="970" max="970" width="24.81640625" bestFit="1" customWidth="1"/>
    <col min="971" max="971" width="26.81640625" bestFit="1" customWidth="1"/>
    <col min="972" max="972" width="22.08984375" bestFit="1" customWidth="1"/>
    <col min="973" max="973" width="25.1796875" bestFit="1" customWidth="1"/>
    <col min="974" max="974" width="18.453125" bestFit="1" customWidth="1"/>
    <col min="975" max="975" width="20.36328125" bestFit="1" customWidth="1"/>
    <col min="976" max="976" width="15.6328125" bestFit="1" customWidth="1"/>
    <col min="977" max="977" width="18.7265625" bestFit="1" customWidth="1"/>
    <col min="978" max="978" width="24.81640625" bestFit="1" customWidth="1"/>
    <col min="979" max="979" width="26.81640625" bestFit="1" customWidth="1"/>
    <col min="980" max="980" width="22.08984375" bestFit="1" customWidth="1"/>
    <col min="981" max="981" width="25.1796875" bestFit="1" customWidth="1"/>
    <col min="982" max="982" width="18.453125" bestFit="1" customWidth="1"/>
    <col min="983" max="983" width="20.36328125" bestFit="1" customWidth="1"/>
    <col min="984" max="984" width="15.6328125" bestFit="1" customWidth="1"/>
    <col min="985" max="985" width="18.7265625" bestFit="1" customWidth="1"/>
    <col min="986" max="986" width="24.81640625" bestFit="1" customWidth="1"/>
    <col min="987" max="987" width="26.81640625" bestFit="1" customWidth="1"/>
    <col min="988" max="988" width="22.08984375" bestFit="1" customWidth="1"/>
    <col min="989" max="989" width="25.1796875" bestFit="1" customWidth="1"/>
    <col min="990" max="990" width="18.453125" bestFit="1" customWidth="1"/>
    <col min="991" max="991" width="20.36328125" bestFit="1" customWidth="1"/>
    <col min="992" max="992" width="15.6328125" bestFit="1" customWidth="1"/>
    <col min="993" max="993" width="18.7265625" bestFit="1" customWidth="1"/>
    <col min="994" max="994" width="24.81640625" bestFit="1" customWidth="1"/>
    <col min="995" max="995" width="26.81640625" bestFit="1" customWidth="1"/>
    <col min="996" max="996" width="22.08984375" bestFit="1" customWidth="1"/>
    <col min="997" max="997" width="25.1796875" bestFit="1" customWidth="1"/>
    <col min="998" max="998" width="18.453125" bestFit="1" customWidth="1"/>
    <col min="999" max="999" width="20.36328125" bestFit="1" customWidth="1"/>
    <col min="1000" max="1000" width="15.6328125" bestFit="1" customWidth="1"/>
    <col min="1001" max="1001" width="18.7265625" bestFit="1" customWidth="1"/>
    <col min="1002" max="1002" width="24.81640625" bestFit="1" customWidth="1"/>
    <col min="1003" max="1003" width="26.81640625" bestFit="1" customWidth="1"/>
    <col min="1004" max="1004" width="22.08984375" bestFit="1" customWidth="1"/>
    <col min="1005" max="1005" width="25.1796875" bestFit="1" customWidth="1"/>
    <col min="1006" max="1006" width="18.453125" bestFit="1" customWidth="1"/>
    <col min="1007" max="1007" width="20.36328125" bestFit="1" customWidth="1"/>
    <col min="1008" max="1008" width="15.6328125" bestFit="1" customWidth="1"/>
    <col min="1009" max="1009" width="18.7265625" bestFit="1" customWidth="1"/>
    <col min="1010" max="1010" width="24.81640625" bestFit="1" customWidth="1"/>
    <col min="1011" max="1011" width="26.81640625" bestFit="1" customWidth="1"/>
    <col min="1012" max="1012" width="22.08984375" bestFit="1" customWidth="1"/>
    <col min="1013" max="1013" width="25.1796875" bestFit="1" customWidth="1"/>
    <col min="1014" max="1014" width="22.1796875" bestFit="1" customWidth="1"/>
    <col min="1015" max="1015" width="24.08984375" bestFit="1" customWidth="1"/>
    <col min="1016" max="1016" width="19.36328125" bestFit="1" customWidth="1"/>
    <col min="1017" max="1017" width="22.453125" bestFit="1" customWidth="1"/>
    <col min="1018" max="1018" width="18.453125" bestFit="1" customWidth="1"/>
    <col min="1019" max="1019" width="20.36328125" bestFit="1" customWidth="1"/>
    <col min="1020" max="1020" width="15.6328125" bestFit="1" customWidth="1"/>
    <col min="1021" max="1021" width="18.7265625" bestFit="1" customWidth="1"/>
    <col min="1022" max="1022" width="23.6328125" bestFit="1" customWidth="1"/>
    <col min="1023" max="1023" width="25.6328125" bestFit="1" customWidth="1"/>
    <col min="1024" max="1024" width="20.81640625" bestFit="1" customWidth="1"/>
    <col min="1025" max="1025" width="23.90625" bestFit="1" customWidth="1"/>
    <col min="1026" max="1026" width="18.453125" bestFit="1" customWidth="1"/>
    <col min="1027" max="1027" width="20.36328125" bestFit="1" customWidth="1"/>
    <col min="1028" max="1028" width="15.6328125" bestFit="1" customWidth="1"/>
    <col min="1029" max="1029" width="18.7265625" bestFit="1" customWidth="1"/>
    <col min="1030" max="1030" width="23.6328125" bestFit="1" customWidth="1"/>
    <col min="1031" max="1031" width="25.6328125" bestFit="1" customWidth="1"/>
    <col min="1032" max="1032" width="20.81640625" bestFit="1" customWidth="1"/>
    <col min="1033" max="1033" width="23.90625" bestFit="1" customWidth="1"/>
    <col min="1034" max="1034" width="18.453125" bestFit="1" customWidth="1"/>
    <col min="1035" max="1035" width="20.36328125" bestFit="1" customWidth="1"/>
    <col min="1036" max="1036" width="15.6328125" bestFit="1" customWidth="1"/>
    <col min="1037" max="1037" width="18.7265625" bestFit="1" customWidth="1"/>
    <col min="1038" max="1038" width="23.6328125" bestFit="1" customWidth="1"/>
    <col min="1039" max="1039" width="25.6328125" bestFit="1" customWidth="1"/>
    <col min="1040" max="1040" width="20.81640625" bestFit="1" customWidth="1"/>
    <col min="1041" max="1041" width="23.90625" bestFit="1" customWidth="1"/>
    <col min="1042" max="1042" width="18.453125" bestFit="1" customWidth="1"/>
    <col min="1043" max="1043" width="20.36328125" bestFit="1" customWidth="1"/>
    <col min="1044" max="1044" width="15.6328125" bestFit="1" customWidth="1"/>
    <col min="1045" max="1045" width="18.7265625" bestFit="1" customWidth="1"/>
    <col min="1046" max="1046" width="23.6328125" bestFit="1" customWidth="1"/>
    <col min="1047" max="1047" width="25.6328125" bestFit="1" customWidth="1"/>
    <col min="1048" max="1048" width="20.81640625" bestFit="1" customWidth="1"/>
    <col min="1049" max="1049" width="23.90625" bestFit="1" customWidth="1"/>
    <col min="1050" max="1050" width="18.453125" bestFit="1" customWidth="1"/>
    <col min="1051" max="1051" width="20.36328125" bestFit="1" customWidth="1"/>
    <col min="1052" max="1052" width="15.6328125" bestFit="1" customWidth="1"/>
    <col min="1053" max="1053" width="18.7265625" bestFit="1" customWidth="1"/>
    <col min="1054" max="1054" width="23.6328125" bestFit="1" customWidth="1"/>
    <col min="1055" max="1055" width="25.6328125" bestFit="1" customWidth="1"/>
    <col min="1056" max="1056" width="20.81640625" bestFit="1" customWidth="1"/>
    <col min="1057" max="1057" width="23.90625" bestFit="1" customWidth="1"/>
    <col min="1058" max="1058" width="18.453125" bestFit="1" customWidth="1"/>
    <col min="1059" max="1059" width="20.36328125" bestFit="1" customWidth="1"/>
    <col min="1060" max="1060" width="15.6328125" bestFit="1" customWidth="1"/>
    <col min="1061" max="1061" width="18.7265625" bestFit="1" customWidth="1"/>
    <col min="1062" max="1062" width="24.6328125" bestFit="1" customWidth="1"/>
    <col min="1063" max="1063" width="26.6328125" bestFit="1" customWidth="1"/>
    <col min="1064" max="1064" width="21.90625" bestFit="1" customWidth="1"/>
    <col min="1065" max="1065" width="24.90625" bestFit="1" customWidth="1"/>
    <col min="1066" max="1066" width="18.453125" bestFit="1" customWidth="1"/>
    <col min="1067" max="1067" width="20.36328125" bestFit="1" customWidth="1"/>
    <col min="1068" max="1068" width="15.6328125" bestFit="1" customWidth="1"/>
    <col min="1069" max="1069" width="18.7265625" bestFit="1" customWidth="1"/>
    <col min="1070" max="1070" width="24.6328125" bestFit="1" customWidth="1"/>
    <col min="1071" max="1071" width="26.6328125" bestFit="1" customWidth="1"/>
    <col min="1072" max="1072" width="21.90625" bestFit="1" customWidth="1"/>
    <col min="1073" max="1073" width="24.90625" bestFit="1" customWidth="1"/>
    <col min="1074" max="1074" width="18.453125" bestFit="1" customWidth="1"/>
    <col min="1075" max="1075" width="20.36328125" bestFit="1" customWidth="1"/>
    <col min="1076" max="1076" width="15.6328125" bestFit="1" customWidth="1"/>
    <col min="1077" max="1077" width="18.7265625" bestFit="1" customWidth="1"/>
    <col min="1078" max="1078" width="24.6328125" bestFit="1" customWidth="1"/>
    <col min="1079" max="1079" width="26.6328125" bestFit="1" customWidth="1"/>
    <col min="1080" max="1080" width="21.90625" bestFit="1" customWidth="1"/>
    <col min="1081" max="1081" width="24.90625" bestFit="1" customWidth="1"/>
    <col min="1082" max="1082" width="18.453125" bestFit="1" customWidth="1"/>
    <col min="1083" max="1083" width="20.36328125" bestFit="1" customWidth="1"/>
    <col min="1084" max="1084" width="15.6328125" bestFit="1" customWidth="1"/>
    <col min="1085" max="1085" width="18.7265625" bestFit="1" customWidth="1"/>
    <col min="1086" max="1086" width="24.6328125" bestFit="1" customWidth="1"/>
    <col min="1087" max="1087" width="26.6328125" bestFit="1" customWidth="1"/>
    <col min="1088" max="1088" width="21.90625" bestFit="1" customWidth="1"/>
    <col min="1089" max="1089" width="24.90625" bestFit="1" customWidth="1"/>
    <col min="1090" max="1090" width="18.453125" bestFit="1" customWidth="1"/>
    <col min="1091" max="1091" width="20.36328125" bestFit="1" customWidth="1"/>
    <col min="1092" max="1092" width="15.6328125" bestFit="1" customWidth="1"/>
    <col min="1093" max="1093" width="18.7265625" bestFit="1" customWidth="1"/>
    <col min="1094" max="1094" width="24.6328125" bestFit="1" customWidth="1"/>
    <col min="1095" max="1095" width="26.6328125" bestFit="1" customWidth="1"/>
    <col min="1096" max="1096" width="21.90625" bestFit="1" customWidth="1"/>
    <col min="1097" max="1097" width="24.90625" bestFit="1" customWidth="1"/>
    <col min="1098" max="1098" width="18.453125" bestFit="1" customWidth="1"/>
    <col min="1099" max="1099" width="20.36328125" bestFit="1" customWidth="1"/>
    <col min="1100" max="1100" width="15.6328125" bestFit="1" customWidth="1"/>
    <col min="1101" max="1101" width="18.7265625" bestFit="1" customWidth="1"/>
    <col min="1102" max="1102" width="24.6328125" bestFit="1" customWidth="1"/>
    <col min="1103" max="1103" width="26.6328125" bestFit="1" customWidth="1"/>
    <col min="1104" max="1104" width="21.90625" bestFit="1" customWidth="1"/>
    <col min="1105" max="1105" width="24.90625" bestFit="1" customWidth="1"/>
    <col min="1106" max="1106" width="18.453125" bestFit="1" customWidth="1"/>
    <col min="1107" max="1107" width="20.36328125" bestFit="1" customWidth="1"/>
    <col min="1108" max="1108" width="15.6328125" bestFit="1" customWidth="1"/>
    <col min="1109" max="1109" width="18.7265625" bestFit="1" customWidth="1"/>
    <col min="1110" max="1110" width="24.6328125" bestFit="1" customWidth="1"/>
    <col min="1111" max="1111" width="26.6328125" bestFit="1" customWidth="1"/>
    <col min="1112" max="1112" width="21.90625" bestFit="1" customWidth="1"/>
    <col min="1113" max="1113" width="24.90625" bestFit="1" customWidth="1"/>
    <col min="1114" max="1114" width="18.453125" bestFit="1" customWidth="1"/>
    <col min="1115" max="1115" width="20.36328125" bestFit="1" customWidth="1"/>
    <col min="1116" max="1116" width="15.6328125" bestFit="1" customWidth="1"/>
    <col min="1117" max="1117" width="18.7265625" bestFit="1" customWidth="1"/>
    <col min="1118" max="1118" width="24.6328125" bestFit="1" customWidth="1"/>
    <col min="1119" max="1119" width="26.6328125" bestFit="1" customWidth="1"/>
    <col min="1120" max="1120" width="21.90625" bestFit="1" customWidth="1"/>
    <col min="1121" max="1121" width="24.90625" bestFit="1" customWidth="1"/>
    <col min="1122" max="1122" width="18.453125" bestFit="1" customWidth="1"/>
    <col min="1123" max="1123" width="20.36328125" bestFit="1" customWidth="1"/>
    <col min="1124" max="1124" width="15.6328125" bestFit="1" customWidth="1"/>
    <col min="1125" max="1125" width="18.7265625" bestFit="1" customWidth="1"/>
    <col min="1126" max="1126" width="24.6328125" bestFit="1" customWidth="1"/>
    <col min="1127" max="1127" width="26.6328125" bestFit="1" customWidth="1"/>
    <col min="1128" max="1128" width="21.90625" bestFit="1" customWidth="1"/>
    <col min="1129" max="1129" width="24.90625" bestFit="1" customWidth="1"/>
    <col min="1130" max="1130" width="18.453125" bestFit="1" customWidth="1"/>
    <col min="1131" max="1131" width="20.36328125" bestFit="1" customWidth="1"/>
    <col min="1132" max="1132" width="15.6328125" bestFit="1" customWidth="1"/>
    <col min="1133" max="1133" width="18.7265625" bestFit="1" customWidth="1"/>
    <col min="1134" max="1134" width="24.6328125" bestFit="1" customWidth="1"/>
    <col min="1135" max="1135" width="26.6328125" bestFit="1" customWidth="1"/>
    <col min="1136" max="1136" width="21.90625" bestFit="1" customWidth="1"/>
    <col min="1137" max="1137" width="24.90625" bestFit="1" customWidth="1"/>
    <col min="1138" max="1138" width="18.453125" bestFit="1" customWidth="1"/>
    <col min="1139" max="1139" width="20.36328125" bestFit="1" customWidth="1"/>
    <col min="1140" max="1140" width="15.6328125" bestFit="1" customWidth="1"/>
    <col min="1141" max="1141" width="18.7265625" bestFit="1" customWidth="1"/>
    <col min="1142" max="1142" width="24.6328125" bestFit="1" customWidth="1"/>
    <col min="1143" max="1143" width="26.6328125" bestFit="1" customWidth="1"/>
    <col min="1144" max="1144" width="21.90625" bestFit="1" customWidth="1"/>
    <col min="1145" max="1145" width="24.90625" bestFit="1" customWidth="1"/>
    <col min="1146" max="1146" width="18.453125" bestFit="1" customWidth="1"/>
    <col min="1147" max="1147" width="20.36328125" bestFit="1" customWidth="1"/>
    <col min="1148" max="1148" width="15.6328125" bestFit="1" customWidth="1"/>
    <col min="1149" max="1149" width="18.7265625" bestFit="1" customWidth="1"/>
    <col min="1150" max="1150" width="24.6328125" bestFit="1" customWidth="1"/>
    <col min="1151" max="1151" width="26.6328125" bestFit="1" customWidth="1"/>
    <col min="1152" max="1152" width="21.90625" bestFit="1" customWidth="1"/>
    <col min="1153" max="1153" width="24.90625" bestFit="1" customWidth="1"/>
    <col min="1154" max="1154" width="18.453125" bestFit="1" customWidth="1"/>
    <col min="1155" max="1155" width="20.36328125" bestFit="1" customWidth="1"/>
    <col min="1156" max="1156" width="15.6328125" bestFit="1" customWidth="1"/>
    <col min="1157" max="1157" width="18.7265625" bestFit="1" customWidth="1"/>
    <col min="1158" max="1158" width="24.6328125" bestFit="1" customWidth="1"/>
    <col min="1159" max="1159" width="26.6328125" bestFit="1" customWidth="1"/>
    <col min="1160" max="1160" width="21.90625" bestFit="1" customWidth="1"/>
    <col min="1161" max="1161" width="24.90625" bestFit="1" customWidth="1"/>
    <col min="1162" max="1162" width="18.453125" bestFit="1" customWidth="1"/>
    <col min="1163" max="1163" width="20.36328125" bestFit="1" customWidth="1"/>
    <col min="1164" max="1164" width="15.6328125" bestFit="1" customWidth="1"/>
    <col min="1165" max="1165" width="18.7265625" bestFit="1" customWidth="1"/>
    <col min="1166" max="1166" width="24.6328125" bestFit="1" customWidth="1"/>
    <col min="1167" max="1167" width="26.6328125" bestFit="1" customWidth="1"/>
    <col min="1168" max="1168" width="21.90625" bestFit="1" customWidth="1"/>
    <col min="1169" max="1169" width="24.90625" bestFit="1" customWidth="1"/>
    <col min="1170" max="1170" width="22" bestFit="1" customWidth="1"/>
    <col min="1171" max="1171" width="23.90625" bestFit="1" customWidth="1"/>
    <col min="1172" max="1172" width="19.1796875" bestFit="1" customWidth="1"/>
    <col min="1173" max="1173" width="22.26953125" bestFit="1" customWidth="1"/>
    <col min="1174" max="1174" width="18.453125" bestFit="1" customWidth="1"/>
    <col min="1175" max="1175" width="20.36328125" bestFit="1" customWidth="1"/>
    <col min="1176" max="1176" width="15.6328125" bestFit="1" customWidth="1"/>
    <col min="1177" max="1177" width="18.7265625" bestFit="1" customWidth="1"/>
    <col min="1178" max="1178" width="23.54296875" bestFit="1" customWidth="1"/>
    <col min="1179" max="1179" width="25.54296875" bestFit="1" customWidth="1"/>
    <col min="1180" max="1180" width="20.7265625" bestFit="1" customWidth="1"/>
    <col min="1181" max="1181" width="23.81640625" bestFit="1" customWidth="1"/>
    <col min="1182" max="1182" width="18.453125" bestFit="1" customWidth="1"/>
    <col min="1183" max="1183" width="20.36328125" bestFit="1" customWidth="1"/>
    <col min="1184" max="1184" width="15.6328125" bestFit="1" customWidth="1"/>
    <col min="1185" max="1185" width="18.7265625" bestFit="1" customWidth="1"/>
    <col min="1186" max="1186" width="23.54296875" bestFit="1" customWidth="1"/>
    <col min="1187" max="1187" width="25.54296875" bestFit="1" customWidth="1"/>
    <col min="1188" max="1188" width="20.7265625" bestFit="1" customWidth="1"/>
    <col min="1189" max="1189" width="23.81640625" bestFit="1" customWidth="1"/>
    <col min="1190" max="1190" width="18.453125" bestFit="1" customWidth="1"/>
    <col min="1191" max="1191" width="20.36328125" bestFit="1" customWidth="1"/>
    <col min="1192" max="1192" width="15.6328125" bestFit="1" customWidth="1"/>
    <col min="1193" max="1193" width="18.7265625" bestFit="1" customWidth="1"/>
    <col min="1194" max="1194" width="23.54296875" bestFit="1" customWidth="1"/>
    <col min="1195" max="1195" width="25.54296875" bestFit="1" customWidth="1"/>
    <col min="1196" max="1196" width="20.7265625" bestFit="1" customWidth="1"/>
    <col min="1197" max="1197" width="23.81640625" bestFit="1" customWidth="1"/>
    <col min="1198" max="1198" width="18.453125" bestFit="1" customWidth="1"/>
    <col min="1199" max="1199" width="20.36328125" bestFit="1" customWidth="1"/>
    <col min="1200" max="1200" width="15.6328125" bestFit="1" customWidth="1"/>
    <col min="1201" max="1201" width="18.7265625" bestFit="1" customWidth="1"/>
    <col min="1202" max="1202" width="23.54296875" bestFit="1" customWidth="1"/>
    <col min="1203" max="1203" width="25.54296875" bestFit="1" customWidth="1"/>
    <col min="1204" max="1204" width="20.7265625" bestFit="1" customWidth="1"/>
    <col min="1205" max="1205" width="23.81640625" bestFit="1" customWidth="1"/>
    <col min="1206" max="1206" width="18.453125" bestFit="1" customWidth="1"/>
    <col min="1207" max="1207" width="20.36328125" bestFit="1" customWidth="1"/>
    <col min="1208" max="1208" width="15.6328125" bestFit="1" customWidth="1"/>
    <col min="1209" max="1209" width="18.7265625" bestFit="1" customWidth="1"/>
    <col min="1210" max="1210" width="24.54296875" bestFit="1" customWidth="1"/>
    <col min="1211" max="1211" width="26.54296875" bestFit="1" customWidth="1"/>
    <col min="1212" max="1212" width="21.81640625" bestFit="1" customWidth="1"/>
    <col min="1213" max="1213" width="24.81640625" bestFit="1" customWidth="1"/>
    <col min="1214" max="1214" width="18.453125" bestFit="1" customWidth="1"/>
    <col min="1215" max="1215" width="20.36328125" bestFit="1" customWidth="1"/>
    <col min="1216" max="1216" width="15.6328125" bestFit="1" customWidth="1"/>
    <col min="1217" max="1217" width="18.7265625" bestFit="1" customWidth="1"/>
    <col min="1218" max="1218" width="24.54296875" bestFit="1" customWidth="1"/>
    <col min="1219" max="1219" width="26.54296875" bestFit="1" customWidth="1"/>
    <col min="1220" max="1220" width="21.81640625" bestFit="1" customWidth="1"/>
    <col min="1221" max="1221" width="24.81640625" bestFit="1" customWidth="1"/>
    <col min="1222" max="1222" width="18.453125" bestFit="1" customWidth="1"/>
    <col min="1223" max="1223" width="20.36328125" bestFit="1" customWidth="1"/>
    <col min="1224" max="1224" width="15.6328125" bestFit="1" customWidth="1"/>
    <col min="1225" max="1225" width="18.7265625" bestFit="1" customWidth="1"/>
    <col min="1226" max="1226" width="24.54296875" bestFit="1" customWidth="1"/>
    <col min="1227" max="1227" width="26.54296875" bestFit="1" customWidth="1"/>
    <col min="1228" max="1228" width="21.81640625" bestFit="1" customWidth="1"/>
    <col min="1229" max="1229" width="24.81640625" bestFit="1" customWidth="1"/>
    <col min="1230" max="1230" width="18.453125" bestFit="1" customWidth="1"/>
    <col min="1231" max="1231" width="20.36328125" bestFit="1" customWidth="1"/>
    <col min="1232" max="1232" width="15.6328125" bestFit="1" customWidth="1"/>
    <col min="1233" max="1233" width="18.7265625" bestFit="1" customWidth="1"/>
    <col min="1234" max="1234" width="24.54296875" bestFit="1" customWidth="1"/>
    <col min="1235" max="1235" width="26.54296875" bestFit="1" customWidth="1"/>
    <col min="1236" max="1236" width="21.81640625" bestFit="1" customWidth="1"/>
    <col min="1237" max="1237" width="24.81640625" bestFit="1" customWidth="1"/>
    <col min="1238" max="1238" width="18.453125" bestFit="1" customWidth="1"/>
    <col min="1239" max="1239" width="20.36328125" bestFit="1" customWidth="1"/>
    <col min="1240" max="1240" width="15.6328125" bestFit="1" customWidth="1"/>
    <col min="1241" max="1241" width="18.7265625" bestFit="1" customWidth="1"/>
    <col min="1242" max="1242" width="24.54296875" bestFit="1" customWidth="1"/>
    <col min="1243" max="1243" width="26.54296875" bestFit="1" customWidth="1"/>
    <col min="1244" max="1244" width="21.81640625" bestFit="1" customWidth="1"/>
    <col min="1245" max="1245" width="24.81640625" bestFit="1" customWidth="1"/>
    <col min="1246" max="1246" width="18.453125" bestFit="1" customWidth="1"/>
    <col min="1247" max="1247" width="20.36328125" bestFit="1" customWidth="1"/>
    <col min="1248" max="1248" width="15.6328125" bestFit="1" customWidth="1"/>
    <col min="1249" max="1249" width="18.7265625" bestFit="1" customWidth="1"/>
    <col min="1250" max="1250" width="24.54296875" bestFit="1" customWidth="1"/>
    <col min="1251" max="1251" width="26.54296875" bestFit="1" customWidth="1"/>
    <col min="1252" max="1252" width="21.81640625" bestFit="1" customWidth="1"/>
    <col min="1253" max="1253" width="24.81640625" bestFit="1" customWidth="1"/>
    <col min="1254" max="1254" width="18.453125" bestFit="1" customWidth="1"/>
    <col min="1255" max="1255" width="20.36328125" bestFit="1" customWidth="1"/>
    <col min="1256" max="1256" width="15.6328125" bestFit="1" customWidth="1"/>
    <col min="1257" max="1257" width="18.7265625" bestFit="1" customWidth="1"/>
    <col min="1258" max="1258" width="24.54296875" bestFit="1" customWidth="1"/>
    <col min="1259" max="1259" width="26.54296875" bestFit="1" customWidth="1"/>
    <col min="1260" max="1260" width="21.81640625" bestFit="1" customWidth="1"/>
    <col min="1261" max="1261" width="24.81640625" bestFit="1" customWidth="1"/>
    <col min="1262" max="1262" width="18.453125" bestFit="1" customWidth="1"/>
    <col min="1263" max="1263" width="20.36328125" bestFit="1" customWidth="1"/>
    <col min="1264" max="1264" width="15.6328125" bestFit="1" customWidth="1"/>
    <col min="1265" max="1265" width="18.7265625" bestFit="1" customWidth="1"/>
    <col min="1266" max="1266" width="24.54296875" bestFit="1" customWidth="1"/>
    <col min="1267" max="1267" width="26.54296875" bestFit="1" customWidth="1"/>
    <col min="1268" max="1268" width="21.81640625" bestFit="1" customWidth="1"/>
    <col min="1269" max="1269" width="24.81640625" bestFit="1" customWidth="1"/>
    <col min="1270" max="1270" width="21.90625" bestFit="1" customWidth="1"/>
    <col min="1271" max="1271" width="23.81640625" bestFit="1" customWidth="1"/>
    <col min="1272" max="1272" width="19.08984375" bestFit="1" customWidth="1"/>
    <col min="1273" max="1273" width="22.1796875" bestFit="1" customWidth="1"/>
    <col min="1274" max="1274" width="18.453125" bestFit="1" customWidth="1"/>
    <col min="1275" max="1275" width="20.36328125" bestFit="1" customWidth="1"/>
    <col min="1276" max="1276" width="15.6328125" bestFit="1" customWidth="1"/>
    <col min="1277" max="1277" width="18.7265625" bestFit="1" customWidth="1"/>
    <col min="1278" max="1278" width="23.90625" bestFit="1" customWidth="1"/>
    <col min="1279" max="1279" width="25.90625" bestFit="1" customWidth="1"/>
    <col min="1280" max="1280" width="21.1796875" bestFit="1" customWidth="1"/>
    <col min="1281" max="1281" width="24.1796875" bestFit="1" customWidth="1"/>
    <col min="1282" max="1282" width="18.453125" bestFit="1" customWidth="1"/>
    <col min="1283" max="1283" width="20.36328125" bestFit="1" customWidth="1"/>
    <col min="1284" max="1284" width="15.6328125" bestFit="1" customWidth="1"/>
    <col min="1285" max="1285" width="18.7265625" bestFit="1" customWidth="1"/>
    <col min="1286" max="1286" width="23.90625" bestFit="1" customWidth="1"/>
    <col min="1287" max="1287" width="25.90625" bestFit="1" customWidth="1"/>
    <col min="1288" max="1288" width="21.1796875" bestFit="1" customWidth="1"/>
    <col min="1289" max="1289" width="24.1796875" bestFit="1" customWidth="1"/>
    <col min="1290" max="1290" width="18.453125" bestFit="1" customWidth="1"/>
    <col min="1291" max="1291" width="20.36328125" bestFit="1" customWidth="1"/>
    <col min="1292" max="1292" width="15.6328125" bestFit="1" customWidth="1"/>
    <col min="1293" max="1293" width="18.7265625" bestFit="1" customWidth="1"/>
    <col min="1294" max="1294" width="23.90625" bestFit="1" customWidth="1"/>
    <col min="1295" max="1295" width="25.90625" bestFit="1" customWidth="1"/>
    <col min="1296" max="1296" width="21.1796875" bestFit="1" customWidth="1"/>
    <col min="1297" max="1297" width="24.1796875" bestFit="1" customWidth="1"/>
    <col min="1298" max="1298" width="18.453125" bestFit="1" customWidth="1"/>
    <col min="1299" max="1299" width="20.36328125" bestFit="1" customWidth="1"/>
    <col min="1300" max="1300" width="15.6328125" bestFit="1" customWidth="1"/>
    <col min="1301" max="1301" width="18.7265625" bestFit="1" customWidth="1"/>
    <col min="1302" max="1302" width="24.90625" bestFit="1" customWidth="1"/>
    <col min="1303" max="1303" width="26.90625" bestFit="1" customWidth="1"/>
    <col min="1304" max="1304" width="22.1796875" bestFit="1" customWidth="1"/>
    <col min="1305" max="1305" width="25.26953125" bestFit="1" customWidth="1"/>
    <col min="1306" max="1306" width="18.453125" bestFit="1" customWidth="1"/>
    <col min="1307" max="1307" width="20.36328125" bestFit="1" customWidth="1"/>
    <col min="1308" max="1308" width="15.6328125" bestFit="1" customWidth="1"/>
    <col min="1309" max="1309" width="18.7265625" bestFit="1" customWidth="1"/>
    <col min="1310" max="1310" width="24.90625" bestFit="1" customWidth="1"/>
    <col min="1311" max="1311" width="26.90625" bestFit="1" customWidth="1"/>
    <col min="1312" max="1312" width="22.1796875" bestFit="1" customWidth="1"/>
    <col min="1313" max="1313" width="25.26953125" bestFit="1" customWidth="1"/>
    <col min="1314" max="1314" width="18.453125" bestFit="1" customWidth="1"/>
    <col min="1315" max="1315" width="20.36328125" bestFit="1" customWidth="1"/>
    <col min="1316" max="1316" width="15.6328125" bestFit="1" customWidth="1"/>
    <col min="1317" max="1317" width="18.7265625" bestFit="1" customWidth="1"/>
    <col min="1318" max="1318" width="24.90625" bestFit="1" customWidth="1"/>
    <col min="1319" max="1319" width="26.90625" bestFit="1" customWidth="1"/>
    <col min="1320" max="1320" width="22.1796875" bestFit="1" customWidth="1"/>
    <col min="1321" max="1321" width="25.26953125" bestFit="1" customWidth="1"/>
    <col min="1322" max="1322" width="18.453125" bestFit="1" customWidth="1"/>
    <col min="1323" max="1323" width="20.36328125" bestFit="1" customWidth="1"/>
    <col min="1324" max="1324" width="15.6328125" bestFit="1" customWidth="1"/>
    <col min="1325" max="1325" width="18.7265625" bestFit="1" customWidth="1"/>
    <col min="1326" max="1326" width="24.90625" bestFit="1" customWidth="1"/>
    <col min="1327" max="1327" width="26.90625" bestFit="1" customWidth="1"/>
    <col min="1328" max="1328" width="22.1796875" bestFit="1" customWidth="1"/>
    <col min="1329" max="1329" width="25.26953125" bestFit="1" customWidth="1"/>
    <col min="1330" max="1330" width="18.453125" bestFit="1" customWidth="1"/>
    <col min="1331" max="1331" width="20.36328125" bestFit="1" customWidth="1"/>
    <col min="1332" max="1332" width="15.6328125" bestFit="1" customWidth="1"/>
    <col min="1333" max="1333" width="18.7265625" bestFit="1" customWidth="1"/>
    <col min="1334" max="1334" width="24.90625" bestFit="1" customWidth="1"/>
    <col min="1335" max="1335" width="26.90625" bestFit="1" customWidth="1"/>
    <col min="1336" max="1336" width="22.1796875" bestFit="1" customWidth="1"/>
    <col min="1337" max="1337" width="25.26953125" bestFit="1" customWidth="1"/>
    <col min="1338" max="1338" width="18.453125" bestFit="1" customWidth="1"/>
    <col min="1339" max="1339" width="20.36328125" bestFit="1" customWidth="1"/>
    <col min="1340" max="1340" width="15.6328125" bestFit="1" customWidth="1"/>
    <col min="1341" max="1341" width="18.7265625" bestFit="1" customWidth="1"/>
    <col min="1342" max="1342" width="24.90625" bestFit="1" customWidth="1"/>
    <col min="1343" max="1343" width="26.90625" bestFit="1" customWidth="1"/>
    <col min="1344" max="1344" width="22.1796875" bestFit="1" customWidth="1"/>
    <col min="1345" max="1345" width="25.26953125" bestFit="1" customWidth="1"/>
    <col min="1346" max="1346" width="18.453125" bestFit="1" customWidth="1"/>
    <col min="1347" max="1347" width="20.36328125" bestFit="1" customWidth="1"/>
    <col min="1348" max="1348" width="15.6328125" bestFit="1" customWidth="1"/>
    <col min="1349" max="1349" width="18.7265625" bestFit="1" customWidth="1"/>
    <col min="1350" max="1350" width="24.90625" bestFit="1" customWidth="1"/>
    <col min="1351" max="1351" width="26.90625" bestFit="1" customWidth="1"/>
    <col min="1352" max="1352" width="22.1796875" bestFit="1" customWidth="1"/>
    <col min="1353" max="1353" width="25.26953125" bestFit="1" customWidth="1"/>
    <col min="1354" max="1354" width="18.453125" bestFit="1" customWidth="1"/>
    <col min="1355" max="1355" width="20.36328125" bestFit="1" customWidth="1"/>
    <col min="1356" max="1356" width="15.6328125" bestFit="1" customWidth="1"/>
    <col min="1357" max="1357" width="18.7265625" bestFit="1" customWidth="1"/>
    <col min="1358" max="1358" width="24.90625" bestFit="1" customWidth="1"/>
    <col min="1359" max="1359" width="26.90625" bestFit="1" customWidth="1"/>
    <col min="1360" max="1360" width="22.1796875" bestFit="1" customWidth="1"/>
    <col min="1361" max="1361" width="25.26953125" bestFit="1" customWidth="1"/>
    <col min="1362" max="1362" width="18.453125" bestFit="1" customWidth="1"/>
    <col min="1363" max="1363" width="20.36328125" bestFit="1" customWidth="1"/>
    <col min="1364" max="1364" width="15.6328125" bestFit="1" customWidth="1"/>
    <col min="1365" max="1365" width="18.7265625" bestFit="1" customWidth="1"/>
    <col min="1366" max="1366" width="24.90625" bestFit="1" customWidth="1"/>
    <col min="1367" max="1367" width="26.90625" bestFit="1" customWidth="1"/>
    <col min="1368" max="1368" width="22.1796875" bestFit="1" customWidth="1"/>
    <col min="1369" max="1369" width="25.26953125" bestFit="1" customWidth="1"/>
    <col min="1370" max="1370" width="18.453125" bestFit="1" customWidth="1"/>
    <col min="1371" max="1371" width="20.36328125" bestFit="1" customWidth="1"/>
    <col min="1372" max="1372" width="15.6328125" bestFit="1" customWidth="1"/>
    <col min="1373" max="1373" width="18.7265625" bestFit="1" customWidth="1"/>
    <col min="1374" max="1374" width="24.90625" bestFit="1" customWidth="1"/>
    <col min="1375" max="1375" width="26.90625" bestFit="1" customWidth="1"/>
    <col min="1376" max="1376" width="22.1796875" bestFit="1" customWidth="1"/>
    <col min="1377" max="1377" width="25.26953125" bestFit="1" customWidth="1"/>
    <col min="1378" max="1378" width="18.453125" bestFit="1" customWidth="1"/>
    <col min="1379" max="1379" width="20.36328125" bestFit="1" customWidth="1"/>
    <col min="1380" max="1380" width="15.6328125" bestFit="1" customWidth="1"/>
    <col min="1381" max="1381" width="18.7265625" bestFit="1" customWidth="1"/>
    <col min="1382" max="1382" width="24.90625" bestFit="1" customWidth="1"/>
    <col min="1383" max="1383" width="26.90625" bestFit="1" customWidth="1"/>
    <col min="1384" max="1384" width="22.1796875" bestFit="1" customWidth="1"/>
    <col min="1385" max="1385" width="25.26953125" bestFit="1" customWidth="1"/>
    <col min="1386" max="1386" width="18.453125" bestFit="1" customWidth="1"/>
    <col min="1387" max="1387" width="20.36328125" bestFit="1" customWidth="1"/>
    <col min="1388" max="1388" width="15.6328125" bestFit="1" customWidth="1"/>
    <col min="1389" max="1389" width="18.7265625" bestFit="1" customWidth="1"/>
    <col min="1390" max="1390" width="24.90625" bestFit="1" customWidth="1"/>
    <col min="1391" max="1391" width="26.90625" bestFit="1" customWidth="1"/>
    <col min="1392" max="1392" width="22.1796875" bestFit="1" customWidth="1"/>
    <col min="1393" max="1393" width="25.26953125" bestFit="1" customWidth="1"/>
    <col min="1394" max="1394" width="18.453125" bestFit="1" customWidth="1"/>
    <col min="1395" max="1395" width="20.36328125" bestFit="1" customWidth="1"/>
    <col min="1396" max="1396" width="15.6328125" bestFit="1" customWidth="1"/>
    <col min="1397" max="1397" width="18.7265625" bestFit="1" customWidth="1"/>
    <col min="1398" max="1398" width="24.90625" bestFit="1" customWidth="1"/>
    <col min="1399" max="1399" width="26.90625" bestFit="1" customWidth="1"/>
    <col min="1400" max="1400" width="22.1796875" bestFit="1" customWidth="1"/>
    <col min="1401" max="1401" width="25.26953125" bestFit="1" customWidth="1"/>
    <col min="1402" max="1402" width="22.26953125" bestFit="1" customWidth="1"/>
    <col min="1403" max="1403" width="24.1796875" bestFit="1" customWidth="1"/>
    <col min="1404" max="1404" width="19.453125" bestFit="1" customWidth="1"/>
    <col min="1405" max="1405" width="22.54296875" bestFit="1" customWidth="1"/>
    <col min="1406" max="1406" width="18.453125" bestFit="1" customWidth="1"/>
    <col min="1407" max="1407" width="20.36328125" bestFit="1" customWidth="1"/>
    <col min="1408" max="1408" width="15.6328125" bestFit="1" customWidth="1"/>
    <col min="1409" max="1409" width="18.7265625" bestFit="1" customWidth="1"/>
    <col min="1410" max="1410" width="23.7265625" bestFit="1" customWidth="1"/>
    <col min="1411" max="1411" width="25.7265625" bestFit="1" customWidth="1"/>
    <col min="1412" max="1412" width="20.90625" bestFit="1" customWidth="1"/>
    <col min="1413" max="1413" width="24" bestFit="1" customWidth="1"/>
    <col min="1414" max="1414" width="18.453125" bestFit="1" customWidth="1"/>
    <col min="1415" max="1415" width="20.36328125" bestFit="1" customWidth="1"/>
    <col min="1416" max="1416" width="15.6328125" bestFit="1" customWidth="1"/>
    <col min="1417" max="1417" width="18.7265625" bestFit="1" customWidth="1"/>
    <col min="1418" max="1418" width="23.7265625" bestFit="1" customWidth="1"/>
    <col min="1419" max="1419" width="25.7265625" bestFit="1" customWidth="1"/>
    <col min="1420" max="1420" width="20.90625" bestFit="1" customWidth="1"/>
    <col min="1421" max="1421" width="24" bestFit="1" customWidth="1"/>
    <col min="1422" max="1422" width="18.453125" bestFit="1" customWidth="1"/>
    <col min="1423" max="1423" width="20.36328125" bestFit="1" customWidth="1"/>
    <col min="1424" max="1424" width="15.6328125" bestFit="1" customWidth="1"/>
    <col min="1425" max="1425" width="18.7265625" bestFit="1" customWidth="1"/>
    <col min="1426" max="1426" width="23.7265625" bestFit="1" customWidth="1"/>
    <col min="1427" max="1427" width="25.7265625" bestFit="1" customWidth="1"/>
    <col min="1428" max="1428" width="20.90625" bestFit="1" customWidth="1"/>
    <col min="1429" max="1429" width="24" bestFit="1" customWidth="1"/>
    <col min="1430" max="1430" width="18.453125" bestFit="1" customWidth="1"/>
    <col min="1431" max="1431" width="20.36328125" bestFit="1" customWidth="1"/>
    <col min="1432" max="1432" width="15.6328125" bestFit="1" customWidth="1"/>
    <col min="1433" max="1433" width="18.7265625" bestFit="1" customWidth="1"/>
    <col min="1434" max="1434" width="23.7265625" bestFit="1" customWidth="1"/>
    <col min="1435" max="1435" width="25.7265625" bestFit="1" customWidth="1"/>
    <col min="1436" max="1436" width="20.90625" bestFit="1" customWidth="1"/>
    <col min="1437" max="1437" width="24" bestFit="1" customWidth="1"/>
    <col min="1438" max="1438" width="22.08984375" bestFit="1" customWidth="1"/>
    <col min="1439" max="1439" width="24" bestFit="1" customWidth="1"/>
    <col min="1440" max="1440" width="19.26953125" bestFit="1" customWidth="1"/>
    <col min="1441" max="1441" width="22.36328125" bestFit="1" customWidth="1"/>
    <col min="1442" max="1442" width="23.26953125" bestFit="1" customWidth="1"/>
    <col min="1443" max="1443" width="25.26953125" bestFit="1" customWidth="1"/>
    <col min="1444" max="1444" width="20.453125" bestFit="1" customWidth="1"/>
    <col min="1445" max="1445" width="23.54296875" bestFit="1" customWidth="1"/>
  </cols>
  <sheetData>
    <row r="1" spans="1:9" x14ac:dyDescent="0.5">
      <c r="A1" s="514" t="s">
        <v>374</v>
      </c>
      <c r="B1" s="206" t="s">
        <v>1108</v>
      </c>
    </row>
    <row r="2" spans="1:9" x14ac:dyDescent="0.5">
      <c r="A2" s="515" t="s">
        <v>717</v>
      </c>
      <c r="B2" s="206" t="s">
        <v>1108</v>
      </c>
    </row>
    <row r="3" spans="1:9" x14ac:dyDescent="0.5">
      <c r="A3" s="515" t="s">
        <v>745</v>
      </c>
      <c r="B3" s="206" t="s">
        <v>1108</v>
      </c>
      <c r="C3" s="30"/>
      <c r="F3" s="30"/>
    </row>
    <row r="4" spans="1:9" x14ac:dyDescent="0.5">
      <c r="A4" s="515" t="s">
        <v>383</v>
      </c>
      <c r="B4" s="206" t="s">
        <v>1108</v>
      </c>
    </row>
    <row r="5" spans="1:9" x14ac:dyDescent="0.5">
      <c r="A5" s="515" t="s">
        <v>862</v>
      </c>
      <c r="B5" s="206" t="s">
        <v>1108</v>
      </c>
    </row>
    <row r="6" spans="1:9" x14ac:dyDescent="0.5">
      <c r="A6"/>
      <c r="B6"/>
    </row>
    <row r="7" spans="1:9" x14ac:dyDescent="0.5">
      <c r="A7" s="517"/>
      <c r="B7" s="517"/>
      <c r="C7" s="517"/>
      <c r="D7" s="518"/>
      <c r="E7" s="516" t="s">
        <v>711</v>
      </c>
      <c r="F7" s="516" t="s">
        <v>712</v>
      </c>
      <c r="G7" s="517"/>
      <c r="H7" s="517"/>
      <c r="I7" s="517"/>
    </row>
    <row r="8" spans="1:9" x14ac:dyDescent="0.5">
      <c r="A8" s="517"/>
      <c r="B8" s="517"/>
      <c r="C8" s="517"/>
      <c r="D8" s="541"/>
      <c r="E8" s="538" t="s">
        <v>1454</v>
      </c>
      <c r="F8" s="537"/>
      <c r="G8" s="537"/>
      <c r="H8" s="537"/>
      <c r="I8" s="537"/>
    </row>
    <row r="9" spans="1:9" ht="17" thickBot="1" x14ac:dyDescent="0.55000000000000004">
      <c r="A9" s="519" t="s">
        <v>7</v>
      </c>
      <c r="B9" s="519" t="s">
        <v>710</v>
      </c>
      <c r="C9" s="519" t="s">
        <v>17</v>
      </c>
      <c r="D9" s="540" t="s">
        <v>375</v>
      </c>
      <c r="E9" s="539" t="s">
        <v>200</v>
      </c>
      <c r="F9" s="539" t="s">
        <v>201</v>
      </c>
      <c r="G9" s="539" t="s">
        <v>1352</v>
      </c>
      <c r="H9" s="539" t="s">
        <v>1353</v>
      </c>
      <c r="I9" s="539" t="s">
        <v>1354</v>
      </c>
    </row>
    <row r="10" spans="1:9" x14ac:dyDescent="0.5">
      <c r="A10" s="529" t="s">
        <v>79</v>
      </c>
      <c r="B10" s="533" t="s">
        <v>124</v>
      </c>
      <c r="C10" s="532"/>
      <c r="D10" s="532"/>
      <c r="E10" s="520">
        <v>25719.200000000001</v>
      </c>
      <c r="F10" s="521">
        <v>8303182.6086956523</v>
      </c>
      <c r="G10" s="521">
        <v>25536</v>
      </c>
      <c r="H10" s="521">
        <v>9548660</v>
      </c>
      <c r="I10" s="522">
        <v>-2103429.2294445923</v>
      </c>
    </row>
    <row r="11" spans="1:9" x14ac:dyDescent="0.5">
      <c r="A11" s="531" t="s">
        <v>1452</v>
      </c>
      <c r="B11" s="530"/>
      <c r="C11" s="530"/>
      <c r="D11" s="530"/>
      <c r="E11" s="523">
        <v>25719.200000000001</v>
      </c>
      <c r="F11" s="524">
        <v>8303182.6086956523</v>
      </c>
      <c r="G11" s="524">
        <v>25536</v>
      </c>
      <c r="H11" s="524">
        <v>9548660</v>
      </c>
      <c r="I11" s="525">
        <v>-2103429.2294445923</v>
      </c>
    </row>
    <row r="12" spans="1:9" x14ac:dyDescent="0.5">
      <c r="A12" s="529" t="s">
        <v>709</v>
      </c>
      <c r="B12" s="531" t="s">
        <v>98</v>
      </c>
      <c r="C12" s="532"/>
      <c r="D12" s="532"/>
      <c r="E12" s="523">
        <v>13840.4</v>
      </c>
      <c r="F12" s="524">
        <v>5977313.0434782607</v>
      </c>
      <c r="G12" s="524">
        <v>13727</v>
      </c>
      <c r="H12" s="524">
        <v>6873910</v>
      </c>
      <c r="I12" s="525">
        <v>561888.09267757484</v>
      </c>
    </row>
    <row r="13" spans="1:9" ht="17" thickBot="1" x14ac:dyDescent="0.55000000000000004">
      <c r="A13" s="531" t="s">
        <v>1453</v>
      </c>
      <c r="B13" s="530"/>
      <c r="C13" s="530"/>
      <c r="D13" s="530"/>
      <c r="E13" s="523">
        <v>13840.4</v>
      </c>
      <c r="F13" s="524">
        <v>5977313.0434782607</v>
      </c>
      <c r="G13" s="524">
        <v>13727</v>
      </c>
      <c r="H13" s="524">
        <v>6873910</v>
      </c>
      <c r="I13" s="525">
        <v>561888.09267757484</v>
      </c>
    </row>
    <row r="14" spans="1:9" ht="17" thickBot="1" x14ac:dyDescent="0.55000000000000004">
      <c r="A14" s="536" t="s">
        <v>708</v>
      </c>
      <c r="B14" s="534"/>
      <c r="C14" s="534"/>
      <c r="D14" s="535"/>
      <c r="E14" s="526">
        <v>39559.599999999999</v>
      </c>
      <c r="F14" s="527">
        <v>14280495.652173914</v>
      </c>
      <c r="G14" s="527">
        <v>39263</v>
      </c>
      <c r="H14" s="527">
        <v>16422570</v>
      </c>
      <c r="I14" s="528">
        <v>-1541541.1367670174</v>
      </c>
    </row>
    <row r="15" spans="1:9" x14ac:dyDescent="0.5">
      <c r="A15"/>
      <c r="B15"/>
    </row>
    <row r="16" spans="1:9" x14ac:dyDescent="0.5">
      <c r="A16"/>
      <c r="B16"/>
    </row>
    <row r="17" spans="1:2" x14ac:dyDescent="0.5">
      <c r="A17"/>
      <c r="B17"/>
    </row>
    <row r="18" spans="1:2" x14ac:dyDescent="0.5">
      <c r="A18"/>
      <c r="B18"/>
    </row>
    <row r="19" spans="1:2" x14ac:dyDescent="0.5">
      <c r="A19"/>
      <c r="B19"/>
    </row>
    <row r="20" spans="1:2" x14ac:dyDescent="0.5">
      <c r="A20"/>
      <c r="B20"/>
    </row>
    <row r="21" spans="1:2" x14ac:dyDescent="0.5">
      <c r="A21"/>
      <c r="B21"/>
    </row>
    <row r="22" spans="1:2" x14ac:dyDescent="0.5">
      <c r="A22"/>
      <c r="B22"/>
    </row>
    <row r="23" spans="1:2" x14ac:dyDescent="0.5">
      <c r="A23"/>
      <c r="B23"/>
    </row>
    <row r="24" spans="1:2" x14ac:dyDescent="0.5">
      <c r="A24"/>
      <c r="B24"/>
    </row>
    <row r="25" spans="1:2" x14ac:dyDescent="0.5">
      <c r="A25"/>
      <c r="B25"/>
    </row>
    <row r="26" spans="1:2" x14ac:dyDescent="0.5">
      <c r="A26"/>
      <c r="B26"/>
    </row>
    <row r="27" spans="1:2" x14ac:dyDescent="0.5">
      <c r="A27"/>
      <c r="B27"/>
    </row>
    <row r="28" spans="1:2" x14ac:dyDescent="0.5">
      <c r="A28"/>
      <c r="B28"/>
    </row>
    <row r="29" spans="1:2" x14ac:dyDescent="0.5">
      <c r="A29"/>
      <c r="B29"/>
    </row>
    <row r="30" spans="1:2" x14ac:dyDescent="0.5">
      <c r="A30"/>
      <c r="B30"/>
    </row>
    <row r="31" spans="1:2" x14ac:dyDescent="0.5">
      <c r="A31"/>
      <c r="B31"/>
    </row>
    <row r="32" spans="1:2" x14ac:dyDescent="0.5">
      <c r="A32"/>
      <c r="B32"/>
    </row>
    <row r="33" spans="1:2" x14ac:dyDescent="0.5">
      <c r="A33"/>
      <c r="B33"/>
    </row>
    <row r="34" spans="1:2" x14ac:dyDescent="0.5">
      <c r="A34"/>
      <c r="B34"/>
    </row>
    <row r="35" spans="1:2" ht="17" thickBot="1" x14ac:dyDescent="0.55000000000000004">
      <c r="A35"/>
      <c r="B35"/>
    </row>
    <row r="36" spans="1:2" ht="17" thickBot="1" x14ac:dyDescent="0.55000000000000004">
      <c r="A36"/>
      <c r="B36"/>
    </row>
    <row r="37" spans="1:2" x14ac:dyDescent="0.5">
      <c r="A37"/>
      <c r="B37"/>
    </row>
    <row r="38" spans="1:2" x14ac:dyDescent="0.5">
      <c r="A38"/>
      <c r="B38"/>
    </row>
    <row r="39" spans="1:2" x14ac:dyDescent="0.5">
      <c r="A39"/>
      <c r="B39"/>
    </row>
    <row r="40" spans="1:2" x14ac:dyDescent="0.5">
      <c r="A40"/>
      <c r="B40"/>
    </row>
    <row r="41" spans="1:2" x14ac:dyDescent="0.5">
      <c r="A41"/>
      <c r="B41"/>
    </row>
    <row r="42" spans="1:2" x14ac:dyDescent="0.5">
      <c r="A42"/>
      <c r="B42"/>
    </row>
    <row r="43" spans="1:2" x14ac:dyDescent="0.5">
      <c r="A43"/>
      <c r="B43"/>
    </row>
    <row r="44" spans="1:2" x14ac:dyDescent="0.5">
      <c r="A44"/>
      <c r="B44"/>
    </row>
    <row r="45" spans="1:2" x14ac:dyDescent="0.5">
      <c r="A45"/>
      <c r="B45"/>
    </row>
    <row r="46" spans="1:2" x14ac:dyDescent="0.5">
      <c r="A46"/>
      <c r="B46"/>
    </row>
    <row r="47" spans="1:2" x14ac:dyDescent="0.5">
      <c r="A47"/>
      <c r="B47"/>
    </row>
    <row r="48" spans="1:2" x14ac:dyDescent="0.5">
      <c r="A48"/>
      <c r="B48"/>
    </row>
    <row r="49" spans="1:2" x14ac:dyDescent="0.5">
      <c r="A49"/>
      <c r="B49"/>
    </row>
    <row r="50" spans="1:2" x14ac:dyDescent="0.5">
      <c r="A50"/>
      <c r="B50"/>
    </row>
    <row r="51" spans="1:2" x14ac:dyDescent="0.5">
      <c r="A51"/>
      <c r="B51"/>
    </row>
    <row r="52" spans="1:2" x14ac:dyDescent="0.5">
      <c r="A52"/>
      <c r="B52"/>
    </row>
    <row r="53" spans="1:2" x14ac:dyDescent="0.5">
      <c r="A53"/>
      <c r="B53"/>
    </row>
    <row r="54" spans="1:2" x14ac:dyDescent="0.5">
      <c r="A54"/>
      <c r="B54"/>
    </row>
    <row r="55" spans="1:2" x14ac:dyDescent="0.5">
      <c r="A55"/>
      <c r="B55"/>
    </row>
    <row r="56" spans="1:2" x14ac:dyDescent="0.5">
      <c r="A56"/>
      <c r="B56"/>
    </row>
    <row r="57" spans="1:2" x14ac:dyDescent="0.5">
      <c r="A57"/>
      <c r="B57"/>
    </row>
    <row r="58" spans="1:2" x14ac:dyDescent="0.5">
      <c r="A58"/>
      <c r="B58"/>
    </row>
    <row r="59" spans="1:2" x14ac:dyDescent="0.5">
      <c r="A59"/>
      <c r="B59"/>
    </row>
    <row r="60" spans="1:2" x14ac:dyDescent="0.5">
      <c r="A60"/>
      <c r="B60"/>
    </row>
    <row r="61" spans="1:2" x14ac:dyDescent="0.5">
      <c r="A61"/>
      <c r="B61"/>
    </row>
    <row r="62" spans="1:2" x14ac:dyDescent="0.5">
      <c r="A62"/>
      <c r="B62"/>
    </row>
    <row r="63" spans="1:2" x14ac:dyDescent="0.5">
      <c r="A63"/>
      <c r="B63"/>
    </row>
    <row r="64" spans="1:2" x14ac:dyDescent="0.5">
      <c r="A64"/>
      <c r="B64"/>
    </row>
    <row r="65" spans="1:2" x14ac:dyDescent="0.5">
      <c r="A65"/>
      <c r="B65"/>
    </row>
    <row r="66" spans="1:2" x14ac:dyDescent="0.5">
      <c r="A66"/>
      <c r="B66"/>
    </row>
    <row r="67" spans="1:2" x14ac:dyDescent="0.5">
      <c r="A67"/>
      <c r="B67"/>
    </row>
    <row r="68" spans="1:2" x14ac:dyDescent="0.5">
      <c r="A68"/>
      <c r="B68"/>
    </row>
    <row r="69" spans="1:2" x14ac:dyDescent="0.5">
      <c r="A69"/>
      <c r="B69"/>
    </row>
    <row r="70" spans="1:2" x14ac:dyDescent="0.5">
      <c r="A70"/>
      <c r="B70"/>
    </row>
    <row r="71" spans="1:2" x14ac:dyDescent="0.5">
      <c r="A71"/>
      <c r="B71"/>
    </row>
    <row r="72" spans="1:2" x14ac:dyDescent="0.5">
      <c r="A72"/>
      <c r="B72"/>
    </row>
    <row r="73" spans="1:2" x14ac:dyDescent="0.5">
      <c r="A73"/>
      <c r="B73"/>
    </row>
    <row r="74" spans="1:2" x14ac:dyDescent="0.5">
      <c r="A74"/>
      <c r="B74"/>
    </row>
    <row r="75" spans="1:2" x14ac:dyDescent="0.5">
      <c r="A75"/>
      <c r="B75"/>
    </row>
    <row r="76" spans="1:2" x14ac:dyDescent="0.5">
      <c r="A76"/>
      <c r="B76"/>
    </row>
    <row r="77" spans="1:2" x14ac:dyDescent="0.5">
      <c r="A77"/>
      <c r="B77"/>
    </row>
    <row r="78" spans="1:2" x14ac:dyDescent="0.5">
      <c r="A78"/>
      <c r="B78"/>
    </row>
    <row r="79" spans="1:2" x14ac:dyDescent="0.5">
      <c r="A79"/>
      <c r="B79"/>
    </row>
    <row r="80" spans="1:2" x14ac:dyDescent="0.5">
      <c r="A80"/>
      <c r="B80"/>
    </row>
    <row r="81" spans="1:2" x14ac:dyDescent="0.5">
      <c r="A81"/>
      <c r="B81"/>
    </row>
    <row r="82" spans="1:2" x14ac:dyDescent="0.5">
      <c r="A82"/>
      <c r="B82"/>
    </row>
    <row r="83" spans="1:2" x14ac:dyDescent="0.5">
      <c r="A83"/>
      <c r="B83"/>
    </row>
    <row r="84" spans="1:2" x14ac:dyDescent="0.5">
      <c r="A84"/>
      <c r="B84"/>
    </row>
    <row r="85" spans="1:2" x14ac:dyDescent="0.5">
      <c r="A85"/>
      <c r="B85"/>
    </row>
    <row r="86" spans="1:2" x14ac:dyDescent="0.5">
      <c r="A86"/>
      <c r="B86"/>
    </row>
    <row r="87" spans="1:2" x14ac:dyDescent="0.5">
      <c r="A87"/>
      <c r="B87"/>
    </row>
    <row r="88" spans="1:2" x14ac:dyDescent="0.5">
      <c r="A88"/>
      <c r="B88"/>
    </row>
    <row r="89" spans="1:2" x14ac:dyDescent="0.5">
      <c r="A89"/>
      <c r="B89"/>
    </row>
    <row r="90" spans="1:2" x14ac:dyDescent="0.5">
      <c r="A90"/>
      <c r="B90"/>
    </row>
    <row r="91" spans="1:2" x14ac:dyDescent="0.5">
      <c r="A91"/>
      <c r="B91"/>
    </row>
    <row r="92" spans="1:2" x14ac:dyDescent="0.5">
      <c r="A92"/>
      <c r="B92"/>
    </row>
    <row r="93" spans="1:2" ht="17" thickBot="1" x14ac:dyDescent="0.55000000000000004">
      <c r="A93"/>
      <c r="B93"/>
    </row>
    <row r="94" spans="1:2" ht="17" thickBot="1" x14ac:dyDescent="0.55000000000000004">
      <c r="A94"/>
      <c r="B94"/>
    </row>
    <row r="95" spans="1:2" x14ac:dyDescent="0.5">
      <c r="A95"/>
      <c r="B95"/>
    </row>
    <row r="96" spans="1:2" ht="17" thickBot="1" x14ac:dyDescent="0.55000000000000004">
      <c r="A96"/>
      <c r="B96"/>
    </row>
    <row r="97" spans="1:2" ht="17" thickBot="1" x14ac:dyDescent="0.55000000000000004">
      <c r="A97"/>
      <c r="B97"/>
    </row>
    <row r="98" spans="1:2" ht="17" thickBot="1" x14ac:dyDescent="0.55000000000000004">
      <c r="A98"/>
      <c r="B98"/>
    </row>
    <row r="99" spans="1:2" ht="17" thickBot="1" x14ac:dyDescent="0.55000000000000004">
      <c r="A99"/>
      <c r="B99"/>
    </row>
    <row r="100" spans="1:2" ht="17" thickBot="1" x14ac:dyDescent="0.55000000000000004">
      <c r="A100"/>
      <c r="B100"/>
    </row>
    <row r="101" spans="1:2" ht="17" thickBot="1" x14ac:dyDescent="0.55000000000000004">
      <c r="A101"/>
      <c r="B101"/>
    </row>
    <row r="102" spans="1:2" ht="17" thickBot="1" x14ac:dyDescent="0.55000000000000004">
      <c r="A102"/>
      <c r="B102"/>
    </row>
    <row r="103" spans="1:2" ht="17" thickBot="1" x14ac:dyDescent="0.55000000000000004">
      <c r="A103"/>
      <c r="B103"/>
    </row>
    <row r="104" spans="1:2" ht="17" thickBot="1" x14ac:dyDescent="0.55000000000000004">
      <c r="A104"/>
      <c r="B104"/>
    </row>
    <row r="105" spans="1:2" ht="17" thickBot="1" x14ac:dyDescent="0.55000000000000004">
      <c r="A105"/>
      <c r="B105"/>
    </row>
    <row r="106" spans="1:2" ht="17" thickBot="1" x14ac:dyDescent="0.55000000000000004">
      <c r="A106"/>
      <c r="B106"/>
    </row>
    <row r="107" spans="1:2" ht="17" thickBot="1" x14ac:dyDescent="0.55000000000000004">
      <c r="A107"/>
      <c r="B107"/>
    </row>
    <row r="108" spans="1:2" ht="17" thickBot="1" x14ac:dyDescent="0.55000000000000004">
      <c r="A108"/>
      <c r="B108"/>
    </row>
    <row r="109" spans="1:2" ht="17" thickBot="1" x14ac:dyDescent="0.55000000000000004">
      <c r="A109"/>
      <c r="B109"/>
    </row>
    <row r="110" spans="1:2" ht="17" thickBot="1" x14ac:dyDescent="0.55000000000000004">
      <c r="A110"/>
      <c r="B110"/>
    </row>
    <row r="111" spans="1:2" ht="17" thickBot="1" x14ac:dyDescent="0.55000000000000004">
      <c r="A111"/>
      <c r="B111"/>
    </row>
    <row r="112" spans="1:2" ht="17" thickBot="1" x14ac:dyDescent="0.55000000000000004">
      <c r="A112"/>
      <c r="B112"/>
    </row>
    <row r="113" spans="1:2" ht="17" thickBot="1" x14ac:dyDescent="0.55000000000000004">
      <c r="A113"/>
      <c r="B113"/>
    </row>
    <row r="114" spans="1:2" ht="17" thickBot="1" x14ac:dyDescent="0.55000000000000004">
      <c r="A114"/>
      <c r="B114"/>
    </row>
    <row r="115" spans="1:2" ht="17" thickBot="1" x14ac:dyDescent="0.55000000000000004">
      <c r="A115"/>
      <c r="B115"/>
    </row>
    <row r="116" spans="1:2" ht="17" thickBot="1" x14ac:dyDescent="0.55000000000000004">
      <c r="A116"/>
      <c r="B116"/>
    </row>
    <row r="117" spans="1:2" ht="17" thickBot="1" x14ac:dyDescent="0.55000000000000004">
      <c r="A117"/>
      <c r="B117"/>
    </row>
    <row r="118" spans="1:2" x14ac:dyDescent="0.5">
      <c r="A118"/>
      <c r="B118"/>
    </row>
    <row r="119" spans="1:2" x14ac:dyDescent="0.5">
      <c r="A119"/>
      <c r="B119"/>
    </row>
    <row r="120" spans="1:2" x14ac:dyDescent="0.5">
      <c r="A120"/>
      <c r="B120"/>
    </row>
    <row r="121" spans="1:2" x14ac:dyDescent="0.5">
      <c r="A121"/>
      <c r="B121"/>
    </row>
    <row r="122" spans="1:2" x14ac:dyDescent="0.5">
      <c r="A122"/>
      <c r="B122"/>
    </row>
    <row r="123" spans="1:2" x14ac:dyDescent="0.5">
      <c r="A123"/>
      <c r="B123"/>
    </row>
    <row r="124" spans="1:2" x14ac:dyDescent="0.5">
      <c r="A124"/>
      <c r="B124"/>
    </row>
    <row r="125" spans="1:2" x14ac:dyDescent="0.5">
      <c r="A125"/>
      <c r="B125"/>
    </row>
    <row r="126" spans="1:2" x14ac:dyDescent="0.5">
      <c r="A126"/>
      <c r="B126"/>
    </row>
    <row r="127" spans="1:2" x14ac:dyDescent="0.5">
      <c r="A127"/>
      <c r="B127"/>
    </row>
    <row r="128" spans="1:2" x14ac:dyDescent="0.5">
      <c r="A128"/>
      <c r="B128"/>
    </row>
    <row r="129" spans="1:2" x14ac:dyDescent="0.5">
      <c r="A129"/>
      <c r="B129"/>
    </row>
    <row r="130" spans="1:2" x14ac:dyDescent="0.5">
      <c r="A130"/>
      <c r="B130"/>
    </row>
    <row r="131" spans="1:2" x14ac:dyDescent="0.5">
      <c r="A131"/>
      <c r="B131"/>
    </row>
    <row r="132" spans="1:2" x14ac:dyDescent="0.5">
      <c r="A132"/>
      <c r="B132"/>
    </row>
    <row r="133" spans="1:2" x14ac:dyDescent="0.5">
      <c r="A133"/>
      <c r="B133"/>
    </row>
    <row r="134" spans="1:2" x14ac:dyDescent="0.5">
      <c r="A134"/>
      <c r="B134"/>
    </row>
    <row r="135" spans="1:2" x14ac:dyDescent="0.5">
      <c r="A135"/>
      <c r="B135"/>
    </row>
    <row r="136" spans="1:2" x14ac:dyDescent="0.5">
      <c r="A136"/>
      <c r="B136"/>
    </row>
    <row r="137" spans="1:2" x14ac:dyDescent="0.5">
      <c r="A137"/>
      <c r="B137"/>
    </row>
    <row r="138" spans="1:2" x14ac:dyDescent="0.5">
      <c r="A138"/>
      <c r="B138"/>
    </row>
    <row r="139" spans="1:2" x14ac:dyDescent="0.5">
      <c r="A139"/>
      <c r="B139"/>
    </row>
    <row r="140" spans="1:2" x14ac:dyDescent="0.5">
      <c r="A140"/>
      <c r="B140"/>
    </row>
    <row r="141" spans="1:2" x14ac:dyDescent="0.5">
      <c r="A141"/>
      <c r="B141"/>
    </row>
    <row r="142" spans="1:2" x14ac:dyDescent="0.5">
      <c r="A142"/>
      <c r="B142"/>
    </row>
    <row r="143" spans="1:2" x14ac:dyDescent="0.5">
      <c r="A143"/>
      <c r="B143"/>
    </row>
    <row r="144" spans="1:2" x14ac:dyDescent="0.5">
      <c r="A144"/>
      <c r="B144"/>
    </row>
    <row r="145" spans="1:2" x14ac:dyDescent="0.5">
      <c r="A145"/>
      <c r="B145"/>
    </row>
    <row r="146" spans="1:2" x14ac:dyDescent="0.5">
      <c r="A146"/>
      <c r="B146"/>
    </row>
    <row r="147" spans="1:2" x14ac:dyDescent="0.5">
      <c r="A147"/>
      <c r="B147"/>
    </row>
    <row r="148" spans="1:2" x14ac:dyDescent="0.5">
      <c r="A148"/>
      <c r="B148"/>
    </row>
    <row r="149" spans="1:2" x14ac:dyDescent="0.5">
      <c r="A149"/>
      <c r="B149"/>
    </row>
    <row r="150" spans="1:2" x14ac:dyDescent="0.5">
      <c r="A150"/>
      <c r="B150"/>
    </row>
    <row r="151" spans="1:2" x14ac:dyDescent="0.5">
      <c r="A151"/>
      <c r="B151"/>
    </row>
    <row r="152" spans="1:2" x14ac:dyDescent="0.5">
      <c r="A152"/>
      <c r="B152"/>
    </row>
    <row r="153" spans="1:2" x14ac:dyDescent="0.5">
      <c r="A153"/>
      <c r="B153"/>
    </row>
    <row r="154" spans="1:2" x14ac:dyDescent="0.5">
      <c r="A154"/>
      <c r="B154"/>
    </row>
    <row r="155" spans="1:2" x14ac:dyDescent="0.5">
      <c r="A155"/>
      <c r="B155"/>
    </row>
    <row r="156" spans="1:2" x14ac:dyDescent="0.5">
      <c r="A156"/>
      <c r="B156"/>
    </row>
    <row r="157" spans="1:2" x14ac:dyDescent="0.5">
      <c r="A157"/>
      <c r="B157"/>
    </row>
    <row r="158" spans="1:2" x14ac:dyDescent="0.5">
      <c r="A158"/>
      <c r="B158"/>
    </row>
    <row r="159" spans="1:2" x14ac:dyDescent="0.5">
      <c r="A159"/>
      <c r="B159"/>
    </row>
    <row r="160" spans="1:2" x14ac:dyDescent="0.5">
      <c r="A160"/>
      <c r="B160"/>
    </row>
    <row r="161" spans="1:2" x14ac:dyDescent="0.5">
      <c r="A161"/>
      <c r="B161"/>
    </row>
    <row r="162" spans="1:2" x14ac:dyDescent="0.5">
      <c r="A162"/>
      <c r="B162"/>
    </row>
    <row r="163" spans="1:2" x14ac:dyDescent="0.5">
      <c r="A163"/>
      <c r="B163"/>
    </row>
    <row r="164" spans="1:2" x14ac:dyDescent="0.5">
      <c r="A164"/>
      <c r="B164"/>
    </row>
    <row r="165" spans="1:2" x14ac:dyDescent="0.5">
      <c r="A165"/>
      <c r="B165"/>
    </row>
    <row r="166" spans="1:2" x14ac:dyDescent="0.5">
      <c r="A166"/>
      <c r="B166"/>
    </row>
    <row r="167" spans="1:2" x14ac:dyDescent="0.5">
      <c r="A167"/>
      <c r="B167"/>
    </row>
    <row r="168" spans="1:2" x14ac:dyDescent="0.5">
      <c r="A168"/>
      <c r="B168"/>
    </row>
    <row r="169" spans="1:2" x14ac:dyDescent="0.5">
      <c r="A169"/>
      <c r="B169"/>
    </row>
    <row r="170" spans="1:2" x14ac:dyDescent="0.5">
      <c r="A170"/>
      <c r="B170"/>
    </row>
    <row r="171" spans="1:2" x14ac:dyDescent="0.5">
      <c r="A171"/>
      <c r="B171"/>
    </row>
    <row r="172" spans="1:2" x14ac:dyDescent="0.5">
      <c r="A172"/>
      <c r="B172"/>
    </row>
    <row r="173" spans="1:2" x14ac:dyDescent="0.5">
      <c r="A173"/>
      <c r="B173"/>
    </row>
    <row r="174" spans="1:2" x14ac:dyDescent="0.5">
      <c r="A174"/>
      <c r="B174"/>
    </row>
    <row r="175" spans="1:2" x14ac:dyDescent="0.5">
      <c r="A175"/>
      <c r="B175"/>
    </row>
    <row r="176" spans="1:2" x14ac:dyDescent="0.5">
      <c r="A176"/>
      <c r="B176"/>
    </row>
    <row r="177" spans="1:2" x14ac:dyDescent="0.5">
      <c r="A177"/>
      <c r="B177"/>
    </row>
    <row r="178" spans="1:2" x14ac:dyDescent="0.5">
      <c r="A178"/>
      <c r="B178"/>
    </row>
    <row r="179" spans="1:2" x14ac:dyDescent="0.5">
      <c r="A179"/>
      <c r="B179"/>
    </row>
    <row r="180" spans="1:2" x14ac:dyDescent="0.5">
      <c r="A180"/>
      <c r="B180"/>
    </row>
    <row r="181" spans="1:2" x14ac:dyDescent="0.5">
      <c r="A181"/>
      <c r="B181"/>
    </row>
    <row r="182" spans="1:2" x14ac:dyDescent="0.5">
      <c r="A182"/>
      <c r="B182"/>
    </row>
    <row r="183" spans="1:2" x14ac:dyDescent="0.5">
      <c r="A183"/>
      <c r="B183"/>
    </row>
    <row r="184" spans="1:2" x14ac:dyDescent="0.5">
      <c r="A184"/>
      <c r="B184"/>
    </row>
    <row r="185" spans="1:2" x14ac:dyDescent="0.5">
      <c r="A185"/>
      <c r="B185"/>
    </row>
    <row r="186" spans="1:2" x14ac:dyDescent="0.5">
      <c r="A186"/>
      <c r="B186"/>
    </row>
    <row r="187" spans="1:2" x14ac:dyDescent="0.5">
      <c r="A187"/>
      <c r="B187"/>
    </row>
    <row r="188" spans="1:2" x14ac:dyDescent="0.5">
      <c r="A188"/>
      <c r="B188"/>
    </row>
    <row r="189" spans="1:2" x14ac:dyDescent="0.5">
      <c r="A189"/>
      <c r="B189"/>
    </row>
    <row r="190" spans="1:2" x14ac:dyDescent="0.5">
      <c r="A190"/>
      <c r="B190"/>
    </row>
    <row r="191" spans="1:2" x14ac:dyDescent="0.5">
      <c r="A191"/>
      <c r="B191"/>
    </row>
    <row r="192" spans="1:2" x14ac:dyDescent="0.5">
      <c r="A192"/>
      <c r="B192"/>
    </row>
    <row r="193" spans="1:2" x14ac:dyDescent="0.5">
      <c r="A193"/>
      <c r="B193"/>
    </row>
    <row r="194" spans="1:2" x14ac:dyDescent="0.5">
      <c r="A194"/>
      <c r="B194"/>
    </row>
    <row r="195" spans="1:2" x14ac:dyDescent="0.5">
      <c r="A195"/>
      <c r="B195"/>
    </row>
    <row r="196" spans="1:2" x14ac:dyDescent="0.5">
      <c r="A196"/>
      <c r="B196"/>
    </row>
    <row r="197" spans="1:2" x14ac:dyDescent="0.5">
      <c r="A197"/>
      <c r="B197"/>
    </row>
    <row r="198" spans="1:2" x14ac:dyDescent="0.5">
      <c r="A198"/>
      <c r="B198"/>
    </row>
    <row r="199" spans="1:2" x14ac:dyDescent="0.5">
      <c r="A199"/>
      <c r="B199"/>
    </row>
    <row r="200" spans="1:2" x14ac:dyDescent="0.5">
      <c r="A200"/>
      <c r="B200"/>
    </row>
    <row r="201" spans="1:2" x14ac:dyDescent="0.5">
      <c r="A201"/>
      <c r="B201"/>
    </row>
    <row r="202" spans="1:2" x14ac:dyDescent="0.5">
      <c r="A202"/>
      <c r="B202"/>
    </row>
    <row r="203" spans="1:2" x14ac:dyDescent="0.5">
      <c r="A203"/>
      <c r="B203"/>
    </row>
    <row r="204" spans="1:2" x14ac:dyDescent="0.5">
      <c r="A204"/>
      <c r="B204"/>
    </row>
    <row r="205" spans="1:2" x14ac:dyDescent="0.5">
      <c r="A205"/>
      <c r="B205"/>
    </row>
    <row r="206" spans="1:2" x14ac:dyDescent="0.5">
      <c r="A206"/>
      <c r="B206"/>
    </row>
    <row r="207" spans="1:2" x14ac:dyDescent="0.5">
      <c r="A207"/>
      <c r="B207"/>
    </row>
    <row r="208" spans="1:2" x14ac:dyDescent="0.5">
      <c r="A208"/>
      <c r="B208"/>
    </row>
    <row r="209" spans="1:2" x14ac:dyDescent="0.5">
      <c r="A209"/>
      <c r="B209"/>
    </row>
    <row r="210" spans="1:2" x14ac:dyDescent="0.5">
      <c r="A210"/>
      <c r="B210"/>
    </row>
    <row r="211" spans="1:2" x14ac:dyDescent="0.5">
      <c r="A211"/>
      <c r="B211"/>
    </row>
    <row r="212" spans="1:2" x14ac:dyDescent="0.5">
      <c r="A212"/>
      <c r="B212"/>
    </row>
    <row r="213" spans="1:2" x14ac:dyDescent="0.5">
      <c r="A213"/>
      <c r="B213"/>
    </row>
    <row r="214" spans="1:2" x14ac:dyDescent="0.5">
      <c r="A214"/>
      <c r="B214"/>
    </row>
    <row r="215" spans="1:2" x14ac:dyDescent="0.5">
      <c r="A215"/>
      <c r="B215"/>
    </row>
    <row r="216" spans="1:2" x14ac:dyDescent="0.5">
      <c r="A216"/>
      <c r="B216"/>
    </row>
    <row r="217" spans="1:2" x14ac:dyDescent="0.5">
      <c r="A217"/>
      <c r="B217"/>
    </row>
    <row r="218" spans="1:2" x14ac:dyDescent="0.5">
      <c r="A218"/>
      <c r="B218"/>
    </row>
    <row r="219" spans="1:2" x14ac:dyDescent="0.5">
      <c r="A219"/>
      <c r="B219"/>
    </row>
    <row r="220" spans="1:2" x14ac:dyDescent="0.5">
      <c r="A220"/>
      <c r="B220"/>
    </row>
    <row r="221" spans="1:2" x14ac:dyDescent="0.5">
      <c r="A221"/>
      <c r="B221"/>
    </row>
    <row r="222" spans="1:2" x14ac:dyDescent="0.5">
      <c r="A222"/>
      <c r="B222"/>
    </row>
    <row r="223" spans="1:2" x14ac:dyDescent="0.5">
      <c r="A223"/>
      <c r="B223"/>
    </row>
    <row r="224" spans="1:2" x14ac:dyDescent="0.5">
      <c r="A224"/>
      <c r="B224"/>
    </row>
  </sheetData>
  <sheetProtection autoFilter="0" pivotTables="0"/>
  <mergeCells count="6">
    <mergeCell ref="B12:D12"/>
    <mergeCell ref="E8:I8"/>
    <mergeCell ref="A11:D11"/>
    <mergeCell ref="A13:D13"/>
    <mergeCell ref="A14:D14"/>
    <mergeCell ref="B10:D10"/>
  </mergeCells>
  <printOptions horizontalCentered="1" verticalCentered="1"/>
  <pageMargins left="0.25" right="0.25" top="0.75" bottom="0.75" header="0.3" footer="0.3"/>
  <pageSetup paperSize="9" scale="96" orientation="landscape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EB0C-C02A-4F8A-AD8C-38ABC017E7EC}">
  <sheetPr codeName="Sheet2">
    <tabColor rgb="FFFFFF00"/>
  </sheetPr>
  <dimension ref="A1:CD77"/>
  <sheetViews>
    <sheetView workbookViewId="0">
      <pane xSplit="2" ySplit="3" topLeftCell="BB67" activePane="bottomRight" state="frozen"/>
      <selection pane="topRight" activeCell="C1" sqref="C1"/>
      <selection pane="bottomLeft" activeCell="A4" sqref="A4"/>
      <selection pane="bottomRight" activeCell="BC52" sqref="BC52"/>
    </sheetView>
  </sheetViews>
  <sheetFormatPr defaultRowHeight="16.5" x14ac:dyDescent="0.5"/>
  <cols>
    <col min="1" max="1" width="13.6328125" bestFit="1" customWidth="1"/>
    <col min="2" max="2" width="48.08984375" bestFit="1" customWidth="1"/>
    <col min="3" max="3" width="21.7265625" bestFit="1" customWidth="1"/>
    <col min="4" max="4" width="20.26953125" bestFit="1" customWidth="1"/>
    <col min="5" max="5" width="24.1796875" customWidth="1"/>
    <col min="6" max="6" width="22.08984375" customWidth="1"/>
    <col min="7" max="7" width="33.6328125" customWidth="1"/>
    <col min="8" max="8" width="26.26953125" customWidth="1"/>
    <col min="9" max="9" width="24.26953125" customWidth="1"/>
    <col min="10" max="10" width="18.7265625" customWidth="1"/>
    <col min="11" max="11" width="17.26953125" customWidth="1"/>
    <col min="12" max="12" width="12.90625" customWidth="1"/>
    <col min="13" max="13" width="17.81640625" customWidth="1"/>
    <col min="14" max="14" width="26.54296875" customWidth="1"/>
    <col min="15" max="15" width="25.08984375" customWidth="1"/>
    <col min="16" max="16" width="27.7265625" customWidth="1"/>
    <col min="17" max="17" width="24.54296875" bestFit="1" customWidth="1"/>
    <col min="18" max="18" width="22.90625" bestFit="1" customWidth="1"/>
    <col min="19" max="19" width="22.81640625" bestFit="1" customWidth="1"/>
    <col min="20" max="20" width="21.36328125" bestFit="1" customWidth="1"/>
    <col min="21" max="21" width="25.26953125" bestFit="1" customWidth="1"/>
    <col min="22" max="22" width="23.1796875" bestFit="1" customWidth="1"/>
    <col min="23" max="23" width="34.7265625" bestFit="1" customWidth="1"/>
    <col min="24" max="24" width="27.453125" bestFit="1" customWidth="1"/>
    <col min="25" max="25" width="25.36328125" bestFit="1" customWidth="1"/>
    <col min="26" max="26" width="19.90625" bestFit="1" customWidth="1"/>
    <col min="27" max="27" width="18.36328125" bestFit="1" customWidth="1"/>
    <col min="28" max="28" width="14" bestFit="1" customWidth="1"/>
    <col min="29" max="29" width="18.90625" bestFit="1" customWidth="1"/>
    <col min="30" max="30" width="27.7265625" bestFit="1" customWidth="1"/>
    <col min="31" max="31" width="26.1796875" bestFit="1" customWidth="1"/>
    <col min="32" max="32" width="28.81640625" bestFit="1" customWidth="1"/>
    <col min="33" max="33" width="25.6328125" bestFit="1" customWidth="1"/>
    <col min="34" max="34" width="24.08984375" bestFit="1" customWidth="1"/>
    <col min="35" max="35" width="22.81640625" bestFit="1" customWidth="1"/>
    <col min="36" max="36" width="21.36328125" bestFit="1" customWidth="1"/>
    <col min="37" max="37" width="25.26953125" bestFit="1" customWidth="1"/>
    <col min="38" max="38" width="23.1796875" bestFit="1" customWidth="1"/>
    <col min="39" max="39" width="34.7265625" bestFit="1" customWidth="1"/>
    <col min="40" max="40" width="27.453125" bestFit="1" customWidth="1"/>
    <col min="41" max="41" width="25.36328125" bestFit="1" customWidth="1"/>
    <col min="42" max="42" width="19.90625" bestFit="1" customWidth="1"/>
    <col min="43" max="43" width="18.36328125" bestFit="1" customWidth="1"/>
    <col min="44" max="44" width="14" bestFit="1" customWidth="1"/>
    <col min="45" max="45" width="18.90625" bestFit="1" customWidth="1"/>
    <col min="46" max="46" width="27.7265625" bestFit="1" customWidth="1"/>
    <col min="47" max="47" width="26.1796875" bestFit="1" customWidth="1"/>
    <col min="48" max="48" width="28.81640625" bestFit="1" customWidth="1"/>
    <col min="49" max="49" width="25.6328125" bestFit="1" customWidth="1"/>
    <col min="50" max="50" width="24.08984375" bestFit="1" customWidth="1"/>
    <col min="51" max="51" width="22.81640625" bestFit="1" customWidth="1"/>
    <col min="52" max="52" width="21.36328125" bestFit="1" customWidth="1"/>
    <col min="53" max="53" width="25.26953125" bestFit="1" customWidth="1"/>
    <col min="54" max="54" width="23.1796875" bestFit="1" customWidth="1"/>
    <col min="55" max="55" width="34.7265625" bestFit="1" customWidth="1"/>
    <col min="56" max="56" width="27.453125" bestFit="1" customWidth="1"/>
    <col min="57" max="57" width="25.36328125" bestFit="1" customWidth="1"/>
    <col min="58" max="58" width="19.90625" bestFit="1" customWidth="1"/>
    <col min="59" max="59" width="18.36328125" bestFit="1" customWidth="1"/>
    <col min="60" max="60" width="14" bestFit="1" customWidth="1"/>
    <col min="61" max="61" width="18.90625" bestFit="1" customWidth="1"/>
    <col min="62" max="62" width="27.7265625" bestFit="1" customWidth="1"/>
    <col min="63" max="63" width="26.1796875" bestFit="1" customWidth="1"/>
    <col min="64" max="64" width="28.81640625" bestFit="1" customWidth="1"/>
    <col min="65" max="65" width="25.6328125" bestFit="1" customWidth="1"/>
    <col min="66" max="66" width="24.08984375" bestFit="1" customWidth="1"/>
  </cols>
  <sheetData>
    <row r="1" spans="1:82" ht="17" thickBot="1" x14ac:dyDescent="0.55000000000000004">
      <c r="A1" s="390" t="s">
        <v>866</v>
      </c>
      <c r="B1" s="391"/>
      <c r="C1" s="323">
        <f>DATE(YEAR('Stock Report'!$B$1),1,1)</f>
        <v>45658</v>
      </c>
      <c r="D1" s="317">
        <f>DATE(YEAR('Stock Report'!$B$1),1,1)</f>
        <v>45658</v>
      </c>
      <c r="E1" s="317">
        <f>DATE(YEAR('Stock Report'!$B$1),1,1)</f>
        <v>45658</v>
      </c>
      <c r="F1" s="317">
        <f>DATE(YEAR('Stock Report'!$B$1),1,1)</f>
        <v>45658</v>
      </c>
      <c r="G1" s="317">
        <f>DATE(YEAR('Stock Report'!$B$1),1,1)</f>
        <v>45658</v>
      </c>
      <c r="H1" s="317">
        <f>DATE(YEAR('Stock Report'!$B$1),1,1)</f>
        <v>45658</v>
      </c>
      <c r="I1" s="317">
        <f>DATE(YEAR('Stock Report'!$B$1),1,1)</f>
        <v>45658</v>
      </c>
      <c r="J1" s="317">
        <f>DATE(YEAR('Stock Report'!$B$1),1,1)</f>
        <v>45658</v>
      </c>
      <c r="K1" s="317">
        <f>DATE(YEAR('Stock Report'!$B$1),1,1)</f>
        <v>45658</v>
      </c>
      <c r="L1" s="317">
        <f>DATE(YEAR('Stock Report'!$B$1),1,1)</f>
        <v>45658</v>
      </c>
      <c r="M1" s="317">
        <f>DATE(YEAR('Stock Report'!$B$1),1,1)</f>
        <v>45658</v>
      </c>
      <c r="N1" s="317">
        <f>DATE(YEAR('Stock Report'!$B$1),1,1)</f>
        <v>45658</v>
      </c>
      <c r="O1" s="317">
        <f>DATE(YEAR('Stock Report'!$B$1),1,1)</f>
        <v>45658</v>
      </c>
      <c r="P1" s="317">
        <f>DATE(YEAR('Stock Report'!$B$1),1,1)</f>
        <v>45658</v>
      </c>
      <c r="Q1" s="317">
        <f>DATE(YEAR('Stock Report'!$B$1),1,1)</f>
        <v>45658</v>
      </c>
      <c r="R1" s="324">
        <f>DATE(YEAR('Stock Report'!$B$1),1,1)</f>
        <v>45658</v>
      </c>
      <c r="S1" s="296">
        <f>DATE(YEAR('Stock Report'!$B$1),2,1)</f>
        <v>45689</v>
      </c>
      <c r="T1" s="295">
        <f>DATE(YEAR('Stock Report'!$B$1),2,1)</f>
        <v>45689</v>
      </c>
      <c r="U1" s="295">
        <f>DATE(YEAR('Stock Report'!$B$1),2,1)</f>
        <v>45689</v>
      </c>
      <c r="V1" s="295">
        <f>DATE(YEAR('Stock Report'!$B$1),2,1)</f>
        <v>45689</v>
      </c>
      <c r="W1" s="295">
        <f>DATE(YEAR('Stock Report'!$B$1),2,1)</f>
        <v>45689</v>
      </c>
      <c r="X1" s="295">
        <f>DATE(YEAR('Stock Report'!$B$1),2,1)</f>
        <v>45689</v>
      </c>
      <c r="Y1" s="295">
        <f>DATE(YEAR('Stock Report'!$B$1),2,1)</f>
        <v>45689</v>
      </c>
      <c r="Z1" s="295">
        <f>DATE(YEAR('Stock Report'!$B$1),2,1)</f>
        <v>45689</v>
      </c>
      <c r="AA1" s="295">
        <f>DATE(YEAR('Stock Report'!$B$1),2,1)</f>
        <v>45689</v>
      </c>
      <c r="AB1" s="295">
        <f>DATE(YEAR('Stock Report'!$B$1),2,1)</f>
        <v>45689</v>
      </c>
      <c r="AC1" s="295">
        <f>DATE(YEAR('Stock Report'!$B$1),2,1)</f>
        <v>45689</v>
      </c>
      <c r="AD1" s="295">
        <f>DATE(YEAR('Stock Report'!$B$1),2,1)</f>
        <v>45689</v>
      </c>
      <c r="AE1" s="295">
        <f>DATE(YEAR('Stock Report'!$B$1),2,1)</f>
        <v>45689</v>
      </c>
      <c r="AF1" s="295">
        <f>DATE(YEAR('Stock Report'!$B$1),2,1)</f>
        <v>45689</v>
      </c>
      <c r="AG1" s="295">
        <f>DATE(YEAR('Stock Report'!$B$1),2,1)</f>
        <v>45689</v>
      </c>
      <c r="AH1" s="308">
        <f>DATE(YEAR('Stock Report'!$B$1),2,1)</f>
        <v>45689</v>
      </c>
      <c r="AI1" s="312">
        <f>DATE(YEAR('Stock Report'!$B$1),3,1)</f>
        <v>45717</v>
      </c>
      <c r="AJ1" s="313">
        <f>DATE(YEAR('Stock Report'!$B$1),3,1)</f>
        <v>45717</v>
      </c>
      <c r="AK1" s="313">
        <f>DATE(YEAR('Stock Report'!$B$1),3,1)</f>
        <v>45717</v>
      </c>
      <c r="AL1" s="313">
        <f>DATE(YEAR('Stock Report'!$B$1),3,1)</f>
        <v>45717</v>
      </c>
      <c r="AM1" s="313">
        <f>DATE(YEAR('Stock Report'!$B$1),3,1)</f>
        <v>45717</v>
      </c>
      <c r="AN1" s="313">
        <f>DATE(YEAR('Stock Report'!$B$1),3,1)</f>
        <v>45717</v>
      </c>
      <c r="AO1" s="313">
        <f>DATE(YEAR('Stock Report'!$B$1),3,1)</f>
        <v>45717</v>
      </c>
      <c r="AP1" s="313">
        <f>DATE(YEAR('Stock Report'!$B$1),3,1)</f>
        <v>45717</v>
      </c>
      <c r="AQ1" s="313">
        <f>DATE(YEAR('Stock Report'!$B$1),3,1)</f>
        <v>45717</v>
      </c>
      <c r="AR1" s="313">
        <f>DATE(YEAR('Stock Report'!$B$1),3,1)</f>
        <v>45717</v>
      </c>
      <c r="AS1" s="313">
        <f>DATE(YEAR('Stock Report'!$B$1),3,1)</f>
        <v>45717</v>
      </c>
      <c r="AT1" s="313">
        <f>DATE(YEAR('Stock Report'!$B$1),3,1)</f>
        <v>45717</v>
      </c>
      <c r="AU1" s="313">
        <f>DATE(YEAR('Stock Report'!$B$1),3,1)</f>
        <v>45717</v>
      </c>
      <c r="AV1" s="313">
        <f>DATE(YEAR('Stock Report'!$B$1),3,1)</f>
        <v>45717</v>
      </c>
      <c r="AW1" s="313">
        <f>DATE(YEAR('Stock Report'!$B$1),3,1)</f>
        <v>45717</v>
      </c>
      <c r="AX1" s="314">
        <f>DATE(YEAR('Stock Report'!$B$1),3,1)</f>
        <v>45717</v>
      </c>
      <c r="AY1" s="294">
        <f>DATE(YEAR('Stock Report'!$B$1),4,1)</f>
        <v>45748</v>
      </c>
      <c r="AZ1" s="293">
        <f>DATE(YEAR('Stock Report'!$B$1),4,1)</f>
        <v>45748</v>
      </c>
      <c r="BA1" s="293">
        <f>DATE(YEAR('Stock Report'!$B$1),4,1)</f>
        <v>45748</v>
      </c>
      <c r="BB1" s="293">
        <f>DATE(YEAR('Stock Report'!$B$1),4,1)</f>
        <v>45748</v>
      </c>
      <c r="BC1" s="293">
        <f>DATE(YEAR('Stock Report'!$B$1),4,1)</f>
        <v>45748</v>
      </c>
      <c r="BD1" s="293">
        <f>DATE(YEAR('Stock Report'!$B$1),4,1)</f>
        <v>45748</v>
      </c>
      <c r="BE1" s="293">
        <f>DATE(YEAR('Stock Report'!$B$1),4,1)</f>
        <v>45748</v>
      </c>
      <c r="BF1" s="293">
        <f>DATE(YEAR('Stock Report'!$B$1),4,1)</f>
        <v>45748</v>
      </c>
      <c r="BG1" s="293">
        <f>DATE(YEAR('Stock Report'!$B$1),4,1)</f>
        <v>45748</v>
      </c>
      <c r="BH1" s="293">
        <f>DATE(YEAR('Stock Report'!$B$1),4,1)</f>
        <v>45748</v>
      </c>
      <c r="BI1" s="293">
        <f>DATE(YEAR('Stock Report'!$B$1),4,1)</f>
        <v>45748</v>
      </c>
      <c r="BJ1" s="293">
        <f>DATE(YEAR('Stock Report'!$B$1),4,1)</f>
        <v>45748</v>
      </c>
      <c r="BK1" s="293">
        <f>DATE(YEAR('Stock Report'!$B$1),4,1)</f>
        <v>45748</v>
      </c>
      <c r="BL1" s="293">
        <f>DATE(YEAR('Stock Report'!$B$1),4,1)</f>
        <v>45748</v>
      </c>
      <c r="BM1" s="293">
        <f>DATE(YEAR('Stock Report'!$B$1),4,1)</f>
        <v>45748</v>
      </c>
      <c r="BN1" s="293">
        <f>DATE(YEAR('Stock Report'!$B$1),4,1)</f>
        <v>45748</v>
      </c>
      <c r="BO1" s="387">
        <f>DATE(YEAR('Stock Report'!$B$1),5,1)</f>
        <v>45778</v>
      </c>
      <c r="BP1" s="388"/>
      <c r="BQ1" s="388"/>
      <c r="BR1" s="388"/>
      <c r="BS1" s="388"/>
      <c r="BT1" s="388"/>
      <c r="BU1" s="388"/>
      <c r="BV1" s="388"/>
      <c r="BW1" s="388"/>
      <c r="BX1" s="388"/>
      <c r="BY1" s="388"/>
      <c r="BZ1" s="388"/>
      <c r="CA1" s="388"/>
      <c r="CB1" s="388"/>
      <c r="CC1" s="388"/>
      <c r="CD1" s="389"/>
    </row>
    <row r="2" spans="1:82" x14ac:dyDescent="0.5">
      <c r="A2" s="39"/>
      <c r="B2" s="39" t="s">
        <v>1325</v>
      </c>
      <c r="C2" s="325">
        <f>SUBTOTAL(9,Stock_year[Vobanipur Opening])</f>
        <v>84336</v>
      </c>
      <c r="D2" s="292">
        <f>SUBTOTAL(9,Stock_year[Ulukhola Opening])</f>
        <v>220445</v>
      </c>
      <c r="E2" s="292">
        <f>SUBTOTAL(9,Stock_year[Opening Stock (Piece)])</f>
        <v>304781</v>
      </c>
      <c r="F2" s="292">
        <f>SUBTOTAL(9,Stock_year[Opening Stock (Ltr)])</f>
        <v>319531.97499999992</v>
      </c>
      <c r="G2" s="292">
        <f>SUBTOTAL(9,Stock_year[Ulukhola to Vobanipur Transfer])</f>
        <v>54358</v>
      </c>
      <c r="H2" s="292">
        <f>SUBTOTAL(9,Stock_year[New Arrival (vobanipur)])</f>
        <v>0</v>
      </c>
      <c r="I2" s="292">
        <f>SUBTOTAL(9,Stock_year[New Arrival(ulukhola)])</f>
        <v>0</v>
      </c>
      <c r="J2" s="292">
        <f>SUBTOTAL(9,Stock_year[Vobanipur Total])</f>
        <v>138694</v>
      </c>
      <c r="K2" s="292">
        <f>SUBTOTAL(9,Stock_year[Ulukhola Total])</f>
        <v>166087</v>
      </c>
      <c r="L2" s="292">
        <f>SUBTOTAL(9,Stock_year[Total Unit])</f>
        <v>304781</v>
      </c>
      <c r="M2" s="292">
        <f>SUBTOTAL(9,Stock_year[Sold Qty(Piece)])</f>
        <v>48209</v>
      </c>
      <c r="N2" s="292">
        <f>SUBTOTAL(9,Stock_year[Closing Stock Vobanipur])</f>
        <v>90485</v>
      </c>
      <c r="O2" s="292">
        <f>SUBTOTAL(9,Stock_year[Closing Stock Ulukhola])</f>
        <v>166087</v>
      </c>
      <c r="P2" s="292">
        <f>SUBTOTAL(9,Stock_year[Total Closing Stock Value])</f>
        <v>166087</v>
      </c>
      <c r="Q2" s="292">
        <f>SUBTOTAL(9,Stock_year[Opening Damage Unit])</f>
        <v>33731</v>
      </c>
      <c r="R2" s="326">
        <f>SUBTOTAL(9,Stock_year[Closing Damage unit])</f>
        <v>33731</v>
      </c>
      <c r="S2" s="297">
        <f>SUBTOTAL(9,Stock_year[Vobanipur Opening2])</f>
        <v>90427</v>
      </c>
      <c r="T2" s="291">
        <f>SUBTOTAL(9,Stock_year[Ulukhola Opening2])</f>
        <v>166087</v>
      </c>
      <c r="U2" s="291">
        <f>SUBTOTAL(9,Stock_year[Opening Stock (Piece)2])</f>
        <v>256514</v>
      </c>
      <c r="V2" s="291">
        <f>SUBTOTAL(9,Stock_year[Opening Stock (Ltr)2])</f>
        <v>270233.37499999994</v>
      </c>
      <c r="W2" s="291">
        <f>SUBTOTAL(9,Stock_year[Ulukhola to Vobanipur Transfer2])</f>
        <v>70072</v>
      </c>
      <c r="X2" s="291">
        <f>SUBTOTAL(9,Stock_year[New Arrival (vobanipur)2])</f>
        <v>0</v>
      </c>
      <c r="Y2" s="291">
        <f>SUBTOTAL(9,Stock_year[New Arrival(ulukhola)2])</f>
        <v>0</v>
      </c>
      <c r="Z2" s="291">
        <f>SUBTOTAL(9,Stock_year[Vobanipur Total2])</f>
        <v>160499</v>
      </c>
      <c r="AA2" s="291">
        <f>SUBTOTAL(9,Stock_year[Ulukhola Total2])</f>
        <v>96015</v>
      </c>
      <c r="AB2" s="291">
        <f>SUBTOTAL(9,Stock_year[Total Unit2])</f>
        <v>256514</v>
      </c>
      <c r="AC2" s="291">
        <f>SUBTOTAL(9,Stock_year[Sold Qty(Piece)2])</f>
        <v>78601</v>
      </c>
      <c r="AD2" s="291">
        <f>SUBTOTAL(9,Stock_year[Closing Stock Vobanipur2])</f>
        <v>81898</v>
      </c>
      <c r="AE2" s="291">
        <f>SUBTOTAL(9,Stock_year[Closing Stock Ulukhola2])</f>
        <v>96015</v>
      </c>
      <c r="AF2" s="291">
        <f>SUBTOTAL(9,Stock_year[Total Closing Stock Value2])</f>
        <v>86936420.377324104</v>
      </c>
      <c r="AG2" s="291">
        <f ca="1">SUBTOTAL(9,Stock_year[Opening Damage Unit2])</f>
        <v>33789</v>
      </c>
      <c r="AH2" s="298">
        <f ca="1">SUBTOTAL(9,Stock_year[Closing Damage unit2])</f>
        <v>33789</v>
      </c>
      <c r="AI2" s="315">
        <f>SUBTOTAL(9,Stock_year[Vobanipur Opening3])</f>
        <v>81898</v>
      </c>
      <c r="AJ2" s="292">
        <f>SUBTOTAL(9,Stock_year[Ulukhola Opening3])</f>
        <v>96015</v>
      </c>
      <c r="AK2" s="292">
        <f>SUBTOTAL(9,Stock_year[Opening Stock (Piece)3])</f>
        <v>177913</v>
      </c>
      <c r="AL2" s="292">
        <f>SUBTOTAL(9,Stock_year[Opening Stock (Ltr)3])</f>
        <v>216069.19999999992</v>
      </c>
      <c r="AM2" s="292">
        <f>SUBTOTAL(9,Stock_year[Ulukhola to Vobanipur Transfer3])</f>
        <v>13220</v>
      </c>
      <c r="AN2" s="292">
        <f>SUBTOTAL(9,Stock_year[New Arrival (vobanipur)3])</f>
        <v>0</v>
      </c>
      <c r="AO2" s="292">
        <f>SUBTOTAL(9,Stock_year[New Arrival(ulukhola)3])</f>
        <v>0</v>
      </c>
      <c r="AP2" s="292">
        <f>SUBTOTAL(9,Stock_year[Vobanipur Total3])</f>
        <v>95118</v>
      </c>
      <c r="AQ2" s="292">
        <f>SUBTOTAL(9,Stock_year[Ulukhola Total3])</f>
        <v>82795</v>
      </c>
      <c r="AR2" s="292">
        <f>SUBTOTAL(9,Stock_year[Total Unit3])</f>
        <v>177913</v>
      </c>
      <c r="AS2" s="292">
        <f>SUBTOTAL(9,Stock_year[Sold Qty(Piece)3])</f>
        <v>66860</v>
      </c>
      <c r="AT2" s="292">
        <f>SUBTOTAL(9,Stock_year[Closing Stock Vobanipur3])</f>
        <v>28258</v>
      </c>
      <c r="AU2" s="292">
        <f>SUBTOTAL(9,Stock_year[Closing Stock Ulukhola3])</f>
        <v>82795</v>
      </c>
      <c r="AV2" s="292">
        <f>SUBTOTAL(9,Stock_year[Total Closing Stock Value3])</f>
        <v>64653040.436187498</v>
      </c>
      <c r="AW2" s="292">
        <f ca="1">SUBTOTAL(9,Stock_year[Opening Damage Unit3])</f>
        <v>33789</v>
      </c>
      <c r="AX2" s="316">
        <f ca="1">SUBTOTAL(9,Stock_year[Closing Damage unit3])</f>
        <v>33789</v>
      </c>
      <c r="AY2" s="307">
        <f>SUBTOTAL(9,Stock_year[Vobanipur Opening4])</f>
        <v>28258</v>
      </c>
      <c r="AZ2" s="292">
        <f>SUBTOTAL(9,Stock_year[Ulukhola Opening4])</f>
        <v>82795</v>
      </c>
      <c r="BA2" s="292">
        <f>SUBTOTAL(9,Stock_year[Opening Stock (Piece)4])</f>
        <v>111053</v>
      </c>
      <c r="BB2" s="292">
        <f>SUBTOTAL(9,Stock_year[Opening Stock (Ltr)4])</f>
        <v>163033.44999999998</v>
      </c>
      <c r="BC2" s="292">
        <f>SUBTOTAL(9,Stock_year[Ulukhola to Vobanipur Transfer4])</f>
        <v>41059</v>
      </c>
      <c r="BD2" s="292">
        <f>SUBTOTAL(9,Stock_year[New Arrival (vobanipur)4])</f>
        <v>0</v>
      </c>
      <c r="BE2" s="292">
        <f>SUBTOTAL(9,Stock_year[New Arrival(ulukhola)4])</f>
        <v>0</v>
      </c>
      <c r="BF2" s="292">
        <f>SUBTOTAL(9,Stock_year[Vobanipur Total4])</f>
        <v>69317</v>
      </c>
      <c r="BG2" s="292">
        <f>SUBTOTAL(9,Stock_year[Ulukhola Total4])</f>
        <v>41736</v>
      </c>
      <c r="BH2" s="292">
        <f>SUBTOTAL(9,Stock_year[Total Unit4])</f>
        <v>111053</v>
      </c>
      <c r="BI2" s="292">
        <f>SUBTOTAL(9,Stock_year[Sold Qty(Piece)4])</f>
        <v>50254</v>
      </c>
      <c r="BJ2" s="292">
        <f>SUBTOTAL(9,Stock_year[Closing Stock Vobanipur4])</f>
        <v>19063</v>
      </c>
      <c r="BK2" s="292">
        <f>SUBTOTAL(9,Stock_year[Closing Stock Ulukhola4])</f>
        <v>41736</v>
      </c>
      <c r="BL2" s="292">
        <f>SUBTOTAL(9,Stock_year[Total Closing Stock Value4])</f>
        <v>42811846.535246566</v>
      </c>
      <c r="BM2" s="292">
        <f ca="1">SUBTOTAL(9,Stock_year[Opening Damage Unit4])</f>
        <v>33789</v>
      </c>
      <c r="BN2" s="292">
        <f ca="1">SUBTOTAL(9,Stock_year[Closing Damage unit4])</f>
        <v>19606</v>
      </c>
    </row>
    <row r="3" spans="1:82" x14ac:dyDescent="0.5">
      <c r="A3" s="30" t="s">
        <v>208</v>
      </c>
      <c r="B3" s="30" t="s">
        <v>762</v>
      </c>
      <c r="C3" s="327" t="s">
        <v>950</v>
      </c>
      <c r="D3" s="318" t="s">
        <v>951</v>
      </c>
      <c r="E3" s="50" t="s">
        <v>832</v>
      </c>
      <c r="F3" s="50" t="s">
        <v>968</v>
      </c>
      <c r="G3" s="318" t="s">
        <v>952</v>
      </c>
      <c r="H3" s="318" t="s">
        <v>944</v>
      </c>
      <c r="I3" s="318" t="s">
        <v>945</v>
      </c>
      <c r="J3" s="50" t="s">
        <v>949</v>
      </c>
      <c r="K3" s="50" t="s">
        <v>948</v>
      </c>
      <c r="L3" s="319" t="s">
        <v>957</v>
      </c>
      <c r="M3" s="319" t="s">
        <v>956</v>
      </c>
      <c r="N3" s="320" t="s">
        <v>953</v>
      </c>
      <c r="O3" s="320" t="s">
        <v>954</v>
      </c>
      <c r="P3" s="319" t="s">
        <v>969</v>
      </c>
      <c r="Q3" s="321" t="s">
        <v>833</v>
      </c>
      <c r="R3" s="328" t="s">
        <v>955</v>
      </c>
      <c r="S3" s="30" t="s">
        <v>977</v>
      </c>
      <c r="T3" s="30" t="s">
        <v>980</v>
      </c>
      <c r="U3" s="30" t="s">
        <v>981</v>
      </c>
      <c r="V3" s="30" t="s">
        <v>982</v>
      </c>
      <c r="W3" s="299" t="s">
        <v>983</v>
      </c>
      <c r="X3" s="299" t="s">
        <v>984</v>
      </c>
      <c r="Y3" s="299" t="s">
        <v>985</v>
      </c>
      <c r="Z3" s="30" t="s">
        <v>986</v>
      </c>
      <c r="AA3" s="30" t="s">
        <v>987</v>
      </c>
      <c r="AB3" s="30" t="s">
        <v>988</v>
      </c>
      <c r="AC3" s="300" t="s">
        <v>989</v>
      </c>
      <c r="AD3" s="300" t="s">
        <v>990</v>
      </c>
      <c r="AE3" s="300" t="s">
        <v>991</v>
      </c>
      <c r="AF3" s="30" t="s">
        <v>992</v>
      </c>
      <c r="AG3" s="40" t="s">
        <v>993</v>
      </c>
      <c r="AH3" s="301" t="s">
        <v>994</v>
      </c>
      <c r="AI3" s="309" t="s">
        <v>995</v>
      </c>
      <c r="AJ3" s="30" t="s">
        <v>978</v>
      </c>
      <c r="AK3" s="30" t="s">
        <v>996</v>
      </c>
      <c r="AL3" s="30" t="s">
        <v>997</v>
      </c>
      <c r="AM3" s="299" t="s">
        <v>998</v>
      </c>
      <c r="AN3" s="299" t="s">
        <v>999</v>
      </c>
      <c r="AO3" s="299" t="s">
        <v>1000</v>
      </c>
      <c r="AP3" s="30" t="s">
        <v>1001</v>
      </c>
      <c r="AQ3" s="30" t="s">
        <v>1002</v>
      </c>
      <c r="AR3" s="30" t="s">
        <v>1161</v>
      </c>
      <c r="AS3" s="30" t="s">
        <v>1003</v>
      </c>
      <c r="AT3" s="30" t="s">
        <v>1004</v>
      </c>
      <c r="AU3" s="30" t="s">
        <v>1005</v>
      </c>
      <c r="AV3" s="30" t="s">
        <v>1006</v>
      </c>
      <c r="AW3" s="40" t="s">
        <v>1007</v>
      </c>
      <c r="AX3" s="301" t="s">
        <v>1008</v>
      </c>
      <c r="AY3" s="30" t="s">
        <v>1009</v>
      </c>
      <c r="AZ3" s="30" t="s">
        <v>1010</v>
      </c>
      <c r="BA3" s="30" t="s">
        <v>979</v>
      </c>
      <c r="BB3" s="30" t="s">
        <v>1011</v>
      </c>
      <c r="BC3" s="299" t="s">
        <v>1012</v>
      </c>
      <c r="BD3" s="30" t="s">
        <v>1013</v>
      </c>
      <c r="BE3" s="30" t="s">
        <v>1014</v>
      </c>
      <c r="BF3" s="30" t="s">
        <v>1015</v>
      </c>
      <c r="BG3" s="30" t="s">
        <v>1016</v>
      </c>
      <c r="BH3" s="30" t="s">
        <v>1017</v>
      </c>
      <c r="BI3" s="30" t="s">
        <v>1018</v>
      </c>
      <c r="BJ3" s="30" t="s">
        <v>1019</v>
      </c>
      <c r="BK3" s="30" t="s">
        <v>1020</v>
      </c>
      <c r="BL3" s="30" t="s">
        <v>1021</v>
      </c>
      <c r="BM3" s="40" t="s">
        <v>1022</v>
      </c>
      <c r="BN3" s="30" t="s">
        <v>1023</v>
      </c>
    </row>
    <row r="4" spans="1:82" x14ac:dyDescent="0.5">
      <c r="A4" t="s">
        <v>31</v>
      </c>
      <c r="B4" t="s">
        <v>763</v>
      </c>
      <c r="C4" s="329">
        <v>6202</v>
      </c>
      <c r="D4" s="322">
        <f>18760-2500-820</f>
        <v>15440</v>
      </c>
      <c r="E4" s="3">
        <f>Stock_year[[#This Row],[Vobanipur Opening]]+Stock_year[[#This Row],[Ulukhola Opening]]</f>
        <v>21642</v>
      </c>
      <c r="F4" s="3">
        <f>VLOOKUP(Stock_year[[#This Row],[SKU ID]],SKU[[SKU ID]:[Bottle Size(Ltr)]],6,0)*Stock_year[[#This Row],[Opening Stock (Piece)]]</f>
        <v>21642</v>
      </c>
      <c r="G4" s="3">
        <v>5080</v>
      </c>
      <c r="H4" s="3"/>
      <c r="I4" s="3"/>
      <c r="J4" s="3">
        <f>Stock_year[[#This Row],[Vobanipur Opening]]+Stock_year[[#This Row],[New Arrival (vobanipur)]]+Stock_year[[#This Row],[Ulukhola to Vobanipur Transfer]]</f>
        <v>11282</v>
      </c>
      <c r="K4" s="3">
        <f>Stock_year[[#This Row],[Ulukhola Opening]]+Stock_year[[#This Row],[New Arrival(ulukhola)]]-Stock_year[[#This Row],[Ulukhola to Vobanipur Transfer]]</f>
        <v>10360</v>
      </c>
      <c r="L4" s="3">
        <f>Stock_year[[#This Row],[Opening Stock (Piece)]]+Stock_year[[#This Row],[New Arrival(ulukhola)]]</f>
        <v>21642</v>
      </c>
      <c r="M4" s="3">
        <f>SUMIFS(Primary_Order[Total Qty],Primary_Order[Date],"&gt;="&amp;C$1,Primary_Order[Date],"&lt;="&amp;EOMONTH(C$1,0),Primary_Order[Product ID],Stock_year[[#This Row],[SKU ID]],Primary_Order[Status],'Stock Report'!$A$1)</f>
        <v>3400</v>
      </c>
      <c r="N4" s="3">
        <f>Stock_year[[#This Row],[Vobanipur Total]]-Stock_year[[#This Row],[Sold Qty(Piece)]]</f>
        <v>7882</v>
      </c>
      <c r="O4" s="3">
        <f>Stock_year[[#This Row],[Ulukhola Opening]]-Stock_year[[#This Row],[Ulukhola to Vobanipur Transfer]]+Stock_year[[#This Row],[New Arrival(ulukhola)]]</f>
        <v>10360</v>
      </c>
      <c r="P4" s="3">
        <f>Stock_year[[#This Row],[Ulukhola Total]]</f>
        <v>10360</v>
      </c>
      <c r="Q4" s="3">
        <v>936</v>
      </c>
      <c r="R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936</v>
      </c>
      <c r="S4" s="303">
        <f>Stock_year[[#This Row],[Closing Stock Vobanipur]]</f>
        <v>7882</v>
      </c>
      <c r="T4" s="303">
        <f>Stock_year[[#This Row],[Closing Stock Ulukhola]]</f>
        <v>10360</v>
      </c>
      <c r="U4" s="303">
        <f>Stock_year[[#This Row],[Vobanipur Opening2]]+Stock_year[[#This Row],[Ulukhola Opening2]]</f>
        <v>18242</v>
      </c>
      <c r="V4" s="303">
        <f>VLOOKUP(Stock_year[[#This Row],[SKU ID]],SKU[[SKU ID]:[Bottle Size(Ltr)]],6,0)*Stock_year[[#This Row],[Opening Stock (Piece)2]]</f>
        <v>18242</v>
      </c>
      <c r="W4" s="303">
        <v>0</v>
      </c>
      <c r="X4" s="303"/>
      <c r="Y4" s="303"/>
      <c r="Z4" s="303">
        <f>Stock_year[[#This Row],[Vobanipur Opening2]]+Stock_year[[#This Row],[Ulukhola to Vobanipur Transfer2]]+Stock_year[[#This Row],[New Arrival (vobanipur)2]]</f>
        <v>7882</v>
      </c>
      <c r="AA4" s="303">
        <f>Stock_year[[#This Row],[Ulukhola Opening2]]-Stock_year[[#This Row],[Ulukhola to Vobanipur Transfer2]]+Stock_year[[#This Row],[New Arrival(ulukhola)2]]</f>
        <v>10360</v>
      </c>
      <c r="AB4" s="303">
        <f>Stock_year[[#This Row],[Vobanipur Total2]]+Stock_year[[#This Row],[Ulukhola Total2]]</f>
        <v>18242</v>
      </c>
      <c r="AC4" s="303">
        <f>SUMIFS(Primary_Order[Total Qty],Primary_Order[Date],"&gt;="&amp;S$1,Primary_Order[Date],"&lt;="&amp;EOMONTH(S$1,0),Primary_Order[Product ID],Stock_year[[#This Row],[SKU ID]],Primary_Order[Status],'Stock Report'!$A$1)</f>
        <v>2560</v>
      </c>
      <c r="AD4" s="303">
        <f>Stock_year[[#This Row],[Vobanipur Total2]]-Stock_year[[#This Row],[Sold Qty(Piece)2]]</f>
        <v>5322</v>
      </c>
      <c r="AE4" s="303">
        <f>Stock_year[[#This Row],[Ulukhola Opening2]]-Stock_year[[#This Row],[Ulukhola to Vobanipur Transfer2]]+Stock_year[[#This Row],[New Arrival(ulukhola)2]]</f>
        <v>10360</v>
      </c>
      <c r="AF4" s="303">
        <f>VLOOKUP(Stock_year[[#This Row],[SKU ID]],SKU[],14,0)*(Stock_year[[#This Row],[Closing Stock Vobanipur2]]+Stock_year[[#This Row],[Closing Stock Ulukhola2]])</f>
        <v>5948653.0599999996</v>
      </c>
      <c r="AG4" s="303">
        <f ca="1">OFFSET(Stock_year[[#This Row],[Total Closing Stock Value2]],0,-14)</f>
        <v>936</v>
      </c>
      <c r="AH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936</v>
      </c>
      <c r="AI4" s="302">
        <f>Stock_year[[#This Row],[Closing Stock Vobanipur2]]</f>
        <v>5322</v>
      </c>
      <c r="AJ4" s="303">
        <f>Stock_year[[#This Row],[Closing Stock Ulukhola2]]</f>
        <v>10360</v>
      </c>
      <c r="AK4" s="303">
        <f>Stock_year[[#This Row],[Vobanipur Opening3]]+Stock_year[[#This Row],[Ulukhola Opening3]]</f>
        <v>15682</v>
      </c>
      <c r="AL4" s="303">
        <f>VLOOKUP(Stock_year[[#This Row],[SKU ID]],SKU[[SKU ID]:[Bottle Size(Ltr)]],6,0)*Stock_year[[#This Row],[Opening Stock (Piece)3]]</f>
        <v>15682</v>
      </c>
      <c r="AM4" s="303">
        <v>0</v>
      </c>
      <c r="AN4" s="303"/>
      <c r="AO4" s="303"/>
      <c r="AP4" s="303">
        <f>Stock_year[[#This Row],[Vobanipur Opening3]]+Stock_year[[#This Row],[New Arrival (vobanipur)3]]+Stock_year[[#This Row],[Ulukhola to Vobanipur Transfer3]]</f>
        <v>5322</v>
      </c>
      <c r="AQ4" s="303">
        <f>Stock_year[[#This Row],[Ulukhola Opening3]]-Stock_year[[#This Row],[Ulukhola to Vobanipur Transfer3]]+Stock_year[[#This Row],[New Arrival(ulukhola)3]]</f>
        <v>10360</v>
      </c>
      <c r="AR4" s="303">
        <f>Stock_year[[#This Row],[Vobanipur Total3]]+Stock_year[[#This Row],[Ulukhola Total3]]</f>
        <v>15682</v>
      </c>
      <c r="AS4" s="303">
        <f>SUMIFS(Primary_Order[Total Qty],Primary_Order[Date],"&gt;="&amp;AI$1,Primary_Order[Date],"&lt;="&amp;EOMONTH(AI$1,0),Primary_Order[Product ID],Stock_year[[#This Row],[SKU ID]],Primary_Order[Status],'Stock Report'!$A$1)</f>
        <v>1740</v>
      </c>
      <c r="AT4" s="303">
        <f>Stock_year[[#This Row],[Vobanipur Total3]]-Stock_year[[#This Row],[Sold Qty(Piece)3]]</f>
        <v>3582</v>
      </c>
      <c r="AU4" s="303">
        <f>Stock_year[[#This Row],[Ulukhola Total3]]</f>
        <v>10360</v>
      </c>
      <c r="AV4" s="303">
        <f>VLOOKUP(Stock_year[[#This Row],[SKU ID]],SKU[],14,0)*(Stock_year[[#This Row],[Closing Stock Vobanipur3]]+Stock_year[[#This Row],[Closing Stock Ulukhola3]])</f>
        <v>5288618.8599999994</v>
      </c>
      <c r="AW4" s="303">
        <f ca="1">Stock_year[[#This Row],[Closing Damage unit2]]</f>
        <v>936</v>
      </c>
      <c r="AX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936</v>
      </c>
      <c r="AY4" s="32">
        <f>Stock_year[[#This Row],[Closing Stock Vobanipur3]]</f>
        <v>3582</v>
      </c>
      <c r="AZ4" s="32">
        <f>Stock_year[[#This Row],[Closing Stock Ulukhola3]]</f>
        <v>10360</v>
      </c>
      <c r="BA4" s="32">
        <f>Stock_year[[#This Row],[Vobanipur Opening4]]+Stock_year[[#This Row],[Ulukhola Opening4]]</f>
        <v>13942</v>
      </c>
      <c r="BB4" s="32">
        <f>VLOOKUP(Stock_year[[#This Row],[SKU ID]],SKU[[SKU ID]:[Bottle Size(Ltr)]],6,0)*Stock_year[[#This Row],[Opening Stock (Piece)4]]</f>
        <v>13942</v>
      </c>
      <c r="BC4" s="32">
        <v>9080</v>
      </c>
      <c r="BD4" s="32"/>
      <c r="BE4" s="32"/>
      <c r="BF4" s="32">
        <f>Stock_year[[#This Row],[Vobanipur Opening4]]+Stock_year[[#This Row],[New Arrival (vobanipur)4]]+Stock_year[[#This Row],[Ulukhola to Vobanipur Transfer4]]</f>
        <v>12662</v>
      </c>
      <c r="BG4" s="32">
        <f>Stock_year[[#This Row],[Ulukhola Opening4]]-Stock_year[[#This Row],[Ulukhola to Vobanipur Transfer4]]+Stock_year[[#This Row],[New Arrival(ulukhola)4]]</f>
        <v>1280</v>
      </c>
      <c r="BH4" s="32">
        <f>Stock_year[[#This Row],[Vobanipur Total4]]+Stock_year[[#This Row],[Ulukhola Total4]]</f>
        <v>13942</v>
      </c>
      <c r="BI4" s="32">
        <f>SUMIFS(Primary_Order[Total Qty],Primary_Order[Date],"&gt;="&amp;AY$1,Primary_Order[Date],"&lt;="&amp;EOMONTH(AY$1,0),Primary_Order[Product ID],Stock_year[[#This Row],[SKU ID]],Primary_Order[Status],'Stock Report'!$A$1)</f>
        <v>6652</v>
      </c>
      <c r="BJ4" s="32">
        <f>Stock_year[[#This Row],[Vobanipur Total4]]-Stock_year[[#This Row],[Sold Qty(Piece)4]]</f>
        <v>6010</v>
      </c>
      <c r="BK4" s="32">
        <f>Stock_year[[#This Row],[Ulukhola Total4]]</f>
        <v>1280</v>
      </c>
      <c r="BL4" s="32">
        <f>VLOOKUP(Stock_year[[#This Row],[SKU ID]],SKU[],14,0)*(Stock_year[[#This Row],[Closing Stock Vobanipur4]]+Stock_year[[#This Row],[Closing Stock Ulukhola4]])</f>
        <v>2765315.6999999997</v>
      </c>
      <c r="BM4" s="32">
        <f ca="1">Stock_year[[#This Row],[Closing Damage unit3]]</f>
        <v>936</v>
      </c>
      <c r="BN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936</v>
      </c>
    </row>
    <row r="5" spans="1:82" x14ac:dyDescent="0.5">
      <c r="A5" t="s">
        <v>32</v>
      </c>
      <c r="B5" t="s">
        <v>764</v>
      </c>
      <c r="C5" s="331">
        <f>3456-18</f>
        <v>3438</v>
      </c>
      <c r="D5" s="3">
        <v>0</v>
      </c>
      <c r="E5" s="3">
        <f>Stock_year[[#This Row],[Vobanipur Opening]]+Stock_year[[#This Row],[Ulukhola Opening]]</f>
        <v>3438</v>
      </c>
      <c r="F5" s="3">
        <f>VLOOKUP(Stock_year[[#This Row],[SKU ID]],SKU[[SKU ID]:[Bottle Size(Ltr)]],6,0)*Stock_year[[#This Row],[Opening Stock (Piece)]]</f>
        <v>4125.5999999999995</v>
      </c>
      <c r="G5" s="3">
        <v>0</v>
      </c>
      <c r="H5" s="3"/>
      <c r="I5" s="3"/>
      <c r="J5" s="3">
        <f>Stock_year[[#This Row],[Vobanipur Opening]]+Stock_year[[#This Row],[New Arrival (vobanipur)]]+Stock_year[[#This Row],[Ulukhola to Vobanipur Transfer]]</f>
        <v>3438</v>
      </c>
      <c r="K5" s="3">
        <f>Stock_year[[#This Row],[Ulukhola Opening]]+Stock_year[[#This Row],[New Arrival(ulukhola)]]-Stock_year[[#This Row],[Ulukhola to Vobanipur Transfer]]</f>
        <v>0</v>
      </c>
      <c r="L5" s="3">
        <f>Stock_year[[#This Row],[Opening Stock (Piece)]]+Stock_year[[#This Row],[New Arrival(ulukhola)]]</f>
        <v>3438</v>
      </c>
      <c r="M5" s="3">
        <f>SUMIFS(Primary_Order[Total Qty],Primary_Order[Date],"&gt;="&amp;C$1,Primary_Order[Date],"&lt;="&amp;EOMONTH(C$1,0),Primary_Order[Product ID],Stock_year[[#This Row],[SKU ID]],Primary_Order[Status],'Stock Report'!$A$1)</f>
        <v>2300</v>
      </c>
      <c r="N5" s="3">
        <f>Stock_year[[#This Row],[Vobanipur Total]]-Stock_year[[#This Row],[Sold Qty(Piece)]]</f>
        <v>1138</v>
      </c>
      <c r="O5" s="3">
        <f>Stock_year[[#This Row],[Ulukhola Opening]]-Stock_year[[#This Row],[Ulukhola to Vobanipur Transfer]]+Stock_year[[#This Row],[New Arrival(ulukhola)]]</f>
        <v>0</v>
      </c>
      <c r="P5" s="3">
        <f>Stock_year[[#This Row],[Ulukhola Total]]</f>
        <v>0</v>
      </c>
      <c r="Q5" s="3">
        <v>181</v>
      </c>
      <c r="R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181</v>
      </c>
      <c r="S5" s="303">
        <f>Stock_year[[#This Row],[Closing Stock Vobanipur]]</f>
        <v>1138</v>
      </c>
      <c r="T5" s="303">
        <f>Stock_year[[#This Row],[Closing Stock Ulukhola]]</f>
        <v>0</v>
      </c>
      <c r="U5" s="303">
        <f>Stock_year[[#This Row],[Vobanipur Opening2]]+Stock_year[[#This Row],[Ulukhola Opening2]]</f>
        <v>1138</v>
      </c>
      <c r="V5" s="303">
        <f>VLOOKUP(Stock_year[[#This Row],[SKU ID]],SKU[[SKU ID]:[Bottle Size(Ltr)]],6,0)*Stock_year[[#This Row],[Opening Stock (Piece)2]]</f>
        <v>1365.6</v>
      </c>
      <c r="W5" s="303">
        <v>0</v>
      </c>
      <c r="X5" s="303"/>
      <c r="Y5" s="303"/>
      <c r="Z5" s="303">
        <f>Stock_year[[#This Row],[Vobanipur Opening2]]+Stock_year[[#This Row],[Ulukhola to Vobanipur Transfer2]]+Stock_year[[#This Row],[New Arrival (vobanipur)2]]</f>
        <v>1138</v>
      </c>
      <c r="AA5" s="303">
        <f>Stock_year[[#This Row],[Ulukhola Opening2]]-Stock_year[[#This Row],[Ulukhola to Vobanipur Transfer2]]+Stock_year[[#This Row],[New Arrival(ulukhola)2]]</f>
        <v>0</v>
      </c>
      <c r="AB5" s="303">
        <f>Stock_year[[#This Row],[Vobanipur Total2]]+Stock_year[[#This Row],[Ulukhola Total2]]</f>
        <v>1138</v>
      </c>
      <c r="AC5" s="303">
        <f>SUMIFS(Primary_Order[Total Qty],Primary_Order[Date],"&gt;="&amp;S$1,Primary_Order[Date],"&lt;="&amp;EOMONTH(S$1,0),Primary_Order[Product ID],Stock_year[[#This Row],[SKU ID]],Primary_Order[Status],'Stock Report'!$A$1)</f>
        <v>1120</v>
      </c>
      <c r="AD5" s="303">
        <f>Stock_year[[#This Row],[Vobanipur Total2]]-Stock_year[[#This Row],[Sold Qty(Piece)2]]</f>
        <v>18</v>
      </c>
      <c r="AE5" s="303">
        <f>Stock_year[[#This Row],[Ulukhola Opening2]]-Stock_year[[#This Row],[Ulukhola to Vobanipur Transfer2]]+Stock_year[[#This Row],[New Arrival(ulukhola)2]]</f>
        <v>0</v>
      </c>
      <c r="AF5" s="303">
        <f>VLOOKUP(Stock_year[[#This Row],[SKU ID]],SKU[],14,0)*(Stock_year[[#This Row],[Closing Stock Vobanipur2]]+Stock_year[[#This Row],[Closing Stock Ulukhola2]])</f>
        <v>7900.2</v>
      </c>
      <c r="AG5" s="303">
        <f ca="1">OFFSET(Stock_year[[#This Row],[Total Closing Stock Value2]],0,-14)</f>
        <v>181</v>
      </c>
      <c r="AH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181</v>
      </c>
      <c r="AI5" s="302">
        <f>Stock_year[[#This Row],[Closing Stock Vobanipur2]]</f>
        <v>18</v>
      </c>
      <c r="AJ5" s="303">
        <f>Stock_year[[#This Row],[Closing Stock Ulukhola2]]</f>
        <v>0</v>
      </c>
      <c r="AK5" s="303">
        <f>Stock_year[[#This Row],[Vobanipur Opening3]]+Stock_year[[#This Row],[Ulukhola Opening3]]</f>
        <v>18</v>
      </c>
      <c r="AL5" s="303">
        <f>VLOOKUP(Stock_year[[#This Row],[SKU ID]],SKU[[SKU ID]:[Bottle Size(Ltr)]],6,0)*Stock_year[[#This Row],[Opening Stock (Piece)3]]</f>
        <v>21.599999999999998</v>
      </c>
      <c r="AM5" s="303">
        <v>0</v>
      </c>
      <c r="AN5" s="303"/>
      <c r="AO5" s="303"/>
      <c r="AP5" s="303">
        <f>Stock_year[[#This Row],[Vobanipur Opening3]]+Stock_year[[#This Row],[New Arrival (vobanipur)3]]+Stock_year[[#This Row],[Ulukhola to Vobanipur Transfer3]]</f>
        <v>18</v>
      </c>
      <c r="AQ5" s="303">
        <f>Stock_year[[#This Row],[Ulukhola Opening3]]-Stock_year[[#This Row],[Ulukhola to Vobanipur Transfer3]]+Stock_year[[#This Row],[New Arrival(ulukhola)3]]</f>
        <v>0</v>
      </c>
      <c r="AR5" s="303">
        <f>Stock_year[[#This Row],[Vobanipur Total3]]+Stock_year[[#This Row],[Ulukhola Total3]]</f>
        <v>18</v>
      </c>
      <c r="AS5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" s="303">
        <f>Stock_year[[#This Row],[Vobanipur Total3]]-Stock_year[[#This Row],[Sold Qty(Piece)3]]</f>
        <v>18</v>
      </c>
      <c r="AU5" s="303">
        <f>Stock_year[[#This Row],[Ulukhola Total3]]</f>
        <v>0</v>
      </c>
      <c r="AV5" s="303">
        <f>VLOOKUP(Stock_year[[#This Row],[SKU ID]],SKU[],14,0)*(Stock_year[[#This Row],[Closing Stock Vobanipur3]]+Stock_year[[#This Row],[Closing Stock Ulukhola3]])</f>
        <v>7900.2</v>
      </c>
      <c r="AW5" s="303">
        <f ca="1">Stock_year[[#This Row],[Closing Damage unit2]]</f>
        <v>181</v>
      </c>
      <c r="AX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181</v>
      </c>
      <c r="AY5" s="32">
        <f>Stock_year[[#This Row],[Closing Stock Vobanipur3]]</f>
        <v>18</v>
      </c>
      <c r="AZ5" s="32">
        <f>Stock_year[[#This Row],[Closing Stock Ulukhola3]]</f>
        <v>0</v>
      </c>
      <c r="BA5" s="32">
        <f>Stock_year[[#This Row],[Vobanipur Opening4]]+Stock_year[[#This Row],[Ulukhola Opening4]]</f>
        <v>18</v>
      </c>
      <c r="BB5" s="32">
        <f>VLOOKUP(Stock_year[[#This Row],[SKU ID]],SKU[[SKU ID]:[Bottle Size(Ltr)]],6,0)*Stock_year[[#This Row],[Opening Stock (Piece)4]]</f>
        <v>21.599999999999998</v>
      </c>
      <c r="BC5" s="32">
        <v>0</v>
      </c>
      <c r="BD5" s="32"/>
      <c r="BE5" s="32"/>
      <c r="BF5" s="32">
        <f>Stock_year[[#This Row],[Vobanipur Opening4]]+Stock_year[[#This Row],[New Arrival (vobanipur)4]]+Stock_year[[#This Row],[Ulukhola to Vobanipur Transfer4]]</f>
        <v>18</v>
      </c>
      <c r="BG5" s="32">
        <f>Stock_year[[#This Row],[Ulukhola Opening4]]-Stock_year[[#This Row],[Ulukhola to Vobanipur Transfer4]]+Stock_year[[#This Row],[New Arrival(ulukhola)4]]</f>
        <v>0</v>
      </c>
      <c r="BH5" s="32">
        <f>Stock_year[[#This Row],[Vobanipur Total4]]+Stock_year[[#This Row],[Ulukhola Total4]]</f>
        <v>18</v>
      </c>
      <c r="BI5" s="32">
        <f>SUMIFS(Primary_Order[Total Qty],Primary_Order[Date],"&gt;="&amp;AY$1,Primary_Order[Date],"&lt;="&amp;EOMONTH(AY$1,0),Primary_Order[Product ID],Stock_year[[#This Row],[SKU ID]],Primary_Order[Status],'Stock Report'!$A$1)</f>
        <v>2</v>
      </c>
      <c r="BJ5" s="32">
        <f>Stock_year[[#This Row],[Vobanipur Total4]]-Stock_year[[#This Row],[Sold Qty(Piece)4]]</f>
        <v>16</v>
      </c>
      <c r="BK5" s="32">
        <f>Stock_year[[#This Row],[Ulukhola Total4]]</f>
        <v>0</v>
      </c>
      <c r="BL5" s="32">
        <f>VLOOKUP(Stock_year[[#This Row],[SKU ID]],SKU[],14,0)*(Stock_year[[#This Row],[Closing Stock Vobanipur4]]+Stock_year[[#This Row],[Closing Stock Ulukhola4]])</f>
        <v>7022.4</v>
      </c>
      <c r="BM5" s="32">
        <f ca="1">Stock_year[[#This Row],[Closing Damage unit3]]</f>
        <v>181</v>
      </c>
      <c r="BN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181</v>
      </c>
    </row>
    <row r="6" spans="1:82" x14ac:dyDescent="0.5">
      <c r="A6" t="s">
        <v>53</v>
      </c>
      <c r="B6" t="s">
        <v>765</v>
      </c>
      <c r="C6" s="329">
        <v>5775</v>
      </c>
      <c r="D6" s="322">
        <f>21740-3000</f>
        <v>18740</v>
      </c>
      <c r="E6" s="3">
        <f>Stock_year[[#This Row],[Vobanipur Opening]]+Stock_year[[#This Row],[Ulukhola Opening]]</f>
        <v>24515</v>
      </c>
      <c r="F6" s="3">
        <f>VLOOKUP(Stock_year[[#This Row],[SKU ID]],SKU[[SKU ID]:[Bottle Size(Ltr)]],6,0)*Stock_year[[#This Row],[Opening Stock (Piece)]]</f>
        <v>24515</v>
      </c>
      <c r="G6" s="3">
        <v>4900</v>
      </c>
      <c r="H6" s="3"/>
      <c r="I6" s="3"/>
      <c r="J6" s="3">
        <f>Stock_year[[#This Row],[Vobanipur Opening]]+Stock_year[[#This Row],[New Arrival (vobanipur)]]+Stock_year[[#This Row],[Ulukhola to Vobanipur Transfer]]</f>
        <v>10675</v>
      </c>
      <c r="K6" s="3">
        <f>Stock_year[[#This Row],[Ulukhola Opening]]+Stock_year[[#This Row],[New Arrival(ulukhola)]]-Stock_year[[#This Row],[Ulukhola to Vobanipur Transfer]]</f>
        <v>13840</v>
      </c>
      <c r="L6" s="3">
        <f>Stock_year[[#This Row],[Opening Stock (Piece)]]+Stock_year[[#This Row],[New Arrival(ulukhola)]]</f>
        <v>24515</v>
      </c>
      <c r="M6" s="3">
        <f>SUMIFS(Primary_Order[Total Qty],Primary_Order[Date],"&gt;="&amp;C$1,Primary_Order[Date],"&lt;="&amp;EOMONTH(C$1,0),Primary_Order[Product ID],Stock_year[[#This Row],[SKU ID]],Primary_Order[Status],'Stock Report'!$A$1)</f>
        <v>2540</v>
      </c>
      <c r="N6" s="3">
        <f>Stock_year[[#This Row],[Vobanipur Total]]-Stock_year[[#This Row],[Sold Qty(Piece)]]</f>
        <v>8135</v>
      </c>
      <c r="O6" s="3">
        <f>Stock_year[[#This Row],[Ulukhola Opening]]-Stock_year[[#This Row],[Ulukhola to Vobanipur Transfer]]+Stock_year[[#This Row],[New Arrival(ulukhola)]]</f>
        <v>13840</v>
      </c>
      <c r="P6" s="3">
        <f>Stock_year[[#This Row],[Ulukhola Total]]</f>
        <v>13840</v>
      </c>
      <c r="Q6" s="3">
        <v>2247</v>
      </c>
      <c r="R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2247</v>
      </c>
      <c r="S6" s="303">
        <f>Stock_year[[#This Row],[Closing Stock Vobanipur]]</f>
        <v>8135</v>
      </c>
      <c r="T6" s="303">
        <f>Stock_year[[#This Row],[Closing Stock Ulukhola]]</f>
        <v>13840</v>
      </c>
      <c r="U6" s="303">
        <f>Stock_year[[#This Row],[Vobanipur Opening2]]+Stock_year[[#This Row],[Ulukhola Opening2]]</f>
        <v>21975</v>
      </c>
      <c r="V6" s="303">
        <f>VLOOKUP(Stock_year[[#This Row],[SKU ID]],SKU[[SKU ID]:[Bottle Size(Ltr)]],6,0)*Stock_year[[#This Row],[Opening Stock (Piece)2]]</f>
        <v>21975</v>
      </c>
      <c r="W6" s="303">
        <v>7820</v>
      </c>
      <c r="X6" s="303"/>
      <c r="Y6" s="303"/>
      <c r="Z6" s="303">
        <f>Stock_year[[#This Row],[Vobanipur Opening2]]+Stock_year[[#This Row],[Ulukhola to Vobanipur Transfer2]]+Stock_year[[#This Row],[New Arrival (vobanipur)2]]</f>
        <v>15955</v>
      </c>
      <c r="AA6" s="303">
        <f>Stock_year[[#This Row],[Ulukhola Opening2]]-Stock_year[[#This Row],[Ulukhola to Vobanipur Transfer2]]+Stock_year[[#This Row],[New Arrival(ulukhola)2]]</f>
        <v>6020</v>
      </c>
      <c r="AB6" s="303">
        <f>Stock_year[[#This Row],[Vobanipur Total2]]+Stock_year[[#This Row],[Ulukhola Total2]]</f>
        <v>21975</v>
      </c>
      <c r="AC6" s="303">
        <f>SUMIFS(Primary_Order[Total Qty],Primary_Order[Date],"&gt;="&amp;S$1,Primary_Order[Date],"&lt;="&amp;EOMONTH(S$1,0),Primary_Order[Product ID],Stock_year[[#This Row],[SKU ID]],Primary_Order[Status],'Stock Report'!$A$1)</f>
        <v>7740</v>
      </c>
      <c r="AD6" s="303">
        <f>Stock_year[[#This Row],[Vobanipur Total2]]-Stock_year[[#This Row],[Sold Qty(Piece)2]]</f>
        <v>8215</v>
      </c>
      <c r="AE6" s="303">
        <f>Stock_year[[#This Row],[Ulukhola Opening2]]-Stock_year[[#This Row],[Ulukhola to Vobanipur Transfer2]]+Stock_year[[#This Row],[New Arrival(ulukhola)2]]</f>
        <v>6020</v>
      </c>
      <c r="AF6" s="303">
        <f>VLOOKUP(Stock_year[[#This Row],[SKU ID]],SKU[],14,0)*(Stock_year[[#This Row],[Closing Stock Vobanipur2]]+Stock_year[[#This Row],[Closing Stock Ulukhola2]])</f>
        <v>5875638.5999999996</v>
      </c>
      <c r="AG6" s="303">
        <f ca="1">OFFSET(Stock_year[[#This Row],[Total Closing Stock Value2]],0,-14)</f>
        <v>2247</v>
      </c>
      <c r="AH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2247</v>
      </c>
      <c r="AI6" s="302">
        <f>Stock_year[[#This Row],[Closing Stock Vobanipur2]]</f>
        <v>8215</v>
      </c>
      <c r="AJ6" s="303">
        <f>Stock_year[[#This Row],[Closing Stock Ulukhola2]]</f>
        <v>6020</v>
      </c>
      <c r="AK6" s="303">
        <f>Stock_year[[#This Row],[Vobanipur Opening3]]+Stock_year[[#This Row],[Ulukhola Opening3]]</f>
        <v>14235</v>
      </c>
      <c r="AL6" s="303">
        <f>VLOOKUP(Stock_year[[#This Row],[SKU ID]],SKU[[SKU ID]:[Bottle Size(Ltr)]],6,0)*Stock_year[[#This Row],[Opening Stock (Piece)3]]</f>
        <v>14235</v>
      </c>
      <c r="AM6" s="303">
        <v>0</v>
      </c>
      <c r="AN6" s="303"/>
      <c r="AO6" s="303"/>
      <c r="AP6" s="303">
        <f>Stock_year[[#This Row],[Vobanipur Opening3]]+Stock_year[[#This Row],[New Arrival (vobanipur)3]]+Stock_year[[#This Row],[Ulukhola to Vobanipur Transfer3]]</f>
        <v>8215</v>
      </c>
      <c r="AQ6" s="303">
        <f>Stock_year[[#This Row],[Ulukhola Opening3]]-Stock_year[[#This Row],[Ulukhola to Vobanipur Transfer3]]+Stock_year[[#This Row],[New Arrival(ulukhola)3]]</f>
        <v>6020</v>
      </c>
      <c r="AR6" s="303">
        <f>Stock_year[[#This Row],[Vobanipur Total3]]+Stock_year[[#This Row],[Ulukhola Total3]]</f>
        <v>14235</v>
      </c>
      <c r="AS6" s="303">
        <f>SUMIFS(Primary_Order[Total Qty],Primary_Order[Date],"&gt;="&amp;AI$1,Primary_Order[Date],"&lt;="&amp;EOMONTH(AI$1,0),Primary_Order[Product ID],Stock_year[[#This Row],[SKU ID]],Primary_Order[Status],'Stock Report'!$A$1)</f>
        <v>7020</v>
      </c>
      <c r="AT6" s="303">
        <f>Stock_year[[#This Row],[Vobanipur Total3]]-Stock_year[[#This Row],[Sold Qty(Piece)3]]</f>
        <v>1195</v>
      </c>
      <c r="AU6" s="303">
        <f>Stock_year[[#This Row],[Ulukhola Total3]]</f>
        <v>6020</v>
      </c>
      <c r="AV6" s="303">
        <f>VLOOKUP(Stock_year[[#This Row],[SKU ID]],SKU[],14,0)*(Stock_year[[#This Row],[Closing Stock Vobanipur3]]+Stock_year[[#This Row],[Closing Stock Ulukhola3]])</f>
        <v>2978063.4</v>
      </c>
      <c r="AW6" s="303">
        <f ca="1">Stock_year[[#This Row],[Closing Damage unit2]]</f>
        <v>2247</v>
      </c>
      <c r="AX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2247</v>
      </c>
      <c r="AY6" s="32">
        <f>Stock_year[[#This Row],[Closing Stock Vobanipur3]]</f>
        <v>1195</v>
      </c>
      <c r="AZ6" s="32">
        <f>Stock_year[[#This Row],[Closing Stock Ulukhola3]]</f>
        <v>6020</v>
      </c>
      <c r="BA6" s="32">
        <f>Stock_year[[#This Row],[Vobanipur Opening4]]+Stock_year[[#This Row],[Ulukhola Opening4]]</f>
        <v>7215</v>
      </c>
      <c r="BB6" s="32">
        <f>VLOOKUP(Stock_year[[#This Row],[SKU ID]],SKU[[SKU ID]:[Bottle Size(Ltr)]],6,0)*Stock_year[[#This Row],[Opening Stock (Piece)4]]</f>
        <v>7215</v>
      </c>
      <c r="BC6" s="32">
        <v>6020</v>
      </c>
      <c r="BD6" s="32"/>
      <c r="BE6" s="32"/>
      <c r="BF6" s="32">
        <f>Stock_year[[#This Row],[Vobanipur Opening4]]+Stock_year[[#This Row],[New Arrival (vobanipur)4]]+Stock_year[[#This Row],[Ulukhola to Vobanipur Transfer4]]</f>
        <v>7215</v>
      </c>
      <c r="BG6" s="32">
        <f>Stock_year[[#This Row],[Ulukhola Opening4]]-Stock_year[[#This Row],[Ulukhola to Vobanipur Transfer4]]+Stock_year[[#This Row],[New Arrival(ulukhola)4]]</f>
        <v>0</v>
      </c>
      <c r="BH6" s="32">
        <f>Stock_year[[#This Row],[Vobanipur Total4]]+Stock_year[[#This Row],[Ulukhola Total4]]</f>
        <v>7215</v>
      </c>
      <c r="BI6" s="32">
        <f>SUMIFS(Primary_Order[Total Qty],Primary_Order[Date],"&gt;="&amp;AY$1,Primary_Order[Date],"&lt;="&amp;EOMONTH(AY$1,0),Primary_Order[Product ID],Stock_year[[#This Row],[SKU ID]],Primary_Order[Status],'Stock Report'!$A$1)</f>
        <v>5630</v>
      </c>
      <c r="BJ6" s="32">
        <f>Stock_year[[#This Row],[Vobanipur Total4]]-Stock_year[[#This Row],[Sold Qty(Piece)4]]</f>
        <v>1585</v>
      </c>
      <c r="BK6" s="32">
        <f>Stock_year[[#This Row],[Ulukhola Total4]]</f>
        <v>0</v>
      </c>
      <c r="BL6" s="32">
        <f>VLOOKUP(Stock_year[[#This Row],[SKU ID]],SKU[],14,0)*(Stock_year[[#This Row],[Closing Stock Vobanipur4]]+Stock_year[[#This Row],[Closing Stock Ulukhola4]])</f>
        <v>654224.6</v>
      </c>
      <c r="BM6" s="32">
        <f ca="1">Stock_year[[#This Row],[Closing Damage unit3]]</f>
        <v>2247</v>
      </c>
      <c r="BN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2247</v>
      </c>
    </row>
    <row r="7" spans="1:82" x14ac:dyDescent="0.5">
      <c r="A7" t="s">
        <v>54</v>
      </c>
      <c r="B7" t="s">
        <v>766</v>
      </c>
      <c r="C7" s="331">
        <f>-10629-931-1538</f>
        <v>-13098</v>
      </c>
      <c r="D7" s="322">
        <f>78271+10629-4000-200</f>
        <v>84700</v>
      </c>
      <c r="E7" s="3">
        <f>Stock_year[[#This Row],[Vobanipur Opening]]+Stock_year[[#This Row],[Ulukhola Opening]]</f>
        <v>71602</v>
      </c>
      <c r="F7" s="3">
        <f>VLOOKUP(Stock_year[[#This Row],[SKU ID]],SKU[[SKU ID]:[Bottle Size(Ltr)]],6,0)*Stock_year[[#This Row],[Opening Stock (Piece)]]</f>
        <v>71602</v>
      </c>
      <c r="G7" s="3">
        <v>28520</v>
      </c>
      <c r="H7" s="3"/>
      <c r="I7" s="3"/>
      <c r="J7" s="3">
        <f>Stock_year[[#This Row],[Vobanipur Opening]]+Stock_year[[#This Row],[New Arrival (vobanipur)]]+Stock_year[[#This Row],[Ulukhola to Vobanipur Transfer]]</f>
        <v>15422</v>
      </c>
      <c r="K7" s="3">
        <f>Stock_year[[#This Row],[Ulukhola Opening]]+Stock_year[[#This Row],[New Arrival(ulukhola)]]-Stock_year[[#This Row],[Ulukhola to Vobanipur Transfer]]</f>
        <v>56180</v>
      </c>
      <c r="L7" s="3">
        <f>Stock_year[[#This Row],[Opening Stock (Piece)]]+Stock_year[[#This Row],[New Arrival(ulukhola)]]</f>
        <v>71602</v>
      </c>
      <c r="M7" s="3">
        <f>SUMIFS(Primary_Order[Total Qty],Primary_Order[Date],"&gt;="&amp;C$1,Primary_Order[Date],"&lt;="&amp;EOMONTH(C$1,0),Primary_Order[Product ID],Stock_year[[#This Row],[SKU ID]],Primary_Order[Status],'Stock Report'!$A$1)</f>
        <v>11920</v>
      </c>
      <c r="N7" s="3">
        <f>Stock_year[[#This Row],[Vobanipur Total]]-Stock_year[[#This Row],[Sold Qty(Piece)]]</f>
        <v>3502</v>
      </c>
      <c r="O7" s="3">
        <f>Stock_year[[#This Row],[Ulukhola Opening]]-Stock_year[[#This Row],[Ulukhola to Vobanipur Transfer]]+Stock_year[[#This Row],[New Arrival(ulukhola)]]</f>
        <v>56180</v>
      </c>
      <c r="P7" s="3">
        <f>Stock_year[[#This Row],[Ulukhola Total]]</f>
        <v>56180</v>
      </c>
      <c r="Q7" s="3">
        <v>17842</v>
      </c>
      <c r="R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17842</v>
      </c>
      <c r="S7" s="303">
        <f>Stock_year[[#This Row],[Closing Stock Vobanipur]]</f>
        <v>3502</v>
      </c>
      <c r="T7" s="303">
        <f>Stock_year[[#This Row],[Closing Stock Ulukhola]]</f>
        <v>56180</v>
      </c>
      <c r="U7" s="303">
        <f>Stock_year[[#This Row],[Vobanipur Opening2]]+Stock_year[[#This Row],[Ulukhola Opening2]]</f>
        <v>59682</v>
      </c>
      <c r="V7" s="303">
        <f>VLOOKUP(Stock_year[[#This Row],[SKU ID]],SKU[[SKU ID]:[Bottle Size(Ltr)]],6,0)*Stock_year[[#This Row],[Opening Stock (Piece)2]]</f>
        <v>59682</v>
      </c>
      <c r="W7" s="310">
        <f>15720</f>
        <v>15720</v>
      </c>
      <c r="X7" s="303"/>
      <c r="Y7" s="303"/>
      <c r="Z7" s="303">
        <f>Stock_year[[#This Row],[Vobanipur Opening2]]+Stock_year[[#This Row],[Ulukhola to Vobanipur Transfer2]]+Stock_year[[#This Row],[New Arrival (vobanipur)2]]</f>
        <v>19222</v>
      </c>
      <c r="AA7" s="303">
        <f>Stock_year[[#This Row],[Ulukhola Opening2]]-Stock_year[[#This Row],[Ulukhola to Vobanipur Transfer2]]+Stock_year[[#This Row],[New Arrival(ulukhola)2]]</f>
        <v>40460</v>
      </c>
      <c r="AB7" s="303">
        <f>Stock_year[[#This Row],[Vobanipur Total2]]+Stock_year[[#This Row],[Ulukhola Total2]]</f>
        <v>59682</v>
      </c>
      <c r="AC7" s="303">
        <f>SUMIFS(Primary_Order[Total Qty],Primary_Order[Date],"&gt;="&amp;S$1,Primary_Order[Date],"&lt;="&amp;EOMONTH(S$1,0),Primary_Order[Product ID],Stock_year[[#This Row],[SKU ID]],Primary_Order[Status],'Stock Report'!$A$1)</f>
        <v>21365</v>
      </c>
      <c r="AD7" s="303">
        <f>Stock_year[[#This Row],[Vobanipur Total2]]-Stock_year[[#This Row],[Sold Qty(Piece)2]]</f>
        <v>-2143</v>
      </c>
      <c r="AE7" s="303">
        <f>Stock_year[[#This Row],[Ulukhola Opening2]]-Stock_year[[#This Row],[Ulukhola to Vobanipur Transfer2]]+Stock_year[[#This Row],[New Arrival(ulukhola)2]]</f>
        <v>40460</v>
      </c>
      <c r="AF7" s="303">
        <f>VLOOKUP(Stock_year[[#This Row],[SKU ID]],SKU[],14,0)*(Stock_year[[#This Row],[Closing Stock Vobanipur2]]+Stock_year[[#This Row],[Closing Stock Ulukhola2]])</f>
        <v>14746297.450000001</v>
      </c>
      <c r="AG7" s="303">
        <f ca="1">OFFSET(Stock_year[[#This Row],[Total Closing Stock Value2]],0,-14)</f>
        <v>17842</v>
      </c>
      <c r="AH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17842</v>
      </c>
      <c r="AI7" s="302">
        <f>Stock_year[[#This Row],[Closing Stock Vobanipur2]]</f>
        <v>-2143</v>
      </c>
      <c r="AJ7" s="303">
        <f>Stock_year[[#This Row],[Closing Stock Ulukhola2]]</f>
        <v>40460</v>
      </c>
      <c r="AK7" s="303">
        <f>Stock_year[[#This Row],[Vobanipur Opening3]]+Stock_year[[#This Row],[Ulukhola Opening3]]</f>
        <v>38317</v>
      </c>
      <c r="AL7" s="303">
        <f>VLOOKUP(Stock_year[[#This Row],[SKU ID]],SKU[[SKU ID]:[Bottle Size(Ltr)]],6,0)*Stock_year[[#This Row],[Opening Stock (Piece)3]]</f>
        <v>38317</v>
      </c>
      <c r="AM7" s="303">
        <v>13160</v>
      </c>
      <c r="AN7" s="303"/>
      <c r="AO7" s="303"/>
      <c r="AP7" s="303">
        <f>Stock_year[[#This Row],[Vobanipur Opening3]]+Stock_year[[#This Row],[New Arrival (vobanipur)3]]+Stock_year[[#This Row],[Ulukhola to Vobanipur Transfer3]]</f>
        <v>11017</v>
      </c>
      <c r="AQ7" s="303">
        <f>Stock_year[[#This Row],[Ulukhola Opening3]]-Stock_year[[#This Row],[Ulukhola to Vobanipur Transfer3]]+Stock_year[[#This Row],[New Arrival(ulukhola)3]]</f>
        <v>27300</v>
      </c>
      <c r="AR7" s="303">
        <f>Stock_year[[#This Row],[Vobanipur Total3]]+Stock_year[[#This Row],[Ulukhola Total3]]</f>
        <v>38317</v>
      </c>
      <c r="AS7" s="303">
        <f>SUMIFS(Primary_Order[Total Qty],Primary_Order[Date],"&gt;="&amp;AI$1,Primary_Order[Date],"&lt;="&amp;EOMONTH(AI$1,0),Primary_Order[Product ID],Stock_year[[#This Row],[SKU ID]],Primary_Order[Status],'Stock Report'!$A$1)</f>
        <v>26580</v>
      </c>
      <c r="AT7" s="303">
        <f>Stock_year[[#This Row],[Vobanipur Total3]]-Stock_year[[#This Row],[Sold Qty(Piece)3]]</f>
        <v>-15563</v>
      </c>
      <c r="AU7" s="303">
        <f>Stock_year[[#This Row],[Ulukhola Total3]]</f>
        <v>27300</v>
      </c>
      <c r="AV7" s="303">
        <f>VLOOKUP(Stock_year[[#This Row],[SKU ID]],SKU[],14,0)*(Stock_year[[#This Row],[Closing Stock Vobanipur3]]+Stock_year[[#This Row],[Closing Stock Ulukhola3]])</f>
        <v>4516984.45</v>
      </c>
      <c r="AW7" s="303">
        <f ca="1">Stock_year[[#This Row],[Closing Damage unit2]]</f>
        <v>17842</v>
      </c>
      <c r="AX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17842</v>
      </c>
      <c r="AY7" s="32">
        <f>Stock_year[[#This Row],[Closing Stock Vobanipur3]]</f>
        <v>-15563</v>
      </c>
      <c r="AZ7" s="32">
        <f>Stock_year[[#This Row],[Closing Stock Ulukhola3]]</f>
        <v>27300</v>
      </c>
      <c r="BA7" s="32">
        <f>Stock_year[[#This Row],[Vobanipur Opening4]]+Stock_year[[#This Row],[Ulukhola Opening4]]</f>
        <v>11737</v>
      </c>
      <c r="BB7" s="32">
        <f>VLOOKUP(Stock_year[[#This Row],[SKU ID]],SKU[[SKU ID]:[Bottle Size(Ltr)]],6,0)*Stock_year[[#This Row],[Opening Stock (Piece)4]]</f>
        <v>11737</v>
      </c>
      <c r="BC7" s="32">
        <v>24300</v>
      </c>
      <c r="BD7" s="32"/>
      <c r="BE7" s="32"/>
      <c r="BF7" s="32">
        <f>Stock_year[[#This Row],[Vobanipur Opening4]]+Stock_year[[#This Row],[New Arrival (vobanipur)4]]+Stock_year[[#This Row],[Ulukhola to Vobanipur Transfer4]]</f>
        <v>8737</v>
      </c>
      <c r="BG7" s="32">
        <f>Stock_year[[#This Row],[Ulukhola Opening4]]-Stock_year[[#This Row],[Ulukhola to Vobanipur Transfer4]]+Stock_year[[#This Row],[New Arrival(ulukhola)4]]</f>
        <v>3000</v>
      </c>
      <c r="BH7" s="32">
        <f>Stock_year[[#This Row],[Vobanipur Total4]]+Stock_year[[#This Row],[Ulukhola Total4]]</f>
        <v>11737</v>
      </c>
      <c r="BI7" s="32">
        <f>SUMIFS(Primary_Order[Total Qty],Primary_Order[Date],"&gt;="&amp;AY$1,Primary_Order[Date],"&lt;="&amp;EOMONTH(AY$1,0),Primary_Order[Product ID],Stock_year[[#This Row],[SKU ID]],Primary_Order[Status],'Stock Report'!$A$1)</f>
        <v>25500</v>
      </c>
      <c r="BJ7" s="32">
        <f>Stock_year[[#This Row],[Vobanipur Total4]]-Stock_year[[#This Row],[Sold Qty(Piece)4]]</f>
        <v>-16763</v>
      </c>
      <c r="BK7" s="32">
        <f>Stock_year[[#This Row],[Ulukhola Total4]]</f>
        <v>3000</v>
      </c>
      <c r="BL7" s="32">
        <f>VLOOKUP(Stock_year[[#This Row],[SKU ID]],SKU[],14,0)*(Stock_year[[#This Row],[Closing Stock Vobanipur4]]+Stock_year[[#This Row],[Closing Stock Ulukhola4]])</f>
        <v>-5296690.5500000007</v>
      </c>
      <c r="BM7" s="32">
        <f ca="1">Stock_year[[#This Row],[Closing Damage unit3]]</f>
        <v>17842</v>
      </c>
      <c r="BN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3659</v>
      </c>
    </row>
    <row r="8" spans="1:82" x14ac:dyDescent="0.5">
      <c r="A8" t="s">
        <v>75</v>
      </c>
      <c r="B8" t="s">
        <v>767</v>
      </c>
      <c r="C8" s="329">
        <v>1838</v>
      </c>
      <c r="D8" s="3">
        <v>420</v>
      </c>
      <c r="E8" s="3">
        <f>Stock_year[[#This Row],[Vobanipur Opening]]+Stock_year[[#This Row],[Ulukhola Opening]]</f>
        <v>2258</v>
      </c>
      <c r="F8" s="3">
        <f>VLOOKUP(Stock_year[[#This Row],[SKU ID]],SKU[[SKU ID]:[Bottle Size(Ltr)]],6,0)*Stock_year[[#This Row],[Opening Stock (Piece)]]</f>
        <v>2258</v>
      </c>
      <c r="G8" s="3">
        <v>0</v>
      </c>
      <c r="H8" s="3"/>
      <c r="I8" s="3"/>
      <c r="J8" s="3">
        <f>Stock_year[[#This Row],[Vobanipur Opening]]+Stock_year[[#This Row],[New Arrival (vobanipur)]]+Stock_year[[#This Row],[Ulukhola to Vobanipur Transfer]]</f>
        <v>1838</v>
      </c>
      <c r="K8" s="3">
        <f>Stock_year[[#This Row],[Ulukhola Opening]]+Stock_year[[#This Row],[New Arrival(ulukhola)]]-Stock_year[[#This Row],[Ulukhola to Vobanipur Transfer]]</f>
        <v>420</v>
      </c>
      <c r="L8" s="3">
        <f>Stock_year[[#This Row],[Opening Stock (Piece)]]+Stock_year[[#This Row],[New Arrival(ulukhola)]]</f>
        <v>2258</v>
      </c>
      <c r="M8" s="3">
        <f>SUMIFS(Primary_Order[Total Qty],Primary_Order[Date],"&gt;="&amp;C$1,Primary_Order[Date],"&lt;="&amp;EOMONTH(C$1,0),Primary_Order[Product ID],Stock_year[[#This Row],[SKU ID]],Primary_Order[Status],'Stock Report'!$A$1)</f>
        <v>560</v>
      </c>
      <c r="N8" s="3">
        <f>Stock_year[[#This Row],[Vobanipur Total]]-Stock_year[[#This Row],[Sold Qty(Piece)]]</f>
        <v>1278</v>
      </c>
      <c r="O8" s="3">
        <f>Stock_year[[#This Row],[Ulukhola Opening]]-Stock_year[[#This Row],[Ulukhola to Vobanipur Transfer]]+Stock_year[[#This Row],[New Arrival(ulukhola)]]</f>
        <v>420</v>
      </c>
      <c r="P8" s="3">
        <f>Stock_year[[#This Row],[Ulukhola Total]]</f>
        <v>420</v>
      </c>
      <c r="Q8" s="3">
        <v>676</v>
      </c>
      <c r="R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676</v>
      </c>
      <c r="S8" s="303">
        <f>Stock_year[[#This Row],[Closing Stock Vobanipur]]</f>
        <v>1278</v>
      </c>
      <c r="T8" s="303">
        <f>Stock_year[[#This Row],[Closing Stock Ulukhola]]</f>
        <v>420</v>
      </c>
      <c r="U8" s="303">
        <f>Stock_year[[#This Row],[Vobanipur Opening2]]+Stock_year[[#This Row],[Ulukhola Opening2]]</f>
        <v>1698</v>
      </c>
      <c r="V8" s="303">
        <f>VLOOKUP(Stock_year[[#This Row],[SKU ID]],SKU[[SKU ID]:[Bottle Size(Ltr)]],6,0)*Stock_year[[#This Row],[Opening Stock (Piece)2]]</f>
        <v>1698</v>
      </c>
      <c r="W8" s="303">
        <v>420</v>
      </c>
      <c r="X8" s="303"/>
      <c r="Y8" s="303"/>
      <c r="Z8" s="303">
        <f>Stock_year[[#This Row],[Vobanipur Opening2]]+Stock_year[[#This Row],[Ulukhola to Vobanipur Transfer2]]+Stock_year[[#This Row],[New Arrival (vobanipur)2]]</f>
        <v>1698</v>
      </c>
      <c r="AA8" s="303">
        <f>Stock_year[[#This Row],[Ulukhola Opening2]]-Stock_year[[#This Row],[Ulukhola to Vobanipur Transfer2]]+Stock_year[[#This Row],[New Arrival(ulukhola)2]]</f>
        <v>0</v>
      </c>
      <c r="AB8" s="303">
        <f>Stock_year[[#This Row],[Vobanipur Total2]]+Stock_year[[#This Row],[Ulukhola Total2]]</f>
        <v>1698</v>
      </c>
      <c r="AC8" s="303">
        <f>SUMIFS(Primary_Order[Total Qty],Primary_Order[Date],"&gt;="&amp;S$1,Primary_Order[Date],"&lt;="&amp;EOMONTH(S$1,0),Primary_Order[Product ID],Stock_year[[#This Row],[SKU ID]],Primary_Order[Status],'Stock Report'!$A$1)</f>
        <v>80</v>
      </c>
      <c r="AD8" s="303">
        <f>Stock_year[[#This Row],[Vobanipur Total2]]-Stock_year[[#This Row],[Sold Qty(Piece)2]]</f>
        <v>1618</v>
      </c>
      <c r="AE8" s="303">
        <f>Stock_year[[#This Row],[Ulukhola Opening2]]-Stock_year[[#This Row],[Ulukhola to Vobanipur Transfer2]]+Stock_year[[#This Row],[New Arrival(ulukhola)2]]</f>
        <v>0</v>
      </c>
      <c r="AF8" s="303">
        <f>VLOOKUP(Stock_year[[#This Row],[SKU ID]],SKU[],14,0)*(Stock_year[[#This Row],[Closing Stock Vobanipur2]]+Stock_year[[#This Row],[Closing Stock Ulukhola2]])</f>
        <v>759473.02</v>
      </c>
      <c r="AG8" s="303">
        <f ca="1">OFFSET(Stock_year[[#This Row],[Total Closing Stock Value2]],0,-14)</f>
        <v>676</v>
      </c>
      <c r="AH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676</v>
      </c>
      <c r="AI8" s="302">
        <f>Stock_year[[#This Row],[Closing Stock Vobanipur2]]</f>
        <v>1618</v>
      </c>
      <c r="AJ8" s="303">
        <f>Stock_year[[#This Row],[Closing Stock Ulukhola2]]</f>
        <v>0</v>
      </c>
      <c r="AK8" s="303">
        <f>Stock_year[[#This Row],[Vobanipur Opening3]]+Stock_year[[#This Row],[Ulukhola Opening3]]</f>
        <v>1618</v>
      </c>
      <c r="AL8" s="303">
        <f>VLOOKUP(Stock_year[[#This Row],[SKU ID]],SKU[[SKU ID]:[Bottle Size(Ltr)]],6,0)*Stock_year[[#This Row],[Opening Stock (Piece)3]]</f>
        <v>1618</v>
      </c>
      <c r="AM8" s="303">
        <v>0</v>
      </c>
      <c r="AN8" s="303"/>
      <c r="AO8" s="303"/>
      <c r="AP8" s="303">
        <f>Stock_year[[#This Row],[Vobanipur Opening3]]+Stock_year[[#This Row],[New Arrival (vobanipur)3]]+Stock_year[[#This Row],[Ulukhola to Vobanipur Transfer3]]</f>
        <v>1618</v>
      </c>
      <c r="AQ8" s="303">
        <f>Stock_year[[#This Row],[Ulukhola Opening3]]-Stock_year[[#This Row],[Ulukhola to Vobanipur Transfer3]]+Stock_year[[#This Row],[New Arrival(ulukhola)3]]</f>
        <v>0</v>
      </c>
      <c r="AR8" s="303">
        <f>Stock_year[[#This Row],[Vobanipur Total3]]+Stock_year[[#This Row],[Ulukhola Total3]]</f>
        <v>1618</v>
      </c>
      <c r="AS8" s="303">
        <f>SUMIFS(Primary_Order[Total Qty],Primary_Order[Date],"&gt;="&amp;AI$1,Primary_Order[Date],"&lt;="&amp;EOMONTH(AI$1,0),Primary_Order[Product ID],Stock_year[[#This Row],[SKU ID]],Primary_Order[Status],'Stock Report'!$A$1)</f>
        <v>120</v>
      </c>
      <c r="AT8" s="303">
        <f>Stock_year[[#This Row],[Vobanipur Total3]]-Stock_year[[#This Row],[Sold Qty(Piece)3]]</f>
        <v>1498</v>
      </c>
      <c r="AU8" s="303">
        <f>Stock_year[[#This Row],[Ulukhola Total3]]</f>
        <v>0</v>
      </c>
      <c r="AV8" s="303">
        <f>VLOOKUP(Stock_year[[#This Row],[SKU ID]],SKU[],14,0)*(Stock_year[[#This Row],[Closing Stock Vobanipur3]]+Stock_year[[#This Row],[Closing Stock Ulukhola3]])</f>
        <v>703146.22</v>
      </c>
      <c r="AW8" s="303">
        <f ca="1">Stock_year[[#This Row],[Closing Damage unit2]]</f>
        <v>676</v>
      </c>
      <c r="AX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676</v>
      </c>
      <c r="AY8" s="32">
        <f>Stock_year[[#This Row],[Closing Stock Vobanipur3]]</f>
        <v>1498</v>
      </c>
      <c r="AZ8" s="32">
        <f>Stock_year[[#This Row],[Closing Stock Ulukhola3]]</f>
        <v>0</v>
      </c>
      <c r="BA8" s="32">
        <f>Stock_year[[#This Row],[Vobanipur Opening4]]+Stock_year[[#This Row],[Ulukhola Opening4]]</f>
        <v>1498</v>
      </c>
      <c r="BB8" s="32">
        <f>VLOOKUP(Stock_year[[#This Row],[SKU ID]],SKU[[SKU ID]:[Bottle Size(Ltr)]],6,0)*Stock_year[[#This Row],[Opening Stock (Piece)4]]</f>
        <v>1498</v>
      </c>
      <c r="BC8" s="32">
        <v>0</v>
      </c>
      <c r="BD8" s="32"/>
      <c r="BE8" s="32"/>
      <c r="BF8" s="32">
        <f>Stock_year[[#This Row],[Vobanipur Opening4]]+Stock_year[[#This Row],[New Arrival (vobanipur)4]]+Stock_year[[#This Row],[Ulukhola to Vobanipur Transfer4]]</f>
        <v>1498</v>
      </c>
      <c r="BG8" s="32">
        <f>Stock_year[[#This Row],[Ulukhola Opening4]]-Stock_year[[#This Row],[Ulukhola to Vobanipur Transfer4]]+Stock_year[[#This Row],[New Arrival(ulukhola)4]]</f>
        <v>0</v>
      </c>
      <c r="BH8" s="32">
        <f>Stock_year[[#This Row],[Vobanipur Total4]]+Stock_year[[#This Row],[Ulukhola Total4]]</f>
        <v>1498</v>
      </c>
      <c r="BI8" s="32">
        <f>SUMIFS(Primary_Order[Total Qty],Primary_Order[Date],"&gt;="&amp;AY$1,Primary_Order[Date],"&lt;="&amp;EOMONTH(AY$1,0),Primary_Order[Product ID],Stock_year[[#This Row],[SKU ID]],Primary_Order[Status],'Stock Report'!$A$1)</f>
        <v>1108</v>
      </c>
      <c r="BJ8" s="32">
        <f>Stock_year[[#This Row],[Vobanipur Total4]]-Stock_year[[#This Row],[Sold Qty(Piece)4]]</f>
        <v>390</v>
      </c>
      <c r="BK8" s="32">
        <f>Stock_year[[#This Row],[Ulukhola Total4]]</f>
        <v>0</v>
      </c>
      <c r="BL8" s="32">
        <f>VLOOKUP(Stock_year[[#This Row],[SKU ID]],SKU[],14,0)*(Stock_year[[#This Row],[Closing Stock Vobanipur4]]+Stock_year[[#This Row],[Closing Stock Ulukhola4]])</f>
        <v>183062.1</v>
      </c>
      <c r="BM8" s="32">
        <f ca="1">Stock_year[[#This Row],[Closing Damage unit3]]</f>
        <v>676</v>
      </c>
      <c r="BN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676</v>
      </c>
    </row>
    <row r="9" spans="1:82" x14ac:dyDescent="0.5">
      <c r="A9" t="s">
        <v>77</v>
      </c>
      <c r="B9" t="s">
        <v>768</v>
      </c>
      <c r="C9" s="329">
        <v>530</v>
      </c>
      <c r="D9" s="3">
        <v>1400</v>
      </c>
      <c r="E9" s="3">
        <f>Stock_year[[#This Row],[Vobanipur Opening]]+Stock_year[[#This Row],[Ulukhola Opening]]</f>
        <v>1930</v>
      </c>
      <c r="F9" s="3">
        <f>VLOOKUP(Stock_year[[#This Row],[SKU ID]],SKU[[SKU ID]:[Bottle Size(Ltr)]],6,0)*Stock_year[[#This Row],[Opening Stock (Piece)]]</f>
        <v>1930</v>
      </c>
      <c r="G9" s="3">
        <v>1040</v>
      </c>
      <c r="H9" s="3"/>
      <c r="I9" s="3"/>
      <c r="J9" s="3">
        <f>Stock_year[[#This Row],[Vobanipur Opening]]+Stock_year[[#This Row],[New Arrival (vobanipur)]]+Stock_year[[#This Row],[Ulukhola to Vobanipur Transfer]]</f>
        <v>1570</v>
      </c>
      <c r="K9" s="3">
        <f>Stock_year[[#This Row],[Ulukhola Opening]]+Stock_year[[#This Row],[New Arrival(ulukhola)]]-Stock_year[[#This Row],[Ulukhola to Vobanipur Transfer]]</f>
        <v>360</v>
      </c>
      <c r="L9" s="3">
        <f>Stock_year[[#This Row],[Opening Stock (Piece)]]+Stock_year[[#This Row],[New Arrival(ulukhola)]]</f>
        <v>1930</v>
      </c>
      <c r="M9" s="3">
        <f>SUMIFS(Primary_Order[Total Qty],Primary_Order[Date],"&gt;="&amp;C$1,Primary_Order[Date],"&lt;="&amp;EOMONTH(C$1,0),Primary_Order[Product ID],Stock_year[[#This Row],[SKU ID]],Primary_Order[Status],'Stock Report'!$A$1)</f>
        <v>120</v>
      </c>
      <c r="N9" s="3">
        <f>Stock_year[[#This Row],[Vobanipur Total]]-Stock_year[[#This Row],[Sold Qty(Piece)]]</f>
        <v>1450</v>
      </c>
      <c r="O9" s="3">
        <f>Stock_year[[#This Row],[Ulukhola Opening]]-Stock_year[[#This Row],[Ulukhola to Vobanipur Transfer]]+Stock_year[[#This Row],[New Arrival(ulukhola)]]</f>
        <v>360</v>
      </c>
      <c r="P9" s="3">
        <f>Stock_year[[#This Row],[Ulukhola Total]]</f>
        <v>360</v>
      </c>
      <c r="Q9" s="3">
        <v>964</v>
      </c>
      <c r="R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964</v>
      </c>
      <c r="S9" s="303">
        <f>Stock_year[[#This Row],[Closing Stock Vobanipur]]</f>
        <v>1450</v>
      </c>
      <c r="T9" s="303">
        <f>Stock_year[[#This Row],[Closing Stock Ulukhola]]</f>
        <v>360</v>
      </c>
      <c r="U9" s="303">
        <f>Stock_year[[#This Row],[Vobanipur Opening2]]+Stock_year[[#This Row],[Ulukhola Opening2]]</f>
        <v>1810</v>
      </c>
      <c r="V9" s="303">
        <f>VLOOKUP(Stock_year[[#This Row],[SKU ID]],SKU[[SKU ID]:[Bottle Size(Ltr)]],6,0)*Stock_year[[#This Row],[Opening Stock (Piece)2]]</f>
        <v>1810</v>
      </c>
      <c r="W9" s="303">
        <v>360</v>
      </c>
      <c r="X9" s="303"/>
      <c r="Y9" s="303"/>
      <c r="Z9" s="303">
        <f>Stock_year[[#This Row],[Vobanipur Opening2]]+Stock_year[[#This Row],[Ulukhola to Vobanipur Transfer2]]+Stock_year[[#This Row],[New Arrival (vobanipur)2]]</f>
        <v>1810</v>
      </c>
      <c r="AA9" s="303">
        <f>Stock_year[[#This Row],[Ulukhola Opening2]]-Stock_year[[#This Row],[Ulukhola to Vobanipur Transfer2]]+Stock_year[[#This Row],[New Arrival(ulukhola)2]]</f>
        <v>0</v>
      </c>
      <c r="AB9" s="303">
        <f>Stock_year[[#This Row],[Vobanipur Total2]]+Stock_year[[#This Row],[Ulukhola Total2]]</f>
        <v>1810</v>
      </c>
      <c r="AC9" s="303">
        <f>SUMIFS(Primary_Order[Total Qty],Primary_Order[Date],"&gt;="&amp;S$1,Primary_Order[Date],"&lt;="&amp;EOMONTH(S$1,0),Primary_Order[Product ID],Stock_year[[#This Row],[SKU ID]],Primary_Order[Status],'Stock Report'!$A$1)</f>
        <v>680</v>
      </c>
      <c r="AD9" s="303">
        <f>Stock_year[[#This Row],[Vobanipur Total2]]-Stock_year[[#This Row],[Sold Qty(Piece)2]]</f>
        <v>1130</v>
      </c>
      <c r="AE9" s="303">
        <f>Stock_year[[#This Row],[Ulukhola Opening2]]-Stock_year[[#This Row],[Ulukhola to Vobanipur Transfer2]]+Stock_year[[#This Row],[New Arrival(ulukhola)2]]</f>
        <v>0</v>
      </c>
      <c r="AF9" s="303">
        <f>VLOOKUP(Stock_year[[#This Row],[SKU ID]],SKU[],14,0)*(Stock_year[[#This Row],[Closing Stock Vobanipur2]]+Stock_year[[#This Row],[Closing Stock Ulukhola2]])</f>
        <v>480363</v>
      </c>
      <c r="AG9" s="303">
        <f ca="1">OFFSET(Stock_year[[#This Row],[Total Closing Stock Value2]],0,-14)</f>
        <v>964</v>
      </c>
      <c r="AH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964</v>
      </c>
      <c r="AI9" s="302">
        <f>Stock_year[[#This Row],[Closing Stock Vobanipur2]]</f>
        <v>1130</v>
      </c>
      <c r="AJ9" s="303">
        <f>Stock_year[[#This Row],[Closing Stock Ulukhola2]]</f>
        <v>0</v>
      </c>
      <c r="AK9" s="303">
        <f>Stock_year[[#This Row],[Vobanipur Opening3]]+Stock_year[[#This Row],[Ulukhola Opening3]]</f>
        <v>1130</v>
      </c>
      <c r="AL9" s="303">
        <f>VLOOKUP(Stock_year[[#This Row],[SKU ID]],SKU[[SKU ID]:[Bottle Size(Ltr)]],6,0)*Stock_year[[#This Row],[Opening Stock (Piece)3]]</f>
        <v>1130</v>
      </c>
      <c r="AM9" s="303">
        <v>0</v>
      </c>
      <c r="AN9" s="303"/>
      <c r="AO9" s="303"/>
      <c r="AP9" s="303">
        <f>Stock_year[[#This Row],[Vobanipur Opening3]]+Stock_year[[#This Row],[New Arrival (vobanipur)3]]+Stock_year[[#This Row],[Ulukhola to Vobanipur Transfer3]]</f>
        <v>1130</v>
      </c>
      <c r="AQ9" s="303">
        <f>Stock_year[[#This Row],[Ulukhola Opening3]]-Stock_year[[#This Row],[Ulukhola to Vobanipur Transfer3]]+Stock_year[[#This Row],[New Arrival(ulukhola)3]]</f>
        <v>0</v>
      </c>
      <c r="AR9" s="303">
        <f>Stock_year[[#This Row],[Vobanipur Total3]]+Stock_year[[#This Row],[Ulukhola Total3]]</f>
        <v>1130</v>
      </c>
      <c r="AS9" s="303">
        <f>SUMIFS(Primary_Order[Total Qty],Primary_Order[Date],"&gt;="&amp;AI$1,Primary_Order[Date],"&lt;="&amp;EOMONTH(AI$1,0),Primary_Order[Product ID],Stock_year[[#This Row],[SKU ID]],Primary_Order[Status],'Stock Report'!$A$1)</f>
        <v>80</v>
      </c>
      <c r="AT9" s="303">
        <f>Stock_year[[#This Row],[Vobanipur Total3]]-Stock_year[[#This Row],[Sold Qty(Piece)3]]</f>
        <v>1050</v>
      </c>
      <c r="AU9" s="303">
        <f>Stock_year[[#This Row],[Ulukhola Total3]]</f>
        <v>0</v>
      </c>
      <c r="AV9" s="303">
        <f>VLOOKUP(Stock_year[[#This Row],[SKU ID]],SKU[],14,0)*(Stock_year[[#This Row],[Closing Stock Vobanipur3]]+Stock_year[[#This Row],[Closing Stock Ulukhola3]])</f>
        <v>446355</v>
      </c>
      <c r="AW9" s="303">
        <f ca="1">Stock_year[[#This Row],[Closing Damage unit2]]</f>
        <v>964</v>
      </c>
      <c r="AX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964</v>
      </c>
      <c r="AY9" s="32">
        <f>Stock_year[[#This Row],[Closing Stock Vobanipur3]]</f>
        <v>1050</v>
      </c>
      <c r="AZ9" s="32">
        <f>Stock_year[[#This Row],[Closing Stock Ulukhola3]]</f>
        <v>0</v>
      </c>
      <c r="BA9" s="32">
        <f>Stock_year[[#This Row],[Vobanipur Opening4]]+Stock_year[[#This Row],[Ulukhola Opening4]]</f>
        <v>1050</v>
      </c>
      <c r="BB9" s="32">
        <f>VLOOKUP(Stock_year[[#This Row],[SKU ID]],SKU[[SKU ID]:[Bottle Size(Ltr)]],6,0)*Stock_year[[#This Row],[Opening Stock (Piece)4]]</f>
        <v>1050</v>
      </c>
      <c r="BC9" s="32">
        <v>0</v>
      </c>
      <c r="BD9" s="32"/>
      <c r="BE9" s="32"/>
      <c r="BF9" s="32">
        <f>Stock_year[[#This Row],[Vobanipur Opening4]]+Stock_year[[#This Row],[New Arrival (vobanipur)4]]+Stock_year[[#This Row],[Ulukhola to Vobanipur Transfer4]]</f>
        <v>1050</v>
      </c>
      <c r="BG9" s="32">
        <f>Stock_year[[#This Row],[Ulukhola Opening4]]-Stock_year[[#This Row],[Ulukhola to Vobanipur Transfer4]]+Stock_year[[#This Row],[New Arrival(ulukhola)4]]</f>
        <v>0</v>
      </c>
      <c r="BH9" s="32">
        <f>Stock_year[[#This Row],[Vobanipur Total4]]+Stock_year[[#This Row],[Ulukhola Total4]]</f>
        <v>1050</v>
      </c>
      <c r="BI9" s="32">
        <f>SUMIFS(Primary_Order[Total Qty],Primary_Order[Date],"&gt;="&amp;AY$1,Primary_Order[Date],"&lt;="&amp;EOMONTH(AY$1,0),Primary_Order[Product ID],Stock_year[[#This Row],[SKU ID]],Primary_Order[Status],'Stock Report'!$A$1)</f>
        <v>100</v>
      </c>
      <c r="BJ9" s="32">
        <f>Stock_year[[#This Row],[Vobanipur Total4]]-Stock_year[[#This Row],[Sold Qty(Piece)4]]</f>
        <v>950</v>
      </c>
      <c r="BK9" s="32">
        <f>Stock_year[[#This Row],[Ulukhola Total4]]</f>
        <v>0</v>
      </c>
      <c r="BL9" s="32">
        <f>VLOOKUP(Stock_year[[#This Row],[SKU ID]],SKU[],14,0)*(Stock_year[[#This Row],[Closing Stock Vobanipur4]]+Stock_year[[#This Row],[Closing Stock Ulukhola4]])</f>
        <v>403845</v>
      </c>
      <c r="BM9" s="32">
        <f ca="1">Stock_year[[#This Row],[Closing Damage unit3]]</f>
        <v>964</v>
      </c>
      <c r="BN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964</v>
      </c>
    </row>
    <row r="10" spans="1:82" x14ac:dyDescent="0.5">
      <c r="A10" t="s">
        <v>345</v>
      </c>
      <c r="B10" t="s">
        <v>769</v>
      </c>
      <c r="C10" s="329">
        <v>0</v>
      </c>
      <c r="D10" s="3">
        <v>0</v>
      </c>
      <c r="E10" s="3">
        <f>Stock_year[[#This Row],[Vobanipur Opening]]+Stock_year[[#This Row],[Ulukhola Opening]]</f>
        <v>0</v>
      </c>
      <c r="F10" s="3">
        <f>VLOOKUP(Stock_year[[#This Row],[SKU ID]],SKU[[SKU ID]:[Bottle Size(Ltr)]],6,0)*Stock_year[[#This Row],[Opening Stock (Piece)]]</f>
        <v>0</v>
      </c>
      <c r="G10" s="3">
        <v>0</v>
      </c>
      <c r="H10" s="3"/>
      <c r="I10" s="3"/>
      <c r="J10" s="3">
        <f>Stock_year[[#This Row],[Vobanipur Opening]]+Stock_year[[#This Row],[New Arrival (vobanipur)]]+Stock_year[[#This Row],[Ulukhola to Vobanipur Transfer]]</f>
        <v>0</v>
      </c>
      <c r="K10" s="3">
        <f>Stock_year[[#This Row],[Ulukhola Opening]]+Stock_year[[#This Row],[New Arrival(ulukhola)]]-Stock_year[[#This Row],[Ulukhola to Vobanipur Transfer]]</f>
        <v>0</v>
      </c>
      <c r="L10" s="3">
        <f>Stock_year[[#This Row],[Opening Stock (Piece)]]+Stock_year[[#This Row],[New Arrival(ulukhola)]]</f>
        <v>0</v>
      </c>
      <c r="M10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10" s="3">
        <f>Stock_year[[#This Row],[Vobanipur Total]]-Stock_year[[#This Row],[Sold Qty(Piece)]]</f>
        <v>0</v>
      </c>
      <c r="O10" s="3">
        <f>Stock_year[[#This Row],[Ulukhola Opening]]-Stock_year[[#This Row],[Ulukhola to Vobanipur Transfer]]+Stock_year[[#This Row],[New Arrival(ulukhola)]]</f>
        <v>0</v>
      </c>
      <c r="P10" s="3">
        <f>Stock_year[[#This Row],[Ulukhola Total]]</f>
        <v>0</v>
      </c>
      <c r="Q10" s="3">
        <v>9</v>
      </c>
      <c r="R1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9</v>
      </c>
      <c r="S10" s="303">
        <f>Stock_year[[#This Row],[Closing Stock Vobanipur]]</f>
        <v>0</v>
      </c>
      <c r="T10" s="303">
        <f>Stock_year[[#This Row],[Closing Stock Ulukhola]]</f>
        <v>0</v>
      </c>
      <c r="U10" s="303">
        <f>Stock_year[[#This Row],[Vobanipur Opening2]]+Stock_year[[#This Row],[Ulukhola Opening2]]</f>
        <v>0</v>
      </c>
      <c r="V10" s="303">
        <f>VLOOKUP(Stock_year[[#This Row],[SKU ID]],SKU[[SKU ID]:[Bottle Size(Ltr)]],6,0)*Stock_year[[#This Row],[Opening Stock (Piece)2]]</f>
        <v>0</v>
      </c>
      <c r="W10" s="303">
        <v>0</v>
      </c>
      <c r="X10" s="303"/>
      <c r="Y10" s="303"/>
      <c r="Z10" s="303">
        <f>Stock_year[[#This Row],[Vobanipur Opening2]]+Stock_year[[#This Row],[Ulukhola to Vobanipur Transfer2]]+Stock_year[[#This Row],[New Arrival (vobanipur)2]]</f>
        <v>0</v>
      </c>
      <c r="AA10" s="303">
        <f>Stock_year[[#This Row],[Ulukhola Opening2]]-Stock_year[[#This Row],[Ulukhola to Vobanipur Transfer2]]+Stock_year[[#This Row],[New Arrival(ulukhola)2]]</f>
        <v>0</v>
      </c>
      <c r="AB10" s="303">
        <f>Stock_year[[#This Row],[Vobanipur Total2]]+Stock_year[[#This Row],[Ulukhola Total2]]</f>
        <v>0</v>
      </c>
      <c r="AC10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10" s="303">
        <f>Stock_year[[#This Row],[Vobanipur Total2]]-Stock_year[[#This Row],[Sold Qty(Piece)2]]</f>
        <v>0</v>
      </c>
      <c r="AE10" s="303">
        <f>Stock_year[[#This Row],[Ulukhola Opening2]]-Stock_year[[#This Row],[Ulukhola to Vobanipur Transfer2]]+Stock_year[[#This Row],[New Arrival(ulukhola)2]]</f>
        <v>0</v>
      </c>
      <c r="AF10" s="303">
        <f>VLOOKUP(Stock_year[[#This Row],[SKU ID]],SKU[],14,0)*(Stock_year[[#This Row],[Closing Stock Vobanipur2]]+Stock_year[[#This Row],[Closing Stock Ulukhola2]])</f>
        <v>0</v>
      </c>
      <c r="AG10" s="303">
        <f ca="1">OFFSET(Stock_year[[#This Row],[Total Closing Stock Value2]],0,-14)</f>
        <v>9</v>
      </c>
      <c r="AH1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9</v>
      </c>
      <c r="AI10" s="302">
        <f>Stock_year[[#This Row],[Closing Stock Vobanipur2]]</f>
        <v>0</v>
      </c>
      <c r="AJ10" s="303">
        <f>Stock_year[[#This Row],[Closing Stock Ulukhola2]]</f>
        <v>0</v>
      </c>
      <c r="AK10" s="303">
        <f>Stock_year[[#This Row],[Vobanipur Opening3]]+Stock_year[[#This Row],[Ulukhola Opening3]]</f>
        <v>0</v>
      </c>
      <c r="AL10" s="303">
        <f>VLOOKUP(Stock_year[[#This Row],[SKU ID]],SKU[[SKU ID]:[Bottle Size(Ltr)]],6,0)*Stock_year[[#This Row],[Opening Stock (Piece)3]]</f>
        <v>0</v>
      </c>
      <c r="AM10" s="303">
        <v>0</v>
      </c>
      <c r="AN10" s="303"/>
      <c r="AO10" s="303"/>
      <c r="AP10" s="303">
        <f>Stock_year[[#This Row],[Vobanipur Opening3]]+Stock_year[[#This Row],[New Arrival (vobanipur)3]]+Stock_year[[#This Row],[Ulukhola to Vobanipur Transfer3]]</f>
        <v>0</v>
      </c>
      <c r="AQ10" s="303">
        <f>Stock_year[[#This Row],[Ulukhola Opening3]]-Stock_year[[#This Row],[Ulukhola to Vobanipur Transfer3]]+Stock_year[[#This Row],[New Arrival(ulukhola)3]]</f>
        <v>0</v>
      </c>
      <c r="AR10" s="303">
        <f>Stock_year[[#This Row],[Vobanipur Total3]]+Stock_year[[#This Row],[Ulukhola Total3]]</f>
        <v>0</v>
      </c>
      <c r="AS10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10" s="303">
        <f>Stock_year[[#This Row],[Vobanipur Total3]]-Stock_year[[#This Row],[Sold Qty(Piece)3]]</f>
        <v>0</v>
      </c>
      <c r="AU10" s="303">
        <f>Stock_year[[#This Row],[Ulukhola Total3]]</f>
        <v>0</v>
      </c>
      <c r="AV10" s="303">
        <f>VLOOKUP(Stock_year[[#This Row],[SKU ID]],SKU[],14,0)*(Stock_year[[#This Row],[Closing Stock Vobanipur3]]+Stock_year[[#This Row],[Closing Stock Ulukhola3]])</f>
        <v>0</v>
      </c>
      <c r="AW10" s="303">
        <f ca="1">Stock_year[[#This Row],[Closing Damage unit2]]</f>
        <v>9</v>
      </c>
      <c r="AX1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9</v>
      </c>
      <c r="AY10" s="32">
        <f>Stock_year[[#This Row],[Closing Stock Vobanipur3]]</f>
        <v>0</v>
      </c>
      <c r="AZ10" s="32">
        <f>Stock_year[[#This Row],[Closing Stock Ulukhola3]]</f>
        <v>0</v>
      </c>
      <c r="BA10" s="32">
        <f>Stock_year[[#This Row],[Vobanipur Opening4]]+Stock_year[[#This Row],[Ulukhola Opening4]]</f>
        <v>0</v>
      </c>
      <c r="BB10" s="32">
        <f>VLOOKUP(Stock_year[[#This Row],[SKU ID]],SKU[[SKU ID]:[Bottle Size(Ltr)]],6,0)*Stock_year[[#This Row],[Opening Stock (Piece)4]]</f>
        <v>0</v>
      </c>
      <c r="BC10" s="32">
        <v>0</v>
      </c>
      <c r="BD10" s="32"/>
      <c r="BE10" s="32"/>
      <c r="BF10" s="32">
        <f>Stock_year[[#This Row],[Vobanipur Opening4]]+Stock_year[[#This Row],[New Arrival (vobanipur)4]]+Stock_year[[#This Row],[Ulukhola to Vobanipur Transfer4]]</f>
        <v>0</v>
      </c>
      <c r="BG10" s="32">
        <f>Stock_year[[#This Row],[Ulukhola Opening4]]-Stock_year[[#This Row],[Ulukhola to Vobanipur Transfer4]]+Stock_year[[#This Row],[New Arrival(ulukhola)4]]</f>
        <v>0</v>
      </c>
      <c r="BH10" s="32">
        <f>Stock_year[[#This Row],[Vobanipur Total4]]+Stock_year[[#This Row],[Ulukhola Total4]]</f>
        <v>0</v>
      </c>
      <c r="BI10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10" s="32">
        <f>Stock_year[[#This Row],[Vobanipur Total4]]-Stock_year[[#This Row],[Sold Qty(Piece)4]]</f>
        <v>0</v>
      </c>
      <c r="BK10" s="32">
        <f>Stock_year[[#This Row],[Ulukhola Total4]]</f>
        <v>0</v>
      </c>
      <c r="BL10" s="32">
        <f>VLOOKUP(Stock_year[[#This Row],[SKU ID]],SKU[],14,0)*(Stock_year[[#This Row],[Closing Stock Vobanipur4]]+Stock_year[[#This Row],[Closing Stock Ulukhola4]])</f>
        <v>0</v>
      </c>
      <c r="BM10" s="32">
        <f ca="1">Stock_year[[#This Row],[Closing Damage unit3]]</f>
        <v>9</v>
      </c>
      <c r="BN1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9</v>
      </c>
    </row>
    <row r="11" spans="1:82" x14ac:dyDescent="0.5">
      <c r="A11" t="s">
        <v>35</v>
      </c>
      <c r="B11" t="s">
        <v>770</v>
      </c>
      <c r="C11" s="329">
        <v>2268</v>
      </c>
      <c r="D11" s="322">
        <f>2556-24</f>
        <v>2532</v>
      </c>
      <c r="E11" s="3">
        <f>Stock_year[[#This Row],[Vobanipur Opening]]+Stock_year[[#This Row],[Ulukhola Opening]]</f>
        <v>4800</v>
      </c>
      <c r="F11" s="3">
        <f>VLOOKUP(Stock_year[[#This Row],[SKU ID]],SKU[[SKU ID]:[Bottle Size(Ltr)]],6,0)*Stock_year[[#This Row],[Opening Stock (Piece)]]</f>
        <v>4800</v>
      </c>
      <c r="G11" s="3">
        <v>432</v>
      </c>
      <c r="H11" s="3"/>
      <c r="I11" s="3"/>
      <c r="J11" s="3">
        <f>Stock_year[[#This Row],[Vobanipur Opening]]+Stock_year[[#This Row],[New Arrival (vobanipur)]]+Stock_year[[#This Row],[Ulukhola to Vobanipur Transfer]]</f>
        <v>2700</v>
      </c>
      <c r="K11" s="3">
        <f>Stock_year[[#This Row],[Ulukhola Opening]]+Stock_year[[#This Row],[New Arrival(ulukhola)]]-Stock_year[[#This Row],[Ulukhola to Vobanipur Transfer]]</f>
        <v>2100</v>
      </c>
      <c r="L11" s="3">
        <f>Stock_year[[#This Row],[Opening Stock (Piece)]]+Stock_year[[#This Row],[New Arrival(ulukhola)]]</f>
        <v>4800</v>
      </c>
      <c r="M11" s="3">
        <f>SUMIFS(Primary_Order[Total Qty],Primary_Order[Date],"&gt;="&amp;C$1,Primary_Order[Date],"&lt;="&amp;EOMONTH(C$1,0),Primary_Order[Product ID],Stock_year[[#This Row],[SKU ID]],Primary_Order[Status],'Stock Report'!$A$1)</f>
        <v>96</v>
      </c>
      <c r="N11" s="3">
        <f>Stock_year[[#This Row],[Vobanipur Total]]-Stock_year[[#This Row],[Sold Qty(Piece)]]</f>
        <v>2604</v>
      </c>
      <c r="O11" s="3">
        <f>Stock_year[[#This Row],[Ulukhola Opening]]-Stock_year[[#This Row],[Ulukhola to Vobanipur Transfer]]+Stock_year[[#This Row],[New Arrival(ulukhola)]]</f>
        <v>2100</v>
      </c>
      <c r="P11" s="3">
        <f>Stock_year[[#This Row],[Ulukhola Total]]</f>
        <v>2100</v>
      </c>
      <c r="Q11" s="3">
        <v>22</v>
      </c>
      <c r="R1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22</v>
      </c>
      <c r="S11" s="303">
        <f>Stock_year[[#This Row],[Closing Stock Vobanipur]]</f>
        <v>2604</v>
      </c>
      <c r="T11" s="303">
        <f>Stock_year[[#This Row],[Closing Stock Ulukhola]]</f>
        <v>2100</v>
      </c>
      <c r="U11" s="303">
        <f>Stock_year[[#This Row],[Vobanipur Opening2]]+Stock_year[[#This Row],[Ulukhola Opening2]]</f>
        <v>4704</v>
      </c>
      <c r="V11" s="303">
        <f>VLOOKUP(Stock_year[[#This Row],[SKU ID]],SKU[[SKU ID]:[Bottle Size(Ltr)]],6,0)*Stock_year[[#This Row],[Opening Stock (Piece)2]]</f>
        <v>4704</v>
      </c>
      <c r="W11" s="303">
        <v>2100</v>
      </c>
      <c r="X11" s="303"/>
      <c r="Y11" s="303"/>
      <c r="Z11" s="303">
        <f>Stock_year[[#This Row],[Vobanipur Opening2]]+Stock_year[[#This Row],[Ulukhola to Vobanipur Transfer2]]+Stock_year[[#This Row],[New Arrival (vobanipur)2]]</f>
        <v>4704</v>
      </c>
      <c r="AA11" s="303">
        <f>Stock_year[[#This Row],[Ulukhola Opening2]]-Stock_year[[#This Row],[Ulukhola to Vobanipur Transfer2]]+Stock_year[[#This Row],[New Arrival(ulukhola)2]]</f>
        <v>0</v>
      </c>
      <c r="AB11" s="303">
        <f>Stock_year[[#This Row],[Vobanipur Total2]]+Stock_year[[#This Row],[Ulukhola Total2]]</f>
        <v>4704</v>
      </c>
      <c r="AC11" s="303">
        <f>SUMIFS(Primary_Order[Total Qty],Primary_Order[Date],"&gt;="&amp;S$1,Primary_Order[Date],"&lt;="&amp;EOMONTH(S$1,0),Primary_Order[Product ID],Stock_year[[#This Row],[SKU ID]],Primary_Order[Status],'Stock Report'!$A$1)</f>
        <v>12</v>
      </c>
      <c r="AD11" s="303">
        <f>Stock_year[[#This Row],[Vobanipur Total2]]-Stock_year[[#This Row],[Sold Qty(Piece)2]]</f>
        <v>4692</v>
      </c>
      <c r="AE11" s="303">
        <f>Stock_year[[#This Row],[Ulukhola Opening2]]-Stock_year[[#This Row],[Ulukhola to Vobanipur Transfer2]]+Stock_year[[#This Row],[New Arrival(ulukhola)2]]</f>
        <v>0</v>
      </c>
      <c r="AF11" s="303">
        <f>VLOOKUP(Stock_year[[#This Row],[SKU ID]],SKU[],14,0)*(Stock_year[[#This Row],[Closing Stock Vobanipur2]]+Stock_year[[#This Row],[Closing Stock Ulukhola2]])</f>
        <v>2827586.88</v>
      </c>
      <c r="AG11" s="303">
        <f ca="1">OFFSET(Stock_year[[#This Row],[Total Closing Stock Value2]],0,-14)</f>
        <v>22</v>
      </c>
      <c r="AH1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22</v>
      </c>
      <c r="AI11" s="302">
        <f>Stock_year[[#This Row],[Closing Stock Vobanipur2]]</f>
        <v>4692</v>
      </c>
      <c r="AJ11" s="303">
        <f>Stock_year[[#This Row],[Closing Stock Ulukhola2]]</f>
        <v>0</v>
      </c>
      <c r="AK11" s="303">
        <f>Stock_year[[#This Row],[Vobanipur Opening3]]+Stock_year[[#This Row],[Ulukhola Opening3]]</f>
        <v>4692</v>
      </c>
      <c r="AL11" s="303">
        <f>VLOOKUP(Stock_year[[#This Row],[SKU ID]],SKU[[SKU ID]:[Bottle Size(Ltr)]],6,0)*Stock_year[[#This Row],[Opening Stock (Piece)3]]</f>
        <v>4692</v>
      </c>
      <c r="AM11" s="303">
        <v>0</v>
      </c>
      <c r="AN11" s="303"/>
      <c r="AO11" s="303"/>
      <c r="AP11" s="303">
        <f>Stock_year[[#This Row],[Vobanipur Opening3]]+Stock_year[[#This Row],[New Arrival (vobanipur)3]]+Stock_year[[#This Row],[Ulukhola to Vobanipur Transfer3]]</f>
        <v>4692</v>
      </c>
      <c r="AQ11" s="303">
        <f>Stock_year[[#This Row],[Ulukhola Opening3]]-Stock_year[[#This Row],[Ulukhola to Vobanipur Transfer3]]+Stock_year[[#This Row],[New Arrival(ulukhola)3]]</f>
        <v>0</v>
      </c>
      <c r="AR11" s="303">
        <f>Stock_year[[#This Row],[Vobanipur Total3]]+Stock_year[[#This Row],[Ulukhola Total3]]</f>
        <v>4692</v>
      </c>
      <c r="AS11" s="303">
        <f>SUMIFS(Primary_Order[Total Qty],Primary_Order[Date],"&gt;="&amp;AI$1,Primary_Order[Date],"&lt;="&amp;EOMONTH(AI$1,0),Primary_Order[Product ID],Stock_year[[#This Row],[SKU ID]],Primary_Order[Status],'Stock Report'!$A$1)</f>
        <v>60</v>
      </c>
      <c r="AT11" s="303">
        <f>Stock_year[[#This Row],[Vobanipur Total3]]-Stock_year[[#This Row],[Sold Qty(Piece)3]]</f>
        <v>4632</v>
      </c>
      <c r="AU11" s="303">
        <f>Stock_year[[#This Row],[Ulukhola Total3]]</f>
        <v>0</v>
      </c>
      <c r="AV11" s="303">
        <f>VLOOKUP(Stock_year[[#This Row],[SKU ID]],SKU[],14,0)*(Stock_year[[#This Row],[Closing Stock Vobanipur3]]+Stock_year[[#This Row],[Closing Stock Ulukhola3]])</f>
        <v>2791428.48</v>
      </c>
      <c r="AW11" s="303">
        <f ca="1">Stock_year[[#This Row],[Closing Damage unit2]]</f>
        <v>22</v>
      </c>
      <c r="AX1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22</v>
      </c>
      <c r="AY11" s="32">
        <f>Stock_year[[#This Row],[Closing Stock Vobanipur3]]</f>
        <v>4632</v>
      </c>
      <c r="AZ11" s="32">
        <f>Stock_year[[#This Row],[Closing Stock Ulukhola3]]</f>
        <v>0</v>
      </c>
      <c r="BA11" s="32">
        <f>Stock_year[[#This Row],[Vobanipur Opening4]]+Stock_year[[#This Row],[Ulukhola Opening4]]</f>
        <v>4632</v>
      </c>
      <c r="BB11" s="32">
        <f>VLOOKUP(Stock_year[[#This Row],[SKU ID]],SKU[[SKU ID]:[Bottle Size(Ltr)]],6,0)*Stock_year[[#This Row],[Opening Stock (Piece)4]]</f>
        <v>4632</v>
      </c>
      <c r="BC11" s="32">
        <v>0</v>
      </c>
      <c r="BD11" s="32"/>
      <c r="BE11" s="32"/>
      <c r="BF11" s="32">
        <f>Stock_year[[#This Row],[Vobanipur Opening4]]+Stock_year[[#This Row],[New Arrival (vobanipur)4]]+Stock_year[[#This Row],[Ulukhola to Vobanipur Transfer4]]</f>
        <v>4632</v>
      </c>
      <c r="BG11" s="32">
        <f>Stock_year[[#This Row],[Ulukhola Opening4]]-Stock_year[[#This Row],[Ulukhola to Vobanipur Transfer4]]+Stock_year[[#This Row],[New Arrival(ulukhola)4]]</f>
        <v>0</v>
      </c>
      <c r="BH11" s="32">
        <f>Stock_year[[#This Row],[Vobanipur Total4]]+Stock_year[[#This Row],[Ulukhola Total4]]</f>
        <v>4632</v>
      </c>
      <c r="BI11" s="32">
        <f>SUMIFS(Primary_Order[Total Qty],Primary_Order[Date],"&gt;="&amp;AY$1,Primary_Order[Date],"&lt;="&amp;EOMONTH(AY$1,0),Primary_Order[Product ID],Stock_year[[#This Row],[SKU ID]],Primary_Order[Status],'Stock Report'!$A$1)</f>
        <v>24</v>
      </c>
      <c r="BJ11" s="32">
        <f>Stock_year[[#This Row],[Vobanipur Total4]]-Stock_year[[#This Row],[Sold Qty(Piece)4]]</f>
        <v>4608</v>
      </c>
      <c r="BK11" s="32">
        <f>Stock_year[[#This Row],[Ulukhola Total4]]</f>
        <v>0</v>
      </c>
      <c r="BL11" s="32">
        <f>VLOOKUP(Stock_year[[#This Row],[SKU ID]],SKU[],14,0)*(Stock_year[[#This Row],[Closing Stock Vobanipur4]]+Stock_year[[#This Row],[Closing Stock Ulukhola4]])</f>
        <v>2776965.1200000001</v>
      </c>
      <c r="BM11" s="32">
        <f ca="1">Stock_year[[#This Row],[Closing Damage unit3]]</f>
        <v>22</v>
      </c>
      <c r="BN1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22</v>
      </c>
    </row>
    <row r="12" spans="1:82" x14ac:dyDescent="0.5">
      <c r="A12" t="s">
        <v>36</v>
      </c>
      <c r="B12" t="s">
        <v>771</v>
      </c>
      <c r="C12" s="329">
        <v>1673</v>
      </c>
      <c r="D12" s="322">
        <f>9372+48</f>
        <v>9420</v>
      </c>
      <c r="E12" s="3">
        <f>Stock_year[[#This Row],[Vobanipur Opening]]+Stock_year[[#This Row],[Ulukhola Opening]]</f>
        <v>11093</v>
      </c>
      <c r="F12" s="3">
        <f>VLOOKUP(Stock_year[[#This Row],[SKU ID]],SKU[[SKU ID]:[Bottle Size(Ltr)]],6,0)*Stock_year[[#This Row],[Opening Stock (Piece)]]</f>
        <v>11093</v>
      </c>
      <c r="G12" s="3">
        <v>744</v>
      </c>
      <c r="H12" s="3"/>
      <c r="I12" s="3"/>
      <c r="J12" s="3">
        <f>Stock_year[[#This Row],[Vobanipur Opening]]+Stock_year[[#This Row],[New Arrival (vobanipur)]]+Stock_year[[#This Row],[Ulukhola to Vobanipur Transfer]]</f>
        <v>2417</v>
      </c>
      <c r="K12" s="3">
        <f>Stock_year[[#This Row],[Ulukhola Opening]]+Stock_year[[#This Row],[New Arrival(ulukhola)]]-Stock_year[[#This Row],[Ulukhola to Vobanipur Transfer]]</f>
        <v>8676</v>
      </c>
      <c r="L12" s="3">
        <f>Stock_year[[#This Row],[Opening Stock (Piece)]]+Stock_year[[#This Row],[New Arrival(ulukhola)]]</f>
        <v>11093</v>
      </c>
      <c r="M12" s="3">
        <f>SUMIFS(Primary_Order[Total Qty],Primary_Order[Date],"&gt;="&amp;C$1,Primary_Order[Date],"&lt;="&amp;EOMONTH(C$1,0),Primary_Order[Product ID],Stock_year[[#This Row],[SKU ID]],Primary_Order[Status],'Stock Report'!$A$1)</f>
        <v>708</v>
      </c>
      <c r="N12" s="3">
        <f>Stock_year[[#This Row],[Vobanipur Total]]-Stock_year[[#This Row],[Sold Qty(Piece)]]</f>
        <v>1709</v>
      </c>
      <c r="O12" s="3">
        <f>Stock_year[[#This Row],[Ulukhola Opening]]-Stock_year[[#This Row],[Ulukhola to Vobanipur Transfer]]+Stock_year[[#This Row],[New Arrival(ulukhola)]]</f>
        <v>8676</v>
      </c>
      <c r="P12" s="3">
        <f>Stock_year[[#This Row],[Ulukhola Total]]</f>
        <v>8676</v>
      </c>
      <c r="Q12" s="3">
        <v>90</v>
      </c>
      <c r="R1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90</v>
      </c>
      <c r="S12" s="303">
        <f>Stock_year[[#This Row],[Closing Stock Vobanipur]]</f>
        <v>1709</v>
      </c>
      <c r="T12" s="303">
        <f>Stock_year[[#This Row],[Closing Stock Ulukhola]]</f>
        <v>8676</v>
      </c>
      <c r="U12" s="303">
        <f>Stock_year[[#This Row],[Vobanipur Opening2]]+Stock_year[[#This Row],[Ulukhola Opening2]]</f>
        <v>10385</v>
      </c>
      <c r="V12" s="303">
        <f>VLOOKUP(Stock_year[[#This Row],[SKU ID]],SKU[[SKU ID]:[Bottle Size(Ltr)]],6,0)*Stock_year[[#This Row],[Opening Stock (Piece)2]]</f>
        <v>10385</v>
      </c>
      <c r="W12" s="303">
        <v>8676</v>
      </c>
      <c r="X12" s="303"/>
      <c r="Y12" s="303"/>
      <c r="Z12" s="303">
        <f>Stock_year[[#This Row],[Vobanipur Opening2]]+Stock_year[[#This Row],[Ulukhola to Vobanipur Transfer2]]+Stock_year[[#This Row],[New Arrival (vobanipur)2]]</f>
        <v>10385</v>
      </c>
      <c r="AA12" s="303">
        <f>Stock_year[[#This Row],[Ulukhola Opening2]]-Stock_year[[#This Row],[Ulukhola to Vobanipur Transfer2]]+Stock_year[[#This Row],[New Arrival(ulukhola)2]]</f>
        <v>0</v>
      </c>
      <c r="AB12" s="303">
        <f>Stock_year[[#This Row],[Vobanipur Total2]]+Stock_year[[#This Row],[Ulukhola Total2]]</f>
        <v>10385</v>
      </c>
      <c r="AC12" s="303">
        <f>SUMIFS(Primary_Order[Total Qty],Primary_Order[Date],"&gt;="&amp;S$1,Primary_Order[Date],"&lt;="&amp;EOMONTH(S$1,0),Primary_Order[Product ID],Stock_year[[#This Row],[SKU ID]],Primary_Order[Status],'Stock Report'!$A$1)</f>
        <v>6624</v>
      </c>
      <c r="AD12" s="303">
        <f>Stock_year[[#This Row],[Vobanipur Total2]]-Stock_year[[#This Row],[Sold Qty(Piece)2]]</f>
        <v>3761</v>
      </c>
      <c r="AE12" s="303">
        <f>Stock_year[[#This Row],[Ulukhola Opening2]]-Stock_year[[#This Row],[Ulukhola to Vobanipur Transfer2]]+Stock_year[[#This Row],[New Arrival(ulukhola)2]]</f>
        <v>0</v>
      </c>
      <c r="AF12" s="303">
        <f>VLOOKUP(Stock_year[[#This Row],[SKU ID]],SKU[],14,0)*(Stock_year[[#This Row],[Closing Stock Vobanipur2]]+Stock_year[[#This Row],[Closing Stock Ulukhola2]])</f>
        <v>2287929.1300000004</v>
      </c>
      <c r="AG12" s="303">
        <f ca="1">OFFSET(Stock_year[[#This Row],[Total Closing Stock Value2]],0,-14)</f>
        <v>90</v>
      </c>
      <c r="AH12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90</v>
      </c>
      <c r="AI12" s="302">
        <f>Stock_year[[#This Row],[Closing Stock Vobanipur2]]</f>
        <v>3761</v>
      </c>
      <c r="AJ12" s="303">
        <f>Stock_year[[#This Row],[Closing Stock Ulukhola2]]</f>
        <v>0</v>
      </c>
      <c r="AK12" s="303">
        <f>Stock_year[[#This Row],[Vobanipur Opening3]]+Stock_year[[#This Row],[Ulukhola Opening3]]</f>
        <v>3761</v>
      </c>
      <c r="AL12" s="303">
        <f>VLOOKUP(Stock_year[[#This Row],[SKU ID]],SKU[[SKU ID]:[Bottle Size(Ltr)]],6,0)*Stock_year[[#This Row],[Opening Stock (Piece)3]]</f>
        <v>3761</v>
      </c>
      <c r="AM12" s="303">
        <v>0</v>
      </c>
      <c r="AN12" s="303"/>
      <c r="AO12" s="303"/>
      <c r="AP12" s="303">
        <f>Stock_year[[#This Row],[Vobanipur Opening3]]+Stock_year[[#This Row],[New Arrival (vobanipur)3]]+Stock_year[[#This Row],[Ulukhola to Vobanipur Transfer3]]</f>
        <v>3761</v>
      </c>
      <c r="AQ12" s="303">
        <f>Stock_year[[#This Row],[Ulukhola Opening3]]-Stock_year[[#This Row],[Ulukhola to Vobanipur Transfer3]]+Stock_year[[#This Row],[New Arrival(ulukhola)3]]</f>
        <v>0</v>
      </c>
      <c r="AR12" s="303">
        <f>Stock_year[[#This Row],[Vobanipur Total3]]+Stock_year[[#This Row],[Ulukhola Total3]]</f>
        <v>3761</v>
      </c>
      <c r="AS12" s="303">
        <f>SUMIFS(Primary_Order[Total Qty],Primary_Order[Date],"&gt;="&amp;AI$1,Primary_Order[Date],"&lt;="&amp;EOMONTH(AI$1,0),Primary_Order[Product ID],Stock_year[[#This Row],[SKU ID]],Primary_Order[Status],'Stock Report'!$A$1)</f>
        <v>2144</v>
      </c>
      <c r="AT12" s="303">
        <f>Stock_year[[#This Row],[Vobanipur Total3]]-Stock_year[[#This Row],[Sold Qty(Piece)3]]</f>
        <v>1617</v>
      </c>
      <c r="AU12" s="303">
        <f>Stock_year[[#This Row],[Ulukhola Total3]]</f>
        <v>0</v>
      </c>
      <c r="AV12" s="303">
        <f>VLOOKUP(Stock_year[[#This Row],[SKU ID]],SKU[],14,0)*(Stock_year[[#This Row],[Closing Stock Vobanipur3]]+Stock_year[[#This Row],[Closing Stock Ulukhola3]])</f>
        <v>983669.6100000001</v>
      </c>
      <c r="AW12" s="303">
        <f ca="1">Stock_year[[#This Row],[Closing Damage unit2]]</f>
        <v>90</v>
      </c>
      <c r="AX12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90</v>
      </c>
      <c r="AY12" s="32">
        <f>Stock_year[[#This Row],[Closing Stock Vobanipur3]]</f>
        <v>1617</v>
      </c>
      <c r="AZ12" s="32">
        <f>Stock_year[[#This Row],[Closing Stock Ulukhola3]]</f>
        <v>0</v>
      </c>
      <c r="BA12" s="32">
        <f>Stock_year[[#This Row],[Vobanipur Opening4]]+Stock_year[[#This Row],[Ulukhola Opening4]]</f>
        <v>1617</v>
      </c>
      <c r="BB12" s="32">
        <f>VLOOKUP(Stock_year[[#This Row],[SKU ID]],SKU[[SKU ID]:[Bottle Size(Ltr)]],6,0)*Stock_year[[#This Row],[Opening Stock (Piece)4]]</f>
        <v>1617</v>
      </c>
      <c r="BC12" s="32">
        <v>0</v>
      </c>
      <c r="BD12" s="32"/>
      <c r="BE12" s="32"/>
      <c r="BF12" s="32">
        <f>Stock_year[[#This Row],[Vobanipur Opening4]]+Stock_year[[#This Row],[New Arrival (vobanipur)4]]+Stock_year[[#This Row],[Ulukhola to Vobanipur Transfer4]]</f>
        <v>1617</v>
      </c>
      <c r="BG12" s="32">
        <f>Stock_year[[#This Row],[Ulukhola Opening4]]-Stock_year[[#This Row],[Ulukhola to Vobanipur Transfer4]]+Stock_year[[#This Row],[New Arrival(ulukhola)4]]</f>
        <v>0</v>
      </c>
      <c r="BH12" s="32">
        <f>Stock_year[[#This Row],[Vobanipur Total4]]+Stock_year[[#This Row],[Ulukhola Total4]]</f>
        <v>1617</v>
      </c>
      <c r="BI12" s="32">
        <f>SUMIFS(Primary_Order[Total Qty],Primary_Order[Date],"&gt;="&amp;AY$1,Primary_Order[Date],"&lt;="&amp;EOMONTH(AY$1,0),Primary_Order[Product ID],Stock_year[[#This Row],[SKU ID]],Primary_Order[Status],'Stock Report'!$A$1)</f>
        <v>696</v>
      </c>
      <c r="BJ12" s="32">
        <f>Stock_year[[#This Row],[Vobanipur Total4]]-Stock_year[[#This Row],[Sold Qty(Piece)4]]</f>
        <v>921</v>
      </c>
      <c r="BK12" s="32">
        <f>Stock_year[[#This Row],[Ulukhola Total4]]</f>
        <v>0</v>
      </c>
      <c r="BL12" s="32">
        <f>VLOOKUP(Stock_year[[#This Row],[SKU ID]],SKU[],14,0)*(Stock_year[[#This Row],[Closing Stock Vobanipur4]]+Stock_year[[#This Row],[Closing Stock Ulukhola4]])</f>
        <v>560271.93000000005</v>
      </c>
      <c r="BM12" s="32">
        <f ca="1">Stock_year[[#This Row],[Closing Damage unit3]]</f>
        <v>90</v>
      </c>
      <c r="BN1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90</v>
      </c>
    </row>
    <row r="13" spans="1:82" x14ac:dyDescent="0.5">
      <c r="A13" t="s">
        <v>56</v>
      </c>
      <c r="B13" t="s">
        <v>772</v>
      </c>
      <c r="C13" s="329">
        <v>1634</v>
      </c>
      <c r="D13" s="322">
        <f>3540-192</f>
        <v>3348</v>
      </c>
      <c r="E13" s="3">
        <f>Stock_year[[#This Row],[Vobanipur Opening]]+Stock_year[[#This Row],[Ulukhola Opening]]</f>
        <v>4982</v>
      </c>
      <c r="F13" s="3">
        <f>VLOOKUP(Stock_year[[#This Row],[SKU ID]],SKU[[SKU ID]:[Bottle Size(Ltr)]],6,0)*Stock_year[[#This Row],[Opening Stock (Piece)]]</f>
        <v>4982</v>
      </c>
      <c r="G13" s="3">
        <v>1716</v>
      </c>
      <c r="H13" s="3"/>
      <c r="I13" s="3"/>
      <c r="J13" s="3">
        <f>Stock_year[[#This Row],[Vobanipur Opening]]+Stock_year[[#This Row],[New Arrival (vobanipur)]]+Stock_year[[#This Row],[Ulukhola to Vobanipur Transfer]]</f>
        <v>3350</v>
      </c>
      <c r="K13" s="3">
        <f>Stock_year[[#This Row],[Ulukhola Opening]]+Stock_year[[#This Row],[New Arrival(ulukhola)]]-Stock_year[[#This Row],[Ulukhola to Vobanipur Transfer]]</f>
        <v>1632</v>
      </c>
      <c r="L13" s="3">
        <f>Stock_year[[#This Row],[Opening Stock (Piece)]]+Stock_year[[#This Row],[New Arrival(ulukhola)]]</f>
        <v>4982</v>
      </c>
      <c r="M13" s="3">
        <f>SUMIFS(Primary_Order[Total Qty],Primary_Order[Date],"&gt;="&amp;C$1,Primary_Order[Date],"&lt;="&amp;EOMONTH(C$1,0),Primary_Order[Product ID],Stock_year[[#This Row],[SKU ID]],Primary_Order[Status],'Stock Report'!$A$1)</f>
        <v>564</v>
      </c>
      <c r="N13" s="3">
        <f>Stock_year[[#This Row],[Vobanipur Total]]-Stock_year[[#This Row],[Sold Qty(Piece)]]</f>
        <v>2786</v>
      </c>
      <c r="O13" s="3">
        <f>Stock_year[[#This Row],[Ulukhola Opening]]-Stock_year[[#This Row],[Ulukhola to Vobanipur Transfer]]+Stock_year[[#This Row],[New Arrival(ulukhola)]]</f>
        <v>1632</v>
      </c>
      <c r="P13" s="3">
        <f>Stock_year[[#This Row],[Ulukhola Total]]</f>
        <v>1632</v>
      </c>
      <c r="Q13" s="3">
        <v>50</v>
      </c>
      <c r="R13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50</v>
      </c>
      <c r="S13" s="303">
        <f>Stock_year[[#This Row],[Closing Stock Vobanipur]]</f>
        <v>2786</v>
      </c>
      <c r="T13" s="303">
        <f>Stock_year[[#This Row],[Closing Stock Ulukhola]]</f>
        <v>1632</v>
      </c>
      <c r="U13" s="303">
        <f>Stock_year[[#This Row],[Vobanipur Opening2]]+Stock_year[[#This Row],[Ulukhola Opening2]]</f>
        <v>4418</v>
      </c>
      <c r="V13" s="303">
        <f>VLOOKUP(Stock_year[[#This Row],[SKU ID]],SKU[[SKU ID]:[Bottle Size(Ltr)]],6,0)*Stock_year[[#This Row],[Opening Stock (Piece)2]]</f>
        <v>4418</v>
      </c>
      <c r="W13" s="303">
        <v>1632</v>
      </c>
      <c r="X13" s="303"/>
      <c r="Y13" s="303"/>
      <c r="Z13" s="303">
        <f>Stock_year[[#This Row],[Vobanipur Opening2]]+Stock_year[[#This Row],[Ulukhola to Vobanipur Transfer2]]+Stock_year[[#This Row],[New Arrival (vobanipur)2]]</f>
        <v>4418</v>
      </c>
      <c r="AA13" s="303">
        <f>Stock_year[[#This Row],[Ulukhola Opening2]]-Stock_year[[#This Row],[Ulukhola to Vobanipur Transfer2]]+Stock_year[[#This Row],[New Arrival(ulukhola)2]]</f>
        <v>0</v>
      </c>
      <c r="AB13" s="303">
        <f>Stock_year[[#This Row],[Vobanipur Total2]]+Stock_year[[#This Row],[Ulukhola Total2]]</f>
        <v>4418</v>
      </c>
      <c r="AC13" s="303">
        <f>SUMIFS(Primary_Order[Total Qty],Primary_Order[Date],"&gt;="&amp;S$1,Primary_Order[Date],"&lt;="&amp;EOMONTH(S$1,0),Primary_Order[Product ID],Stock_year[[#This Row],[SKU ID]],Primary_Order[Status],'Stock Report'!$A$1)</f>
        <v>180</v>
      </c>
      <c r="AD13" s="303">
        <f>Stock_year[[#This Row],[Vobanipur Total2]]-Stock_year[[#This Row],[Sold Qty(Piece)2]]</f>
        <v>4238</v>
      </c>
      <c r="AE13" s="303">
        <f>Stock_year[[#This Row],[Ulukhola Opening2]]-Stock_year[[#This Row],[Ulukhola to Vobanipur Transfer2]]+Stock_year[[#This Row],[New Arrival(ulukhola)2]]</f>
        <v>0</v>
      </c>
      <c r="AF13" s="303">
        <f>VLOOKUP(Stock_year[[#This Row],[SKU ID]],SKU[],14,0)*(Stock_year[[#This Row],[Closing Stock Vobanipur2]]+Stock_year[[#This Row],[Closing Stock Ulukhola2]])</f>
        <v>2923626.68</v>
      </c>
      <c r="AG13" s="303">
        <f ca="1">OFFSET(Stock_year[[#This Row],[Total Closing Stock Value2]],0,-14)</f>
        <v>50</v>
      </c>
      <c r="AH13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50</v>
      </c>
      <c r="AI13" s="302">
        <f>Stock_year[[#This Row],[Closing Stock Vobanipur2]]</f>
        <v>4238</v>
      </c>
      <c r="AJ13" s="303">
        <f>Stock_year[[#This Row],[Closing Stock Ulukhola2]]</f>
        <v>0</v>
      </c>
      <c r="AK13" s="303">
        <f>Stock_year[[#This Row],[Vobanipur Opening3]]+Stock_year[[#This Row],[Ulukhola Opening3]]</f>
        <v>4238</v>
      </c>
      <c r="AL13" s="303">
        <f>VLOOKUP(Stock_year[[#This Row],[SKU ID]],SKU[[SKU ID]:[Bottle Size(Ltr)]],6,0)*Stock_year[[#This Row],[Opening Stock (Piece)3]]</f>
        <v>4238</v>
      </c>
      <c r="AM13" s="303">
        <v>0</v>
      </c>
      <c r="AN13" s="303"/>
      <c r="AO13" s="303"/>
      <c r="AP13" s="303">
        <f>Stock_year[[#This Row],[Vobanipur Opening3]]+Stock_year[[#This Row],[New Arrival (vobanipur)3]]+Stock_year[[#This Row],[Ulukhola to Vobanipur Transfer3]]</f>
        <v>4238</v>
      </c>
      <c r="AQ13" s="303">
        <f>Stock_year[[#This Row],[Ulukhola Opening3]]-Stock_year[[#This Row],[Ulukhola to Vobanipur Transfer3]]+Stock_year[[#This Row],[New Arrival(ulukhola)3]]</f>
        <v>0</v>
      </c>
      <c r="AR13" s="303">
        <f>Stock_year[[#This Row],[Vobanipur Total3]]+Stock_year[[#This Row],[Ulukhola Total3]]</f>
        <v>4238</v>
      </c>
      <c r="AS13" s="303">
        <f>SUMIFS(Primary_Order[Total Qty],Primary_Order[Date],"&gt;="&amp;AI$1,Primary_Order[Date],"&lt;="&amp;EOMONTH(AI$1,0),Primary_Order[Product ID],Stock_year[[#This Row],[SKU ID]],Primary_Order[Status],'Stock Report'!$A$1)</f>
        <v>396</v>
      </c>
      <c r="AT13" s="303">
        <f>Stock_year[[#This Row],[Vobanipur Total3]]-Stock_year[[#This Row],[Sold Qty(Piece)3]]</f>
        <v>3842</v>
      </c>
      <c r="AU13" s="303">
        <f>Stock_year[[#This Row],[Ulukhola Total3]]</f>
        <v>0</v>
      </c>
      <c r="AV13" s="303">
        <f>VLOOKUP(Stock_year[[#This Row],[SKU ID]],SKU[],14,0)*(Stock_year[[#This Row],[Closing Stock Vobanipur3]]+Stock_year[[#This Row],[Closing Stock Ulukhola3]])</f>
        <v>2650442.12</v>
      </c>
      <c r="AW13" s="303">
        <f ca="1">Stock_year[[#This Row],[Closing Damage unit2]]</f>
        <v>50</v>
      </c>
      <c r="AX13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50</v>
      </c>
      <c r="AY13" s="32">
        <f>Stock_year[[#This Row],[Closing Stock Vobanipur3]]</f>
        <v>3842</v>
      </c>
      <c r="AZ13" s="32">
        <f>Stock_year[[#This Row],[Closing Stock Ulukhola3]]</f>
        <v>0</v>
      </c>
      <c r="BA13" s="32">
        <f>Stock_year[[#This Row],[Vobanipur Opening4]]+Stock_year[[#This Row],[Ulukhola Opening4]]</f>
        <v>3842</v>
      </c>
      <c r="BB13" s="32">
        <f>VLOOKUP(Stock_year[[#This Row],[SKU ID]],SKU[[SKU ID]:[Bottle Size(Ltr)]],6,0)*Stock_year[[#This Row],[Opening Stock (Piece)4]]</f>
        <v>3842</v>
      </c>
      <c r="BC13" s="32">
        <v>0</v>
      </c>
      <c r="BD13" s="32"/>
      <c r="BE13" s="32"/>
      <c r="BF13" s="32">
        <f>Stock_year[[#This Row],[Vobanipur Opening4]]+Stock_year[[#This Row],[New Arrival (vobanipur)4]]+Stock_year[[#This Row],[Ulukhola to Vobanipur Transfer4]]</f>
        <v>3842</v>
      </c>
      <c r="BG13" s="32">
        <f>Stock_year[[#This Row],[Ulukhola Opening4]]-Stock_year[[#This Row],[Ulukhola to Vobanipur Transfer4]]+Stock_year[[#This Row],[New Arrival(ulukhola)4]]</f>
        <v>0</v>
      </c>
      <c r="BH13" s="32">
        <f>Stock_year[[#This Row],[Vobanipur Total4]]+Stock_year[[#This Row],[Ulukhola Total4]]</f>
        <v>3842</v>
      </c>
      <c r="BI13" s="32">
        <f>SUMIFS(Primary_Order[Total Qty],Primary_Order[Date],"&gt;="&amp;AY$1,Primary_Order[Date],"&lt;="&amp;EOMONTH(AY$1,0),Primary_Order[Product ID],Stock_year[[#This Row],[SKU ID]],Primary_Order[Status],'Stock Report'!$A$1)</f>
        <v>601</v>
      </c>
      <c r="BJ13" s="32">
        <f>Stock_year[[#This Row],[Vobanipur Total4]]-Stock_year[[#This Row],[Sold Qty(Piece)4]]</f>
        <v>3241</v>
      </c>
      <c r="BK13" s="32">
        <f>Stock_year[[#This Row],[Ulukhola Total4]]</f>
        <v>0</v>
      </c>
      <c r="BL13" s="32">
        <f>VLOOKUP(Stock_year[[#This Row],[SKU ID]],SKU[],14,0)*(Stock_year[[#This Row],[Closing Stock Vobanipur4]]+Stock_year[[#This Row],[Closing Stock Ulukhola4]])</f>
        <v>2235836.2600000002</v>
      </c>
      <c r="BM13" s="32">
        <f ca="1">Stock_year[[#This Row],[Closing Damage unit3]]</f>
        <v>50</v>
      </c>
      <c r="BN13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50</v>
      </c>
    </row>
    <row r="14" spans="1:82" x14ac:dyDescent="0.5">
      <c r="A14" t="s">
        <v>57</v>
      </c>
      <c r="B14" t="s">
        <v>773</v>
      </c>
      <c r="C14" s="331">
        <f>2020-10</f>
        <v>2010</v>
      </c>
      <c r="D14" s="322">
        <f>12696-276</f>
        <v>12420</v>
      </c>
      <c r="E14" s="3">
        <f>Stock_year[[#This Row],[Vobanipur Opening]]+Stock_year[[#This Row],[Ulukhola Opening]]</f>
        <v>14430</v>
      </c>
      <c r="F14" s="3">
        <f>VLOOKUP(Stock_year[[#This Row],[SKU ID]],SKU[[SKU ID]:[Bottle Size(Ltr)]],6,0)*Stock_year[[#This Row],[Opening Stock (Piece)]]</f>
        <v>14430</v>
      </c>
      <c r="G14" s="3">
        <v>9240</v>
      </c>
      <c r="H14" s="3"/>
      <c r="I14" s="3"/>
      <c r="J14" s="3">
        <f>Stock_year[[#This Row],[Vobanipur Opening]]+Stock_year[[#This Row],[New Arrival (vobanipur)]]+Stock_year[[#This Row],[Ulukhola to Vobanipur Transfer]]</f>
        <v>11250</v>
      </c>
      <c r="K14" s="3">
        <f>Stock_year[[#This Row],[Ulukhola Opening]]+Stock_year[[#This Row],[New Arrival(ulukhola)]]-Stock_year[[#This Row],[Ulukhola to Vobanipur Transfer]]</f>
        <v>3180</v>
      </c>
      <c r="L14" s="3">
        <f>Stock_year[[#This Row],[Opening Stock (Piece)]]+Stock_year[[#This Row],[New Arrival(ulukhola)]]</f>
        <v>14430</v>
      </c>
      <c r="M14" s="3">
        <f>SUMIFS(Primary_Order[Total Qty],Primary_Order[Date],"&gt;="&amp;C$1,Primary_Order[Date],"&lt;="&amp;EOMONTH(C$1,0),Primary_Order[Product ID],Stock_year[[#This Row],[SKU ID]],Primary_Order[Status],'Stock Report'!$A$1)</f>
        <v>14190</v>
      </c>
      <c r="N14" s="3">
        <f>Stock_year[[#This Row],[Vobanipur Total]]-Stock_year[[#This Row],[Sold Qty(Piece)]]</f>
        <v>-2940</v>
      </c>
      <c r="O14" s="3">
        <f>Stock_year[[#This Row],[Ulukhola Opening]]-Stock_year[[#This Row],[Ulukhola to Vobanipur Transfer]]+Stock_year[[#This Row],[New Arrival(ulukhola)]]</f>
        <v>3180</v>
      </c>
      <c r="P14" s="3">
        <f>Stock_year[[#This Row],[Ulukhola Total]]</f>
        <v>3180</v>
      </c>
      <c r="Q14" s="3">
        <v>112</v>
      </c>
      <c r="R1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112</v>
      </c>
      <c r="S14" s="303">
        <f>Stock_year[[#This Row],[Closing Stock Vobanipur]]</f>
        <v>-2940</v>
      </c>
      <c r="T14" s="303">
        <f>Stock_year[[#This Row],[Closing Stock Ulukhola]]</f>
        <v>3180</v>
      </c>
      <c r="U14" s="303">
        <f>Stock_year[[#This Row],[Vobanipur Opening2]]+Stock_year[[#This Row],[Ulukhola Opening2]]</f>
        <v>240</v>
      </c>
      <c r="V14" s="303">
        <f>VLOOKUP(Stock_year[[#This Row],[SKU ID]],SKU[[SKU ID]:[Bottle Size(Ltr)]],6,0)*Stock_year[[#This Row],[Opening Stock (Piece)2]]</f>
        <v>240</v>
      </c>
      <c r="W14" s="303">
        <v>3180</v>
      </c>
      <c r="X14" s="303"/>
      <c r="Y14" s="303"/>
      <c r="Z14" s="303">
        <f>Stock_year[[#This Row],[Vobanipur Opening2]]+Stock_year[[#This Row],[Ulukhola to Vobanipur Transfer2]]+Stock_year[[#This Row],[New Arrival (vobanipur)2]]</f>
        <v>240</v>
      </c>
      <c r="AA14" s="303">
        <f>Stock_year[[#This Row],[Ulukhola Opening2]]-Stock_year[[#This Row],[Ulukhola to Vobanipur Transfer2]]+Stock_year[[#This Row],[New Arrival(ulukhola)2]]</f>
        <v>0</v>
      </c>
      <c r="AB14" s="303">
        <f>Stock_year[[#This Row],[Vobanipur Total2]]+Stock_year[[#This Row],[Ulukhola Total2]]</f>
        <v>240</v>
      </c>
      <c r="AC14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14" s="303">
        <f>Stock_year[[#This Row],[Vobanipur Total2]]-Stock_year[[#This Row],[Sold Qty(Piece)2]]</f>
        <v>240</v>
      </c>
      <c r="AE14" s="303">
        <f>Stock_year[[#This Row],[Ulukhola Opening2]]-Stock_year[[#This Row],[Ulukhola to Vobanipur Transfer2]]+Stock_year[[#This Row],[New Arrival(ulukhola)2]]</f>
        <v>0</v>
      </c>
      <c r="AF14" s="303">
        <f>VLOOKUP(Stock_year[[#This Row],[SKU ID]],SKU[],14,0)*(Stock_year[[#This Row],[Closing Stock Vobanipur2]]+Stock_year[[#This Row],[Closing Stock Ulukhola2]])</f>
        <v>166557.6</v>
      </c>
      <c r="AG14" s="303">
        <f ca="1">OFFSET(Stock_year[[#This Row],[Total Closing Stock Value2]],0,-14)</f>
        <v>112</v>
      </c>
      <c r="AH1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112</v>
      </c>
      <c r="AI14" s="302">
        <f>Stock_year[[#This Row],[Closing Stock Vobanipur2]]</f>
        <v>240</v>
      </c>
      <c r="AJ14" s="303">
        <f>Stock_year[[#This Row],[Closing Stock Ulukhola2]]</f>
        <v>0</v>
      </c>
      <c r="AK14" s="303">
        <f>Stock_year[[#This Row],[Vobanipur Opening3]]+Stock_year[[#This Row],[Ulukhola Opening3]]</f>
        <v>240</v>
      </c>
      <c r="AL14" s="303">
        <f>VLOOKUP(Stock_year[[#This Row],[SKU ID]],SKU[[SKU ID]:[Bottle Size(Ltr)]],6,0)*Stock_year[[#This Row],[Opening Stock (Piece)3]]</f>
        <v>240</v>
      </c>
      <c r="AM14" s="303">
        <v>0</v>
      </c>
      <c r="AN14" s="303"/>
      <c r="AO14" s="303"/>
      <c r="AP14" s="303">
        <f>Stock_year[[#This Row],[Vobanipur Opening3]]+Stock_year[[#This Row],[New Arrival (vobanipur)3]]+Stock_year[[#This Row],[Ulukhola to Vobanipur Transfer3]]</f>
        <v>240</v>
      </c>
      <c r="AQ14" s="303">
        <f>Stock_year[[#This Row],[Ulukhola Opening3]]-Stock_year[[#This Row],[Ulukhola to Vobanipur Transfer3]]+Stock_year[[#This Row],[New Arrival(ulukhola)3]]</f>
        <v>0</v>
      </c>
      <c r="AR14" s="303">
        <f>Stock_year[[#This Row],[Vobanipur Total3]]+Stock_year[[#This Row],[Ulukhola Total3]]</f>
        <v>240</v>
      </c>
      <c r="AS14" s="303">
        <f>SUMIFS(Primary_Order[Total Qty],Primary_Order[Date],"&gt;="&amp;AI$1,Primary_Order[Date],"&lt;="&amp;EOMONTH(AI$1,0),Primary_Order[Product ID],Stock_year[[#This Row],[SKU ID]],Primary_Order[Status],'Stock Report'!$A$1)</f>
        <v>240</v>
      </c>
      <c r="AT14" s="303">
        <f>Stock_year[[#This Row],[Vobanipur Total3]]-Stock_year[[#This Row],[Sold Qty(Piece)3]]</f>
        <v>0</v>
      </c>
      <c r="AU14" s="303">
        <f>Stock_year[[#This Row],[Ulukhola Total3]]</f>
        <v>0</v>
      </c>
      <c r="AV14" s="303">
        <f>VLOOKUP(Stock_year[[#This Row],[SKU ID]],SKU[],14,0)*(Stock_year[[#This Row],[Closing Stock Vobanipur3]]+Stock_year[[#This Row],[Closing Stock Ulukhola3]])</f>
        <v>0</v>
      </c>
      <c r="AW14" s="303">
        <f ca="1">Stock_year[[#This Row],[Closing Damage unit2]]</f>
        <v>112</v>
      </c>
      <c r="AX1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112</v>
      </c>
      <c r="AY14" s="32">
        <f>Stock_year[[#This Row],[Closing Stock Vobanipur3]]</f>
        <v>0</v>
      </c>
      <c r="AZ14" s="32">
        <f>Stock_year[[#This Row],[Closing Stock Ulukhola3]]</f>
        <v>0</v>
      </c>
      <c r="BA14" s="32">
        <f>Stock_year[[#This Row],[Vobanipur Opening4]]+Stock_year[[#This Row],[Ulukhola Opening4]]</f>
        <v>0</v>
      </c>
      <c r="BB14" s="32">
        <f>VLOOKUP(Stock_year[[#This Row],[SKU ID]],SKU[[SKU ID]:[Bottle Size(Ltr)]],6,0)*Stock_year[[#This Row],[Opening Stock (Piece)4]]</f>
        <v>0</v>
      </c>
      <c r="BC14" s="32">
        <v>0</v>
      </c>
      <c r="BD14" s="32"/>
      <c r="BE14" s="32"/>
      <c r="BF14" s="32">
        <f>Stock_year[[#This Row],[Vobanipur Opening4]]+Stock_year[[#This Row],[New Arrival (vobanipur)4]]+Stock_year[[#This Row],[Ulukhola to Vobanipur Transfer4]]</f>
        <v>0</v>
      </c>
      <c r="BG14" s="32">
        <f>Stock_year[[#This Row],[Ulukhola Opening4]]-Stock_year[[#This Row],[Ulukhola to Vobanipur Transfer4]]+Stock_year[[#This Row],[New Arrival(ulukhola)4]]</f>
        <v>0</v>
      </c>
      <c r="BH14" s="32">
        <f>Stock_year[[#This Row],[Vobanipur Total4]]+Stock_year[[#This Row],[Ulukhola Total4]]</f>
        <v>0</v>
      </c>
      <c r="BI14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14" s="32">
        <f>Stock_year[[#This Row],[Vobanipur Total4]]-Stock_year[[#This Row],[Sold Qty(Piece)4]]</f>
        <v>0</v>
      </c>
      <c r="BK14" s="32">
        <f>Stock_year[[#This Row],[Ulukhola Total4]]</f>
        <v>0</v>
      </c>
      <c r="BL14" s="32">
        <f>VLOOKUP(Stock_year[[#This Row],[SKU ID]],SKU[],14,0)*(Stock_year[[#This Row],[Closing Stock Vobanipur4]]+Stock_year[[#This Row],[Closing Stock Ulukhola4]])</f>
        <v>0</v>
      </c>
      <c r="BM14" s="32">
        <f ca="1">Stock_year[[#This Row],[Closing Damage unit3]]</f>
        <v>112</v>
      </c>
      <c r="BN1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112</v>
      </c>
    </row>
    <row r="15" spans="1:82" x14ac:dyDescent="0.5">
      <c r="A15" t="s">
        <v>58</v>
      </c>
      <c r="B15" t="s">
        <v>774</v>
      </c>
      <c r="C15" s="329">
        <f>84+60</f>
        <v>144</v>
      </c>
      <c r="D15" s="322">
        <f>1488-12</f>
        <v>1476</v>
      </c>
      <c r="E15" s="3">
        <f>Stock_year[[#This Row],[Vobanipur Opening]]+Stock_year[[#This Row],[Ulukhola Opening]]</f>
        <v>1620</v>
      </c>
      <c r="F15" s="3">
        <f>VLOOKUP(Stock_year[[#This Row],[SKU ID]],SKU[[SKU ID]:[Bottle Size(Ltr)]],6,0)*Stock_year[[#This Row],[Opening Stock (Piece)]]</f>
        <v>1620</v>
      </c>
      <c r="G15" s="3">
        <v>1068</v>
      </c>
      <c r="H15" s="3"/>
      <c r="I15" s="3"/>
      <c r="J15" s="3">
        <f>Stock_year[[#This Row],[Vobanipur Opening]]+Stock_year[[#This Row],[New Arrival (vobanipur)]]+Stock_year[[#This Row],[Ulukhola to Vobanipur Transfer]]</f>
        <v>1212</v>
      </c>
      <c r="K15" s="3">
        <f>Stock_year[[#This Row],[Ulukhola Opening]]+Stock_year[[#This Row],[New Arrival(ulukhola)]]-Stock_year[[#This Row],[Ulukhola to Vobanipur Transfer]]</f>
        <v>408</v>
      </c>
      <c r="L15" s="3">
        <f>Stock_year[[#This Row],[Opening Stock (Piece)]]+Stock_year[[#This Row],[New Arrival(ulukhola)]]</f>
        <v>1620</v>
      </c>
      <c r="M15" s="3">
        <f>SUMIFS(Primary_Order[Total Qty],Primary_Order[Date],"&gt;="&amp;C$1,Primary_Order[Date],"&lt;="&amp;EOMONTH(C$1,0),Primary_Order[Product ID],Stock_year[[#This Row],[SKU ID]],Primary_Order[Status],'Stock Report'!$A$1)</f>
        <v>600</v>
      </c>
      <c r="N15" s="3">
        <f>Stock_year[[#This Row],[Vobanipur Total]]-Stock_year[[#This Row],[Sold Qty(Piece)]]</f>
        <v>612</v>
      </c>
      <c r="O15" s="3">
        <f>Stock_year[[#This Row],[Ulukhola Opening]]-Stock_year[[#This Row],[Ulukhola to Vobanipur Transfer]]+Stock_year[[#This Row],[New Arrival(ulukhola)]]</f>
        <v>408</v>
      </c>
      <c r="P15" s="3">
        <f>Stock_year[[#This Row],[Ulukhola Total]]</f>
        <v>408</v>
      </c>
      <c r="Q15" s="3">
        <v>16</v>
      </c>
      <c r="R1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16</v>
      </c>
      <c r="S15" s="303">
        <f>Stock_year[[#This Row],[Closing Stock Vobanipur]]</f>
        <v>612</v>
      </c>
      <c r="T15" s="303">
        <f>Stock_year[[#This Row],[Closing Stock Ulukhola]]</f>
        <v>408</v>
      </c>
      <c r="U15" s="303">
        <f>Stock_year[[#This Row],[Vobanipur Opening2]]+Stock_year[[#This Row],[Ulukhola Opening2]]</f>
        <v>1020</v>
      </c>
      <c r="V15" s="303">
        <f>VLOOKUP(Stock_year[[#This Row],[SKU ID]],SKU[[SKU ID]:[Bottle Size(Ltr)]],6,0)*Stock_year[[#This Row],[Opening Stock (Piece)2]]</f>
        <v>1020</v>
      </c>
      <c r="W15" s="303">
        <v>408</v>
      </c>
      <c r="X15" s="303"/>
      <c r="Y15" s="303"/>
      <c r="Z15" s="303">
        <f>Stock_year[[#This Row],[Vobanipur Opening2]]+Stock_year[[#This Row],[Ulukhola to Vobanipur Transfer2]]+Stock_year[[#This Row],[New Arrival (vobanipur)2]]</f>
        <v>1020</v>
      </c>
      <c r="AA15" s="303">
        <f>Stock_year[[#This Row],[Ulukhola Opening2]]-Stock_year[[#This Row],[Ulukhola to Vobanipur Transfer2]]+Stock_year[[#This Row],[New Arrival(ulukhola)2]]</f>
        <v>0</v>
      </c>
      <c r="AB15" s="303">
        <f>Stock_year[[#This Row],[Vobanipur Total2]]+Stock_year[[#This Row],[Ulukhola Total2]]</f>
        <v>1020</v>
      </c>
      <c r="AC15" s="303">
        <f>SUMIFS(Primary_Order[Total Qty],Primary_Order[Date],"&gt;="&amp;S$1,Primary_Order[Date],"&lt;="&amp;EOMONTH(S$1,0),Primary_Order[Product ID],Stock_year[[#This Row],[SKU ID]],Primary_Order[Status],'Stock Report'!$A$1)</f>
        <v>96</v>
      </c>
      <c r="AD15" s="303">
        <f>Stock_year[[#This Row],[Vobanipur Total2]]-Stock_year[[#This Row],[Sold Qty(Piece)2]]</f>
        <v>924</v>
      </c>
      <c r="AE15" s="303">
        <f>Stock_year[[#This Row],[Ulukhola Opening2]]-Stock_year[[#This Row],[Ulukhola to Vobanipur Transfer2]]+Stock_year[[#This Row],[New Arrival(ulukhola)2]]</f>
        <v>0</v>
      </c>
      <c r="AF15" s="303">
        <f>VLOOKUP(Stock_year[[#This Row],[SKU ID]],SKU[],14,0)*(Stock_year[[#This Row],[Closing Stock Vobanipur2]]+Stock_year[[#This Row],[Closing Stock Ulukhola2]])</f>
        <v>705657.32160000002</v>
      </c>
      <c r="AG15" s="303">
        <f ca="1">OFFSET(Stock_year[[#This Row],[Total Closing Stock Value2]],0,-14)</f>
        <v>16</v>
      </c>
      <c r="AH1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16</v>
      </c>
      <c r="AI15" s="302">
        <f>Stock_year[[#This Row],[Closing Stock Vobanipur2]]</f>
        <v>924</v>
      </c>
      <c r="AJ15" s="303">
        <f>Stock_year[[#This Row],[Closing Stock Ulukhola2]]</f>
        <v>0</v>
      </c>
      <c r="AK15" s="303">
        <f>Stock_year[[#This Row],[Vobanipur Opening3]]+Stock_year[[#This Row],[Ulukhola Opening3]]</f>
        <v>924</v>
      </c>
      <c r="AL15" s="303">
        <f>VLOOKUP(Stock_year[[#This Row],[SKU ID]],SKU[[SKU ID]:[Bottle Size(Ltr)]],6,0)*Stock_year[[#This Row],[Opening Stock (Piece)3]]</f>
        <v>924</v>
      </c>
      <c r="AM15" s="303">
        <v>0</v>
      </c>
      <c r="AN15" s="303"/>
      <c r="AO15" s="303"/>
      <c r="AP15" s="303">
        <f>Stock_year[[#This Row],[Vobanipur Opening3]]+Stock_year[[#This Row],[New Arrival (vobanipur)3]]+Stock_year[[#This Row],[Ulukhola to Vobanipur Transfer3]]</f>
        <v>924</v>
      </c>
      <c r="AQ15" s="303">
        <f>Stock_year[[#This Row],[Ulukhola Opening3]]-Stock_year[[#This Row],[Ulukhola to Vobanipur Transfer3]]+Stock_year[[#This Row],[New Arrival(ulukhola)3]]</f>
        <v>0</v>
      </c>
      <c r="AR15" s="303">
        <f>Stock_year[[#This Row],[Vobanipur Total3]]+Stock_year[[#This Row],[Ulukhola Total3]]</f>
        <v>924</v>
      </c>
      <c r="AS15" s="303">
        <f>SUMIFS(Primary_Order[Total Qty],Primary_Order[Date],"&gt;="&amp;AI$1,Primary_Order[Date],"&lt;="&amp;EOMONTH(AI$1,0),Primary_Order[Product ID],Stock_year[[#This Row],[SKU ID]],Primary_Order[Status],'Stock Report'!$A$1)</f>
        <v>264</v>
      </c>
      <c r="AT15" s="303">
        <f>Stock_year[[#This Row],[Vobanipur Total3]]-Stock_year[[#This Row],[Sold Qty(Piece)3]]</f>
        <v>660</v>
      </c>
      <c r="AU15" s="303">
        <f>Stock_year[[#This Row],[Ulukhola Total3]]</f>
        <v>0</v>
      </c>
      <c r="AV15" s="303">
        <f>VLOOKUP(Stock_year[[#This Row],[SKU ID]],SKU[],14,0)*(Stock_year[[#This Row],[Closing Stock Vobanipur3]]+Stock_year[[#This Row],[Closing Stock Ulukhola3]])</f>
        <v>504040.94400000002</v>
      </c>
      <c r="AW15" s="303">
        <f ca="1">Stock_year[[#This Row],[Closing Damage unit2]]</f>
        <v>16</v>
      </c>
      <c r="AX1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16</v>
      </c>
      <c r="AY15" s="32">
        <f>Stock_year[[#This Row],[Closing Stock Vobanipur3]]</f>
        <v>660</v>
      </c>
      <c r="AZ15" s="32">
        <f>Stock_year[[#This Row],[Closing Stock Ulukhola3]]</f>
        <v>0</v>
      </c>
      <c r="BA15" s="32">
        <f>Stock_year[[#This Row],[Vobanipur Opening4]]+Stock_year[[#This Row],[Ulukhola Opening4]]</f>
        <v>660</v>
      </c>
      <c r="BB15" s="32">
        <f>VLOOKUP(Stock_year[[#This Row],[SKU ID]],SKU[[SKU ID]:[Bottle Size(Ltr)]],6,0)*Stock_year[[#This Row],[Opening Stock (Piece)4]]</f>
        <v>660</v>
      </c>
      <c r="BC15" s="32">
        <v>0</v>
      </c>
      <c r="BD15" s="32"/>
      <c r="BE15" s="32"/>
      <c r="BF15" s="32">
        <f>Stock_year[[#This Row],[Vobanipur Opening4]]+Stock_year[[#This Row],[New Arrival (vobanipur)4]]+Stock_year[[#This Row],[Ulukhola to Vobanipur Transfer4]]</f>
        <v>660</v>
      </c>
      <c r="BG15" s="32">
        <f>Stock_year[[#This Row],[Ulukhola Opening4]]-Stock_year[[#This Row],[Ulukhola to Vobanipur Transfer4]]+Stock_year[[#This Row],[New Arrival(ulukhola)4]]</f>
        <v>0</v>
      </c>
      <c r="BH15" s="32">
        <f>Stock_year[[#This Row],[Vobanipur Total4]]+Stock_year[[#This Row],[Ulukhola Total4]]</f>
        <v>660</v>
      </c>
      <c r="BI15" s="32">
        <f>SUMIFS(Primary_Order[Total Qty],Primary_Order[Date],"&gt;="&amp;AY$1,Primary_Order[Date],"&lt;="&amp;EOMONTH(AY$1,0),Primary_Order[Product ID],Stock_year[[#This Row],[SKU ID]],Primary_Order[Status],'Stock Report'!$A$1)</f>
        <v>565</v>
      </c>
      <c r="BJ15" s="32">
        <f>Stock_year[[#This Row],[Vobanipur Total4]]-Stock_year[[#This Row],[Sold Qty(Piece)4]]</f>
        <v>95</v>
      </c>
      <c r="BK15" s="32">
        <f>Stock_year[[#This Row],[Ulukhola Total4]]</f>
        <v>0</v>
      </c>
      <c r="BL15" s="32">
        <f>VLOOKUP(Stock_year[[#This Row],[SKU ID]],SKU[],14,0)*(Stock_year[[#This Row],[Closing Stock Vobanipur4]]+Stock_year[[#This Row],[Closing Stock Ulukhola4]])</f>
        <v>72551.347999999998</v>
      </c>
      <c r="BM15" s="32">
        <f ca="1">Stock_year[[#This Row],[Closing Damage unit3]]</f>
        <v>16</v>
      </c>
      <c r="BN1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16</v>
      </c>
    </row>
    <row r="16" spans="1:82" x14ac:dyDescent="0.5">
      <c r="A16" t="s">
        <v>349</v>
      </c>
      <c r="B16" t="s">
        <v>775</v>
      </c>
      <c r="C16" s="329">
        <v>0</v>
      </c>
      <c r="D16" s="3">
        <v>0</v>
      </c>
      <c r="E16" s="3">
        <f>Stock_year[[#This Row],[Vobanipur Opening]]+Stock_year[[#This Row],[Ulukhola Opening]]</f>
        <v>0</v>
      </c>
      <c r="F16" s="3">
        <f>VLOOKUP(Stock_year[[#This Row],[SKU ID]],SKU[[SKU ID]:[Bottle Size(Ltr)]],6,0)*Stock_year[[#This Row],[Opening Stock (Piece)]]</f>
        <v>0</v>
      </c>
      <c r="G16" s="3">
        <v>0</v>
      </c>
      <c r="H16" s="3"/>
      <c r="I16" s="3"/>
      <c r="J16" s="3">
        <f>Stock_year[[#This Row],[Vobanipur Opening]]+Stock_year[[#This Row],[New Arrival (vobanipur)]]+Stock_year[[#This Row],[Ulukhola to Vobanipur Transfer]]</f>
        <v>0</v>
      </c>
      <c r="K16" s="3">
        <f>Stock_year[[#This Row],[Ulukhola Opening]]+Stock_year[[#This Row],[New Arrival(ulukhola)]]-Stock_year[[#This Row],[Ulukhola to Vobanipur Transfer]]</f>
        <v>0</v>
      </c>
      <c r="L16" s="3">
        <f>Stock_year[[#This Row],[Opening Stock (Piece)]]+Stock_year[[#This Row],[New Arrival(ulukhola)]]</f>
        <v>0</v>
      </c>
      <c r="M16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16" s="3">
        <f>Stock_year[[#This Row],[Vobanipur Total]]-Stock_year[[#This Row],[Sold Qty(Piece)]]</f>
        <v>0</v>
      </c>
      <c r="O16" s="3">
        <f>Stock_year[[#This Row],[Ulukhola Opening]]-Stock_year[[#This Row],[Ulukhola to Vobanipur Transfer]]+Stock_year[[#This Row],[New Arrival(ulukhola)]]</f>
        <v>0</v>
      </c>
      <c r="P16" s="3">
        <f>Stock_year[[#This Row],[Ulukhola Total]]</f>
        <v>0</v>
      </c>
      <c r="Q16" s="3">
        <v>0</v>
      </c>
      <c r="R1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16" s="303">
        <f>Stock_year[[#This Row],[Closing Stock Vobanipur]]</f>
        <v>0</v>
      </c>
      <c r="T16" s="303">
        <f>Stock_year[[#This Row],[Closing Stock Ulukhola]]</f>
        <v>0</v>
      </c>
      <c r="U16" s="303">
        <f>Stock_year[[#This Row],[Vobanipur Opening2]]+Stock_year[[#This Row],[Ulukhola Opening2]]</f>
        <v>0</v>
      </c>
      <c r="V16" s="303">
        <f>VLOOKUP(Stock_year[[#This Row],[SKU ID]],SKU[[SKU ID]:[Bottle Size(Ltr)]],6,0)*Stock_year[[#This Row],[Opening Stock (Piece)2]]</f>
        <v>0</v>
      </c>
      <c r="W16" s="303">
        <v>0</v>
      </c>
      <c r="X16" s="303"/>
      <c r="Y16" s="303"/>
      <c r="Z16" s="303">
        <f>Stock_year[[#This Row],[Vobanipur Opening2]]+Stock_year[[#This Row],[Ulukhola to Vobanipur Transfer2]]+Stock_year[[#This Row],[New Arrival (vobanipur)2]]</f>
        <v>0</v>
      </c>
      <c r="AA16" s="303">
        <f>Stock_year[[#This Row],[Ulukhola Opening2]]-Stock_year[[#This Row],[Ulukhola to Vobanipur Transfer2]]+Stock_year[[#This Row],[New Arrival(ulukhola)2]]</f>
        <v>0</v>
      </c>
      <c r="AB16" s="303">
        <f>Stock_year[[#This Row],[Vobanipur Total2]]+Stock_year[[#This Row],[Ulukhola Total2]]</f>
        <v>0</v>
      </c>
      <c r="AC16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16" s="303">
        <f>Stock_year[[#This Row],[Vobanipur Total2]]-Stock_year[[#This Row],[Sold Qty(Piece)2]]</f>
        <v>0</v>
      </c>
      <c r="AE16" s="303">
        <f>Stock_year[[#This Row],[Ulukhola Opening2]]-Stock_year[[#This Row],[Ulukhola to Vobanipur Transfer2]]+Stock_year[[#This Row],[New Arrival(ulukhola)2]]</f>
        <v>0</v>
      </c>
      <c r="AF16" s="303">
        <f>VLOOKUP(Stock_year[[#This Row],[SKU ID]],SKU[],14,0)*(Stock_year[[#This Row],[Closing Stock Vobanipur2]]+Stock_year[[#This Row],[Closing Stock Ulukhola2]])</f>
        <v>0</v>
      </c>
      <c r="AG16" s="303">
        <f ca="1">OFFSET(Stock_year[[#This Row],[Total Closing Stock Value2]],0,-14)</f>
        <v>0</v>
      </c>
      <c r="AH1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16" s="302">
        <f>Stock_year[[#This Row],[Closing Stock Vobanipur2]]</f>
        <v>0</v>
      </c>
      <c r="AJ16" s="303">
        <f>Stock_year[[#This Row],[Closing Stock Ulukhola2]]</f>
        <v>0</v>
      </c>
      <c r="AK16" s="303">
        <f>Stock_year[[#This Row],[Vobanipur Opening3]]+Stock_year[[#This Row],[Ulukhola Opening3]]</f>
        <v>0</v>
      </c>
      <c r="AL16" s="303">
        <f>VLOOKUP(Stock_year[[#This Row],[SKU ID]],SKU[[SKU ID]:[Bottle Size(Ltr)]],6,0)*Stock_year[[#This Row],[Opening Stock (Piece)3]]</f>
        <v>0</v>
      </c>
      <c r="AM16" s="303">
        <v>0</v>
      </c>
      <c r="AN16" s="303"/>
      <c r="AO16" s="303"/>
      <c r="AP16" s="303">
        <f>Stock_year[[#This Row],[Vobanipur Opening3]]+Stock_year[[#This Row],[New Arrival (vobanipur)3]]+Stock_year[[#This Row],[Ulukhola to Vobanipur Transfer3]]</f>
        <v>0</v>
      </c>
      <c r="AQ16" s="303">
        <f>Stock_year[[#This Row],[Ulukhola Opening3]]-Stock_year[[#This Row],[Ulukhola to Vobanipur Transfer3]]+Stock_year[[#This Row],[New Arrival(ulukhola)3]]</f>
        <v>0</v>
      </c>
      <c r="AR16" s="303">
        <f>Stock_year[[#This Row],[Vobanipur Total3]]+Stock_year[[#This Row],[Ulukhola Total3]]</f>
        <v>0</v>
      </c>
      <c r="AS16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16" s="303">
        <f>Stock_year[[#This Row],[Vobanipur Total3]]-Stock_year[[#This Row],[Sold Qty(Piece)3]]</f>
        <v>0</v>
      </c>
      <c r="AU16" s="303">
        <f>Stock_year[[#This Row],[Ulukhola Total3]]</f>
        <v>0</v>
      </c>
      <c r="AV16" s="303">
        <f>VLOOKUP(Stock_year[[#This Row],[SKU ID]],SKU[],14,0)*(Stock_year[[#This Row],[Closing Stock Vobanipur3]]+Stock_year[[#This Row],[Closing Stock Ulukhola3]])</f>
        <v>0</v>
      </c>
      <c r="AW16" s="303">
        <f ca="1">Stock_year[[#This Row],[Closing Damage unit2]]</f>
        <v>0</v>
      </c>
      <c r="AX1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16" s="32">
        <f>Stock_year[[#This Row],[Closing Stock Vobanipur3]]</f>
        <v>0</v>
      </c>
      <c r="AZ16" s="32">
        <f>Stock_year[[#This Row],[Closing Stock Ulukhola3]]</f>
        <v>0</v>
      </c>
      <c r="BA16" s="32">
        <f>Stock_year[[#This Row],[Vobanipur Opening4]]+Stock_year[[#This Row],[Ulukhola Opening4]]</f>
        <v>0</v>
      </c>
      <c r="BB16" s="32">
        <f>VLOOKUP(Stock_year[[#This Row],[SKU ID]],SKU[[SKU ID]:[Bottle Size(Ltr)]],6,0)*Stock_year[[#This Row],[Opening Stock (Piece)4]]</f>
        <v>0</v>
      </c>
      <c r="BC16" s="32">
        <v>0</v>
      </c>
      <c r="BD16" s="32"/>
      <c r="BE16" s="32"/>
      <c r="BF16" s="32">
        <f>Stock_year[[#This Row],[Vobanipur Opening4]]+Stock_year[[#This Row],[New Arrival (vobanipur)4]]+Stock_year[[#This Row],[Ulukhola to Vobanipur Transfer4]]</f>
        <v>0</v>
      </c>
      <c r="BG16" s="32">
        <f>Stock_year[[#This Row],[Ulukhola Opening4]]-Stock_year[[#This Row],[Ulukhola to Vobanipur Transfer4]]+Stock_year[[#This Row],[New Arrival(ulukhola)4]]</f>
        <v>0</v>
      </c>
      <c r="BH16" s="32">
        <f>Stock_year[[#This Row],[Vobanipur Total4]]+Stock_year[[#This Row],[Ulukhola Total4]]</f>
        <v>0</v>
      </c>
      <c r="BI16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16" s="32">
        <f>Stock_year[[#This Row],[Vobanipur Total4]]-Stock_year[[#This Row],[Sold Qty(Piece)4]]</f>
        <v>0</v>
      </c>
      <c r="BK16" s="32">
        <f>Stock_year[[#This Row],[Ulukhola Total4]]</f>
        <v>0</v>
      </c>
      <c r="BL16" s="32">
        <f>VLOOKUP(Stock_year[[#This Row],[SKU ID]],SKU[],14,0)*(Stock_year[[#This Row],[Closing Stock Vobanipur4]]+Stock_year[[#This Row],[Closing Stock Ulukhola4]])</f>
        <v>0</v>
      </c>
      <c r="BM16" s="32">
        <f ca="1">Stock_year[[#This Row],[Closing Damage unit3]]</f>
        <v>0</v>
      </c>
      <c r="BN1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17" spans="1:66" x14ac:dyDescent="0.5">
      <c r="A17" t="s">
        <v>96</v>
      </c>
      <c r="B17" t="s">
        <v>776</v>
      </c>
      <c r="C17" s="329">
        <v>225</v>
      </c>
      <c r="D17" s="3">
        <v>188</v>
      </c>
      <c r="E17" s="3">
        <f>Stock_year[[#This Row],[Vobanipur Opening]]+Stock_year[[#This Row],[Ulukhola Opening]]</f>
        <v>413</v>
      </c>
      <c r="F17" s="3">
        <f>VLOOKUP(Stock_year[[#This Row],[SKU ID]],SKU[[SKU ID]:[Bottle Size(Ltr)]],6,0)*Stock_year[[#This Row],[Opening Stock (Piece)]]</f>
        <v>1652</v>
      </c>
      <c r="G17" s="3">
        <v>0</v>
      </c>
      <c r="H17" s="3"/>
      <c r="I17" s="3"/>
      <c r="J17" s="3">
        <f>Stock_year[[#This Row],[Vobanipur Opening]]+Stock_year[[#This Row],[New Arrival (vobanipur)]]+Stock_year[[#This Row],[Ulukhola to Vobanipur Transfer]]</f>
        <v>225</v>
      </c>
      <c r="K17" s="3">
        <f>Stock_year[[#This Row],[Ulukhola Opening]]+Stock_year[[#This Row],[New Arrival(ulukhola)]]-Stock_year[[#This Row],[Ulukhola to Vobanipur Transfer]]</f>
        <v>188</v>
      </c>
      <c r="L17" s="3">
        <f>Stock_year[[#This Row],[Opening Stock (Piece)]]+Stock_year[[#This Row],[New Arrival(ulukhola)]]</f>
        <v>413</v>
      </c>
      <c r="M17" s="3">
        <f>SUMIFS(Primary_Order[Total Qty],Primary_Order[Date],"&gt;="&amp;C$1,Primary_Order[Date],"&lt;="&amp;EOMONTH(C$1,0),Primary_Order[Product ID],Stock_year[[#This Row],[SKU ID]],Primary_Order[Status],'Stock Report'!$A$1)</f>
        <v>52</v>
      </c>
      <c r="N17" s="3">
        <f>Stock_year[[#This Row],[Vobanipur Total]]-Stock_year[[#This Row],[Sold Qty(Piece)]]</f>
        <v>173</v>
      </c>
      <c r="O17" s="3">
        <f>Stock_year[[#This Row],[Ulukhola Opening]]-Stock_year[[#This Row],[Ulukhola to Vobanipur Transfer]]+Stock_year[[#This Row],[New Arrival(ulukhola)]]</f>
        <v>188</v>
      </c>
      <c r="P17" s="3">
        <f>Stock_year[[#This Row],[Ulukhola Total]]</f>
        <v>188</v>
      </c>
      <c r="Q17" s="3">
        <v>4</v>
      </c>
      <c r="R1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4</v>
      </c>
      <c r="S17" s="303">
        <f>Stock_year[[#This Row],[Closing Stock Vobanipur]]</f>
        <v>173</v>
      </c>
      <c r="T17" s="303">
        <f>Stock_year[[#This Row],[Closing Stock Ulukhola]]</f>
        <v>188</v>
      </c>
      <c r="U17" s="303">
        <f>Stock_year[[#This Row],[Vobanipur Opening2]]+Stock_year[[#This Row],[Ulukhola Opening2]]</f>
        <v>361</v>
      </c>
      <c r="V17" s="303">
        <f>VLOOKUP(Stock_year[[#This Row],[SKU ID]],SKU[[SKU ID]:[Bottle Size(Ltr)]],6,0)*Stock_year[[#This Row],[Opening Stock (Piece)2]]</f>
        <v>1444</v>
      </c>
      <c r="W17" s="303">
        <v>0</v>
      </c>
      <c r="X17" s="303"/>
      <c r="Y17" s="303"/>
      <c r="Z17" s="303">
        <f>Stock_year[[#This Row],[Vobanipur Opening2]]+Stock_year[[#This Row],[Ulukhola to Vobanipur Transfer2]]+Stock_year[[#This Row],[New Arrival (vobanipur)2]]</f>
        <v>173</v>
      </c>
      <c r="AA17" s="303">
        <f>Stock_year[[#This Row],[Ulukhola Opening2]]-Stock_year[[#This Row],[Ulukhola to Vobanipur Transfer2]]+Stock_year[[#This Row],[New Arrival(ulukhola)2]]</f>
        <v>188</v>
      </c>
      <c r="AB17" s="303">
        <f>Stock_year[[#This Row],[Vobanipur Total2]]+Stock_year[[#This Row],[Ulukhola Total2]]</f>
        <v>361</v>
      </c>
      <c r="AC17" s="303">
        <f>SUMIFS(Primary_Order[Total Qty],Primary_Order[Date],"&gt;="&amp;S$1,Primary_Order[Date],"&lt;="&amp;EOMONTH(S$1,0),Primary_Order[Product ID],Stock_year[[#This Row],[SKU ID]],Primary_Order[Status],'Stock Report'!$A$1)</f>
        <v>52</v>
      </c>
      <c r="AD17" s="303">
        <f>Stock_year[[#This Row],[Vobanipur Total2]]-Stock_year[[#This Row],[Sold Qty(Piece)2]]</f>
        <v>121</v>
      </c>
      <c r="AE17" s="303">
        <f>Stock_year[[#This Row],[Ulukhola Opening2]]-Stock_year[[#This Row],[Ulukhola to Vobanipur Transfer2]]+Stock_year[[#This Row],[New Arrival(ulukhola)2]]</f>
        <v>188</v>
      </c>
      <c r="AF17" s="303">
        <f>VLOOKUP(Stock_year[[#This Row],[SKU ID]],SKU[],14,0)*(Stock_year[[#This Row],[Closing Stock Vobanipur2]]+Stock_year[[#This Row],[Closing Stock Ulukhola2]])</f>
        <v>907214.73</v>
      </c>
      <c r="AG17" s="303">
        <f ca="1">OFFSET(Stock_year[[#This Row],[Total Closing Stock Value2]],0,-14)</f>
        <v>4</v>
      </c>
      <c r="AH1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4</v>
      </c>
      <c r="AI17" s="302">
        <f>Stock_year[[#This Row],[Closing Stock Vobanipur2]]</f>
        <v>121</v>
      </c>
      <c r="AJ17" s="303">
        <f>Stock_year[[#This Row],[Closing Stock Ulukhola2]]</f>
        <v>188</v>
      </c>
      <c r="AK17" s="303">
        <f>Stock_year[[#This Row],[Vobanipur Opening3]]+Stock_year[[#This Row],[Ulukhola Opening3]]</f>
        <v>309</v>
      </c>
      <c r="AL17" s="303">
        <f>VLOOKUP(Stock_year[[#This Row],[SKU ID]],SKU[[SKU ID]:[Bottle Size(Ltr)]],6,0)*Stock_year[[#This Row],[Opening Stock (Piece)3]]</f>
        <v>1236</v>
      </c>
      <c r="AM17" s="303">
        <v>0</v>
      </c>
      <c r="AN17" s="303"/>
      <c r="AO17" s="303"/>
      <c r="AP17" s="303">
        <f>Stock_year[[#This Row],[Vobanipur Opening3]]+Stock_year[[#This Row],[New Arrival (vobanipur)3]]+Stock_year[[#This Row],[Ulukhola to Vobanipur Transfer3]]</f>
        <v>121</v>
      </c>
      <c r="AQ17" s="303">
        <f>Stock_year[[#This Row],[Ulukhola Opening3]]-Stock_year[[#This Row],[Ulukhola to Vobanipur Transfer3]]+Stock_year[[#This Row],[New Arrival(ulukhola)3]]</f>
        <v>188</v>
      </c>
      <c r="AR17" s="303">
        <f>Stock_year[[#This Row],[Vobanipur Total3]]+Stock_year[[#This Row],[Ulukhola Total3]]</f>
        <v>309</v>
      </c>
      <c r="AS17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17" s="303">
        <f>Stock_year[[#This Row],[Vobanipur Total3]]-Stock_year[[#This Row],[Sold Qty(Piece)3]]</f>
        <v>121</v>
      </c>
      <c r="AU17" s="303">
        <f>Stock_year[[#This Row],[Ulukhola Total3]]</f>
        <v>188</v>
      </c>
      <c r="AV17" s="303">
        <f>VLOOKUP(Stock_year[[#This Row],[SKU ID]],SKU[],14,0)*(Stock_year[[#This Row],[Closing Stock Vobanipur3]]+Stock_year[[#This Row],[Closing Stock Ulukhola3]])</f>
        <v>907214.73</v>
      </c>
      <c r="AW17" s="303">
        <f ca="1">Stock_year[[#This Row],[Closing Damage unit2]]</f>
        <v>4</v>
      </c>
      <c r="AX1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4</v>
      </c>
      <c r="AY17" s="32">
        <f>Stock_year[[#This Row],[Closing Stock Vobanipur3]]</f>
        <v>121</v>
      </c>
      <c r="AZ17" s="32">
        <f>Stock_year[[#This Row],[Closing Stock Ulukhola3]]</f>
        <v>188</v>
      </c>
      <c r="BA17" s="32">
        <f>Stock_year[[#This Row],[Vobanipur Opening4]]+Stock_year[[#This Row],[Ulukhola Opening4]]</f>
        <v>309</v>
      </c>
      <c r="BB17" s="32">
        <f>VLOOKUP(Stock_year[[#This Row],[SKU ID]],SKU[[SKU ID]:[Bottle Size(Ltr)]],6,0)*Stock_year[[#This Row],[Opening Stock (Piece)4]]</f>
        <v>1236</v>
      </c>
      <c r="BC17" s="32">
        <v>0</v>
      </c>
      <c r="BD17" s="32"/>
      <c r="BE17" s="32"/>
      <c r="BF17" s="32">
        <f>Stock_year[[#This Row],[Vobanipur Opening4]]+Stock_year[[#This Row],[New Arrival (vobanipur)4]]+Stock_year[[#This Row],[Ulukhola to Vobanipur Transfer4]]</f>
        <v>121</v>
      </c>
      <c r="BG17" s="32">
        <f>Stock_year[[#This Row],[Ulukhola Opening4]]-Stock_year[[#This Row],[Ulukhola to Vobanipur Transfer4]]+Stock_year[[#This Row],[New Arrival(ulukhola)4]]</f>
        <v>188</v>
      </c>
      <c r="BH17" s="32">
        <f>Stock_year[[#This Row],[Vobanipur Total4]]+Stock_year[[#This Row],[Ulukhola Total4]]</f>
        <v>309</v>
      </c>
      <c r="BI17" s="32">
        <f>SUMIFS(Primary_Order[Total Qty],Primary_Order[Date],"&gt;="&amp;AY$1,Primary_Order[Date],"&lt;="&amp;EOMONTH(AY$1,0),Primary_Order[Product ID],Stock_year[[#This Row],[SKU ID]],Primary_Order[Status],'Stock Report'!$A$1)</f>
        <v>150</v>
      </c>
      <c r="BJ17" s="32">
        <f>Stock_year[[#This Row],[Vobanipur Total4]]-Stock_year[[#This Row],[Sold Qty(Piece)4]]</f>
        <v>-29</v>
      </c>
      <c r="BK17" s="32">
        <f>Stock_year[[#This Row],[Ulukhola Total4]]</f>
        <v>188</v>
      </c>
      <c r="BL17" s="32">
        <f>VLOOKUP(Stock_year[[#This Row],[SKU ID]],SKU[],14,0)*(Stock_year[[#This Row],[Closing Stock Vobanipur4]]+Stock_year[[#This Row],[Closing Stock Ulukhola4]])</f>
        <v>466819.23</v>
      </c>
      <c r="BM17" s="32">
        <f ca="1">Stock_year[[#This Row],[Closing Damage unit3]]</f>
        <v>4</v>
      </c>
      <c r="BN1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4</v>
      </c>
    </row>
    <row r="18" spans="1:66" x14ac:dyDescent="0.5">
      <c r="A18" t="s">
        <v>353</v>
      </c>
      <c r="B18" t="s">
        <v>777</v>
      </c>
      <c r="C18" s="329">
        <v>0</v>
      </c>
      <c r="D18" s="3">
        <v>0</v>
      </c>
      <c r="E18" s="3">
        <f>Stock_year[[#This Row],[Vobanipur Opening]]+Stock_year[[#This Row],[Ulukhola Opening]]</f>
        <v>0</v>
      </c>
      <c r="F18" s="3">
        <f>VLOOKUP(Stock_year[[#This Row],[SKU ID]],SKU[[SKU ID]:[Bottle Size(Ltr)]],6,0)*Stock_year[[#This Row],[Opening Stock (Piece)]]</f>
        <v>0</v>
      </c>
      <c r="G18" s="3">
        <v>0</v>
      </c>
      <c r="H18" s="3"/>
      <c r="I18" s="3"/>
      <c r="J18" s="3">
        <f>Stock_year[[#This Row],[Vobanipur Opening]]+Stock_year[[#This Row],[New Arrival (vobanipur)]]+Stock_year[[#This Row],[Ulukhola to Vobanipur Transfer]]</f>
        <v>0</v>
      </c>
      <c r="K18" s="3">
        <f>Stock_year[[#This Row],[Ulukhola Opening]]+Stock_year[[#This Row],[New Arrival(ulukhola)]]-Stock_year[[#This Row],[Ulukhola to Vobanipur Transfer]]</f>
        <v>0</v>
      </c>
      <c r="L18" s="3">
        <f>Stock_year[[#This Row],[Opening Stock (Piece)]]+Stock_year[[#This Row],[New Arrival(ulukhola)]]</f>
        <v>0</v>
      </c>
      <c r="M18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18" s="3">
        <f>Stock_year[[#This Row],[Vobanipur Total]]-Stock_year[[#This Row],[Sold Qty(Piece)]]</f>
        <v>0</v>
      </c>
      <c r="O18" s="3">
        <f>Stock_year[[#This Row],[Ulukhola Opening]]-Stock_year[[#This Row],[Ulukhola to Vobanipur Transfer]]+Stock_year[[#This Row],[New Arrival(ulukhola)]]</f>
        <v>0</v>
      </c>
      <c r="P18" s="3">
        <f>Stock_year[[#This Row],[Ulukhola Total]]</f>
        <v>0</v>
      </c>
      <c r="Q18" s="3">
        <v>0</v>
      </c>
      <c r="R1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18" s="303">
        <f>Stock_year[[#This Row],[Closing Stock Vobanipur]]</f>
        <v>0</v>
      </c>
      <c r="T18" s="303">
        <f>Stock_year[[#This Row],[Closing Stock Ulukhola]]</f>
        <v>0</v>
      </c>
      <c r="U18" s="303">
        <f>Stock_year[[#This Row],[Vobanipur Opening2]]+Stock_year[[#This Row],[Ulukhola Opening2]]</f>
        <v>0</v>
      </c>
      <c r="V18" s="303">
        <f>VLOOKUP(Stock_year[[#This Row],[SKU ID]],SKU[[SKU ID]:[Bottle Size(Ltr)]],6,0)*Stock_year[[#This Row],[Opening Stock (Piece)2]]</f>
        <v>0</v>
      </c>
      <c r="W18" s="303">
        <v>0</v>
      </c>
      <c r="X18" s="303"/>
      <c r="Y18" s="303"/>
      <c r="Z18" s="303">
        <f>Stock_year[[#This Row],[Vobanipur Opening2]]+Stock_year[[#This Row],[Ulukhola to Vobanipur Transfer2]]+Stock_year[[#This Row],[New Arrival (vobanipur)2]]</f>
        <v>0</v>
      </c>
      <c r="AA18" s="303">
        <f>Stock_year[[#This Row],[Ulukhola Opening2]]-Stock_year[[#This Row],[Ulukhola to Vobanipur Transfer2]]+Stock_year[[#This Row],[New Arrival(ulukhola)2]]</f>
        <v>0</v>
      </c>
      <c r="AB18" s="303">
        <f>Stock_year[[#This Row],[Vobanipur Total2]]+Stock_year[[#This Row],[Ulukhola Total2]]</f>
        <v>0</v>
      </c>
      <c r="AC18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18" s="303">
        <f>Stock_year[[#This Row],[Vobanipur Total2]]-Stock_year[[#This Row],[Sold Qty(Piece)2]]</f>
        <v>0</v>
      </c>
      <c r="AE18" s="303">
        <f>Stock_year[[#This Row],[Ulukhola Opening2]]-Stock_year[[#This Row],[Ulukhola to Vobanipur Transfer2]]+Stock_year[[#This Row],[New Arrival(ulukhola)2]]</f>
        <v>0</v>
      </c>
      <c r="AF18" s="303">
        <f>VLOOKUP(Stock_year[[#This Row],[SKU ID]],SKU[],14,0)*(Stock_year[[#This Row],[Closing Stock Vobanipur2]]+Stock_year[[#This Row],[Closing Stock Ulukhola2]])</f>
        <v>0</v>
      </c>
      <c r="AG18" s="303">
        <f ca="1">OFFSET(Stock_year[[#This Row],[Total Closing Stock Value2]],0,-14)</f>
        <v>0</v>
      </c>
      <c r="AH1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18" s="302">
        <f>Stock_year[[#This Row],[Closing Stock Vobanipur2]]</f>
        <v>0</v>
      </c>
      <c r="AJ18" s="303">
        <f>Stock_year[[#This Row],[Closing Stock Ulukhola2]]</f>
        <v>0</v>
      </c>
      <c r="AK18" s="303">
        <f>Stock_year[[#This Row],[Vobanipur Opening3]]+Stock_year[[#This Row],[Ulukhola Opening3]]</f>
        <v>0</v>
      </c>
      <c r="AL18" s="303">
        <f>VLOOKUP(Stock_year[[#This Row],[SKU ID]],SKU[[SKU ID]:[Bottle Size(Ltr)]],6,0)*Stock_year[[#This Row],[Opening Stock (Piece)3]]</f>
        <v>0</v>
      </c>
      <c r="AM18" s="303">
        <v>0</v>
      </c>
      <c r="AN18" s="303"/>
      <c r="AO18" s="303"/>
      <c r="AP18" s="303">
        <f>Stock_year[[#This Row],[Vobanipur Opening3]]+Stock_year[[#This Row],[New Arrival (vobanipur)3]]+Stock_year[[#This Row],[Ulukhola to Vobanipur Transfer3]]</f>
        <v>0</v>
      </c>
      <c r="AQ18" s="303">
        <f>Stock_year[[#This Row],[Ulukhola Opening3]]-Stock_year[[#This Row],[Ulukhola to Vobanipur Transfer3]]+Stock_year[[#This Row],[New Arrival(ulukhola)3]]</f>
        <v>0</v>
      </c>
      <c r="AR18" s="303">
        <f>Stock_year[[#This Row],[Vobanipur Total3]]+Stock_year[[#This Row],[Ulukhola Total3]]</f>
        <v>0</v>
      </c>
      <c r="AS18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18" s="303">
        <f>Stock_year[[#This Row],[Vobanipur Total3]]-Stock_year[[#This Row],[Sold Qty(Piece)3]]</f>
        <v>0</v>
      </c>
      <c r="AU18" s="303">
        <f>Stock_year[[#This Row],[Ulukhola Total3]]</f>
        <v>0</v>
      </c>
      <c r="AV18" s="303">
        <f>VLOOKUP(Stock_year[[#This Row],[SKU ID]],SKU[],14,0)*(Stock_year[[#This Row],[Closing Stock Vobanipur3]]+Stock_year[[#This Row],[Closing Stock Ulukhola3]])</f>
        <v>0</v>
      </c>
      <c r="AW18" s="303">
        <f ca="1">Stock_year[[#This Row],[Closing Damage unit2]]</f>
        <v>0</v>
      </c>
      <c r="AX1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18" s="32">
        <f>Stock_year[[#This Row],[Closing Stock Vobanipur3]]</f>
        <v>0</v>
      </c>
      <c r="AZ18" s="32">
        <f>Stock_year[[#This Row],[Closing Stock Ulukhola3]]</f>
        <v>0</v>
      </c>
      <c r="BA18" s="32">
        <f>Stock_year[[#This Row],[Vobanipur Opening4]]+Stock_year[[#This Row],[Ulukhola Opening4]]</f>
        <v>0</v>
      </c>
      <c r="BB18" s="32">
        <f>VLOOKUP(Stock_year[[#This Row],[SKU ID]],SKU[[SKU ID]:[Bottle Size(Ltr)]],6,0)*Stock_year[[#This Row],[Opening Stock (Piece)4]]</f>
        <v>0</v>
      </c>
      <c r="BC18" s="32">
        <v>0</v>
      </c>
      <c r="BD18" s="32"/>
      <c r="BE18" s="32"/>
      <c r="BF18" s="32">
        <f>Stock_year[[#This Row],[Vobanipur Opening4]]+Stock_year[[#This Row],[New Arrival (vobanipur)4]]+Stock_year[[#This Row],[Ulukhola to Vobanipur Transfer4]]</f>
        <v>0</v>
      </c>
      <c r="BG18" s="32">
        <f>Stock_year[[#This Row],[Ulukhola Opening4]]-Stock_year[[#This Row],[Ulukhola to Vobanipur Transfer4]]+Stock_year[[#This Row],[New Arrival(ulukhola)4]]</f>
        <v>0</v>
      </c>
      <c r="BH18" s="32">
        <f>Stock_year[[#This Row],[Vobanipur Total4]]+Stock_year[[#This Row],[Ulukhola Total4]]</f>
        <v>0</v>
      </c>
      <c r="BI18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18" s="32">
        <f>Stock_year[[#This Row],[Vobanipur Total4]]-Stock_year[[#This Row],[Sold Qty(Piece)4]]</f>
        <v>0</v>
      </c>
      <c r="BK18" s="32">
        <f>Stock_year[[#This Row],[Ulukhola Total4]]</f>
        <v>0</v>
      </c>
      <c r="BL18" s="32">
        <f>VLOOKUP(Stock_year[[#This Row],[SKU ID]],SKU[],14,0)*(Stock_year[[#This Row],[Closing Stock Vobanipur4]]+Stock_year[[#This Row],[Closing Stock Ulukhola4]])</f>
        <v>0</v>
      </c>
      <c r="BM18" s="32">
        <f ca="1">Stock_year[[#This Row],[Closing Damage unit3]]</f>
        <v>0</v>
      </c>
      <c r="BN1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19" spans="1:66" x14ac:dyDescent="0.5">
      <c r="A19" t="s">
        <v>145</v>
      </c>
      <c r="B19" t="s">
        <v>778</v>
      </c>
      <c r="C19" s="329">
        <f>827-27</f>
        <v>800</v>
      </c>
      <c r="D19" s="3">
        <v>0</v>
      </c>
      <c r="E19" s="3">
        <f>Stock_year[[#This Row],[Vobanipur Opening]]+Stock_year[[#This Row],[Ulukhola Opening]]</f>
        <v>800</v>
      </c>
      <c r="F19" s="3">
        <f>VLOOKUP(Stock_year[[#This Row],[SKU ID]],SKU[[SKU ID]:[Bottle Size(Ltr)]],6,0)*Stock_year[[#This Row],[Opening Stock (Piece)]]</f>
        <v>280</v>
      </c>
      <c r="G19" s="3">
        <v>0</v>
      </c>
      <c r="H19" s="3"/>
      <c r="I19" s="3"/>
      <c r="J19" s="3">
        <f>Stock_year[[#This Row],[Vobanipur Opening]]+Stock_year[[#This Row],[New Arrival (vobanipur)]]+Stock_year[[#This Row],[Ulukhola to Vobanipur Transfer]]</f>
        <v>800</v>
      </c>
      <c r="K19" s="3">
        <f>Stock_year[[#This Row],[Ulukhola Opening]]+Stock_year[[#This Row],[New Arrival(ulukhola)]]-Stock_year[[#This Row],[Ulukhola to Vobanipur Transfer]]</f>
        <v>0</v>
      </c>
      <c r="L19" s="3">
        <f>Stock_year[[#This Row],[Opening Stock (Piece)]]+Stock_year[[#This Row],[New Arrival(ulukhola)]]</f>
        <v>800</v>
      </c>
      <c r="M19" s="3">
        <f>SUMIFS(Primary_Order[Total Qty],Primary_Order[Date],"&gt;="&amp;C$1,Primary_Order[Date],"&lt;="&amp;EOMONTH(C$1,0),Primary_Order[Product ID],Stock_year[[#This Row],[SKU ID]],Primary_Order[Status],'Stock Report'!$A$1)</f>
        <v>800</v>
      </c>
      <c r="N19" s="3">
        <f>Stock_year[[#This Row],[Vobanipur Total]]-Stock_year[[#This Row],[Sold Qty(Piece)]]</f>
        <v>0</v>
      </c>
      <c r="O19" s="3">
        <f>Stock_year[[#This Row],[Ulukhola Opening]]-Stock_year[[#This Row],[Ulukhola to Vobanipur Transfer]]+Stock_year[[#This Row],[New Arrival(ulukhola)]]</f>
        <v>0</v>
      </c>
      <c r="P19" s="3">
        <f>Stock_year[[#This Row],[Ulukhola Total]]</f>
        <v>0</v>
      </c>
      <c r="Q19" s="3">
        <v>57</v>
      </c>
      <c r="R1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57</v>
      </c>
      <c r="S19" s="303">
        <f>Stock_year[[#This Row],[Closing Stock Vobanipur]]</f>
        <v>0</v>
      </c>
      <c r="T19" s="303">
        <f>Stock_year[[#This Row],[Closing Stock Ulukhola]]</f>
        <v>0</v>
      </c>
      <c r="U19" s="303">
        <f>Stock_year[[#This Row],[Vobanipur Opening2]]+Stock_year[[#This Row],[Ulukhola Opening2]]</f>
        <v>0</v>
      </c>
      <c r="V19" s="303">
        <f>VLOOKUP(Stock_year[[#This Row],[SKU ID]],SKU[[SKU ID]:[Bottle Size(Ltr)]],6,0)*Stock_year[[#This Row],[Opening Stock (Piece)2]]</f>
        <v>0</v>
      </c>
      <c r="W19" s="303">
        <v>0</v>
      </c>
      <c r="X19" s="303"/>
      <c r="Y19" s="303"/>
      <c r="Z19" s="303">
        <f>Stock_year[[#This Row],[Vobanipur Opening2]]+Stock_year[[#This Row],[Ulukhola to Vobanipur Transfer2]]+Stock_year[[#This Row],[New Arrival (vobanipur)2]]</f>
        <v>0</v>
      </c>
      <c r="AA19" s="303">
        <f>Stock_year[[#This Row],[Ulukhola Opening2]]-Stock_year[[#This Row],[Ulukhola to Vobanipur Transfer2]]+Stock_year[[#This Row],[New Arrival(ulukhola)2]]</f>
        <v>0</v>
      </c>
      <c r="AB19" s="303">
        <f>Stock_year[[#This Row],[Vobanipur Total2]]+Stock_year[[#This Row],[Ulukhola Total2]]</f>
        <v>0</v>
      </c>
      <c r="AC19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19" s="303">
        <f>Stock_year[[#This Row],[Vobanipur Total2]]-Stock_year[[#This Row],[Sold Qty(Piece)2]]</f>
        <v>0</v>
      </c>
      <c r="AE19" s="303">
        <f>Stock_year[[#This Row],[Ulukhola Opening2]]-Stock_year[[#This Row],[Ulukhola to Vobanipur Transfer2]]+Stock_year[[#This Row],[New Arrival(ulukhola)2]]</f>
        <v>0</v>
      </c>
      <c r="AF19" s="303">
        <f>VLOOKUP(Stock_year[[#This Row],[SKU ID]],SKU[],14,0)*(Stock_year[[#This Row],[Closing Stock Vobanipur2]]+Stock_year[[#This Row],[Closing Stock Ulukhola2]])</f>
        <v>0</v>
      </c>
      <c r="AG19" s="303">
        <f ca="1">OFFSET(Stock_year[[#This Row],[Total Closing Stock Value2]],0,-14)</f>
        <v>57</v>
      </c>
      <c r="AH1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57</v>
      </c>
      <c r="AI19" s="302">
        <f>Stock_year[[#This Row],[Closing Stock Vobanipur2]]</f>
        <v>0</v>
      </c>
      <c r="AJ19" s="303">
        <f>Stock_year[[#This Row],[Closing Stock Ulukhola2]]</f>
        <v>0</v>
      </c>
      <c r="AK19" s="303">
        <f>Stock_year[[#This Row],[Vobanipur Opening3]]+Stock_year[[#This Row],[Ulukhola Opening3]]</f>
        <v>0</v>
      </c>
      <c r="AL19" s="303">
        <f>VLOOKUP(Stock_year[[#This Row],[SKU ID]],SKU[[SKU ID]:[Bottle Size(Ltr)]],6,0)*Stock_year[[#This Row],[Opening Stock (Piece)3]]</f>
        <v>0</v>
      </c>
      <c r="AM19" s="303">
        <v>0</v>
      </c>
      <c r="AN19" s="303"/>
      <c r="AO19" s="303"/>
      <c r="AP19" s="303">
        <f>Stock_year[[#This Row],[Vobanipur Opening3]]+Stock_year[[#This Row],[New Arrival (vobanipur)3]]+Stock_year[[#This Row],[Ulukhola to Vobanipur Transfer3]]</f>
        <v>0</v>
      </c>
      <c r="AQ19" s="303">
        <f>Stock_year[[#This Row],[Ulukhola Opening3]]-Stock_year[[#This Row],[Ulukhola to Vobanipur Transfer3]]+Stock_year[[#This Row],[New Arrival(ulukhola)3]]</f>
        <v>0</v>
      </c>
      <c r="AR19" s="303">
        <f>Stock_year[[#This Row],[Vobanipur Total3]]+Stock_year[[#This Row],[Ulukhola Total3]]</f>
        <v>0</v>
      </c>
      <c r="AS19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19" s="303">
        <f>Stock_year[[#This Row],[Vobanipur Total3]]-Stock_year[[#This Row],[Sold Qty(Piece)3]]</f>
        <v>0</v>
      </c>
      <c r="AU19" s="303">
        <f>Stock_year[[#This Row],[Ulukhola Total3]]</f>
        <v>0</v>
      </c>
      <c r="AV19" s="303">
        <f>VLOOKUP(Stock_year[[#This Row],[SKU ID]],SKU[],14,0)*(Stock_year[[#This Row],[Closing Stock Vobanipur3]]+Stock_year[[#This Row],[Closing Stock Ulukhola3]])</f>
        <v>0</v>
      </c>
      <c r="AW19" s="303">
        <f ca="1">Stock_year[[#This Row],[Closing Damage unit2]]</f>
        <v>57</v>
      </c>
      <c r="AX1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57</v>
      </c>
      <c r="AY19" s="32">
        <f>Stock_year[[#This Row],[Closing Stock Vobanipur3]]</f>
        <v>0</v>
      </c>
      <c r="AZ19" s="32">
        <f>Stock_year[[#This Row],[Closing Stock Ulukhola3]]</f>
        <v>0</v>
      </c>
      <c r="BA19" s="32">
        <f>Stock_year[[#This Row],[Vobanipur Opening4]]+Stock_year[[#This Row],[Ulukhola Opening4]]</f>
        <v>0</v>
      </c>
      <c r="BB19" s="32">
        <f>VLOOKUP(Stock_year[[#This Row],[SKU ID]],SKU[[SKU ID]:[Bottle Size(Ltr)]],6,0)*Stock_year[[#This Row],[Opening Stock (Piece)4]]</f>
        <v>0</v>
      </c>
      <c r="BC19" s="32">
        <v>0</v>
      </c>
      <c r="BD19" s="32"/>
      <c r="BE19" s="32"/>
      <c r="BF19" s="32">
        <f>Stock_year[[#This Row],[Vobanipur Opening4]]+Stock_year[[#This Row],[New Arrival (vobanipur)4]]+Stock_year[[#This Row],[Ulukhola to Vobanipur Transfer4]]</f>
        <v>0</v>
      </c>
      <c r="BG19" s="32">
        <f>Stock_year[[#This Row],[Ulukhola Opening4]]-Stock_year[[#This Row],[Ulukhola to Vobanipur Transfer4]]+Stock_year[[#This Row],[New Arrival(ulukhola)4]]</f>
        <v>0</v>
      </c>
      <c r="BH19" s="32">
        <f>Stock_year[[#This Row],[Vobanipur Total4]]+Stock_year[[#This Row],[Ulukhola Total4]]</f>
        <v>0</v>
      </c>
      <c r="BI19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19" s="32">
        <f>Stock_year[[#This Row],[Vobanipur Total4]]-Stock_year[[#This Row],[Sold Qty(Piece)4]]</f>
        <v>0</v>
      </c>
      <c r="BK19" s="32">
        <f>Stock_year[[#This Row],[Ulukhola Total4]]</f>
        <v>0</v>
      </c>
      <c r="BL19" s="32">
        <f>VLOOKUP(Stock_year[[#This Row],[SKU ID]],SKU[],14,0)*(Stock_year[[#This Row],[Closing Stock Vobanipur4]]+Stock_year[[#This Row],[Closing Stock Ulukhola4]])</f>
        <v>0</v>
      </c>
      <c r="BM19" s="32">
        <f ca="1">Stock_year[[#This Row],[Closing Damage unit3]]</f>
        <v>57</v>
      </c>
      <c r="BN1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57</v>
      </c>
    </row>
    <row r="20" spans="1:66" x14ac:dyDescent="0.5">
      <c r="A20" t="s">
        <v>117</v>
      </c>
      <c r="B20" t="s">
        <v>779</v>
      </c>
      <c r="C20" s="331">
        <f>4320-47-17</f>
        <v>4256</v>
      </c>
      <c r="D20" s="3">
        <v>0</v>
      </c>
      <c r="E20" s="3">
        <f>Stock_year[[#This Row],[Vobanipur Opening]]+Stock_year[[#This Row],[Ulukhola Opening]]</f>
        <v>4256</v>
      </c>
      <c r="F20" s="3">
        <f>VLOOKUP(Stock_year[[#This Row],[SKU ID]],SKU[[SKU ID]:[Bottle Size(Ltr)]],6,0)*Stock_year[[#This Row],[Opening Stock (Piece)]]</f>
        <v>744.8</v>
      </c>
      <c r="G20" s="3">
        <v>0</v>
      </c>
      <c r="H20" s="3"/>
      <c r="I20" s="3"/>
      <c r="J20" s="3">
        <f>Stock_year[[#This Row],[Vobanipur Opening]]+Stock_year[[#This Row],[New Arrival (vobanipur)]]+Stock_year[[#This Row],[Ulukhola to Vobanipur Transfer]]</f>
        <v>4256</v>
      </c>
      <c r="K20" s="3">
        <f>Stock_year[[#This Row],[Ulukhola Opening]]+Stock_year[[#This Row],[New Arrival(ulukhola)]]-Stock_year[[#This Row],[Ulukhola to Vobanipur Transfer]]</f>
        <v>0</v>
      </c>
      <c r="L20" s="3">
        <f>Stock_year[[#This Row],[Opening Stock (Piece)]]+Stock_year[[#This Row],[New Arrival(ulukhola)]]</f>
        <v>4256</v>
      </c>
      <c r="M20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20" s="3">
        <f>Stock_year[[#This Row],[Vobanipur Total]]-Stock_year[[#This Row],[Sold Qty(Piece)]]</f>
        <v>4256</v>
      </c>
      <c r="O20" s="3">
        <f>Stock_year[[#This Row],[Ulukhola Opening]]-Stock_year[[#This Row],[Ulukhola to Vobanipur Transfer]]+Stock_year[[#This Row],[New Arrival(ulukhola)]]</f>
        <v>0</v>
      </c>
      <c r="P20" s="3">
        <f>Stock_year[[#This Row],[Ulukhola Total]]</f>
        <v>0</v>
      </c>
      <c r="Q20" s="3">
        <v>39</v>
      </c>
      <c r="R2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39</v>
      </c>
      <c r="S20" s="303">
        <f>Stock_year[[#This Row],[Closing Stock Vobanipur]]</f>
        <v>4256</v>
      </c>
      <c r="T20" s="303">
        <f>Stock_year[[#This Row],[Closing Stock Ulukhola]]</f>
        <v>0</v>
      </c>
      <c r="U20" s="303">
        <f>Stock_year[[#This Row],[Vobanipur Opening2]]+Stock_year[[#This Row],[Ulukhola Opening2]]</f>
        <v>4256</v>
      </c>
      <c r="V20" s="303">
        <f>VLOOKUP(Stock_year[[#This Row],[SKU ID]],SKU[[SKU ID]:[Bottle Size(Ltr)]],6,0)*Stock_year[[#This Row],[Opening Stock (Piece)2]]</f>
        <v>744.8</v>
      </c>
      <c r="W20" s="303">
        <v>0</v>
      </c>
      <c r="X20" s="303"/>
      <c r="Y20" s="303"/>
      <c r="Z20" s="303">
        <f>Stock_year[[#This Row],[Vobanipur Opening2]]+Stock_year[[#This Row],[Ulukhola to Vobanipur Transfer2]]+Stock_year[[#This Row],[New Arrival (vobanipur)2]]</f>
        <v>4256</v>
      </c>
      <c r="AA20" s="303">
        <f>Stock_year[[#This Row],[Ulukhola Opening2]]-Stock_year[[#This Row],[Ulukhola to Vobanipur Transfer2]]+Stock_year[[#This Row],[New Arrival(ulukhola)2]]</f>
        <v>0</v>
      </c>
      <c r="AB20" s="303">
        <f>Stock_year[[#This Row],[Vobanipur Total2]]+Stock_year[[#This Row],[Ulukhola Total2]]</f>
        <v>4256</v>
      </c>
      <c r="AC20" s="303">
        <f>SUMIFS(Primary_Order[Total Qty],Primary_Order[Date],"&gt;="&amp;S$1,Primary_Order[Date],"&lt;="&amp;EOMONTH(S$1,0),Primary_Order[Product ID],Stock_year[[#This Row],[SKU ID]],Primary_Order[Status],'Stock Report'!$A$1)</f>
        <v>4256</v>
      </c>
      <c r="AD20" s="303">
        <f>Stock_year[[#This Row],[Vobanipur Total2]]-Stock_year[[#This Row],[Sold Qty(Piece)2]]</f>
        <v>0</v>
      </c>
      <c r="AE20" s="303">
        <f>Stock_year[[#This Row],[Ulukhola Opening2]]-Stock_year[[#This Row],[Ulukhola to Vobanipur Transfer2]]+Stock_year[[#This Row],[New Arrival(ulukhola)2]]</f>
        <v>0</v>
      </c>
      <c r="AF20" s="303">
        <f>VLOOKUP(Stock_year[[#This Row],[SKU ID]],SKU[],14,0)*(Stock_year[[#This Row],[Closing Stock Vobanipur2]]+Stock_year[[#This Row],[Closing Stock Ulukhola2]])</f>
        <v>0</v>
      </c>
      <c r="AG20" s="303">
        <f ca="1">OFFSET(Stock_year[[#This Row],[Total Closing Stock Value2]],0,-14)</f>
        <v>39</v>
      </c>
      <c r="AH2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39</v>
      </c>
      <c r="AI20" s="302">
        <f>Stock_year[[#This Row],[Closing Stock Vobanipur2]]</f>
        <v>0</v>
      </c>
      <c r="AJ20" s="303">
        <f>Stock_year[[#This Row],[Closing Stock Ulukhola2]]</f>
        <v>0</v>
      </c>
      <c r="AK20" s="303">
        <f>Stock_year[[#This Row],[Vobanipur Opening3]]+Stock_year[[#This Row],[Ulukhola Opening3]]</f>
        <v>0</v>
      </c>
      <c r="AL20" s="303">
        <f>VLOOKUP(Stock_year[[#This Row],[SKU ID]],SKU[[SKU ID]:[Bottle Size(Ltr)]],6,0)*Stock_year[[#This Row],[Opening Stock (Piece)3]]</f>
        <v>0</v>
      </c>
      <c r="AM20" s="303">
        <v>0</v>
      </c>
      <c r="AN20" s="303"/>
      <c r="AO20" s="303"/>
      <c r="AP20" s="303">
        <f>Stock_year[[#This Row],[Vobanipur Opening3]]+Stock_year[[#This Row],[New Arrival (vobanipur)3]]+Stock_year[[#This Row],[Ulukhola to Vobanipur Transfer3]]</f>
        <v>0</v>
      </c>
      <c r="AQ20" s="303">
        <f>Stock_year[[#This Row],[Ulukhola Opening3]]-Stock_year[[#This Row],[Ulukhola to Vobanipur Transfer3]]+Stock_year[[#This Row],[New Arrival(ulukhola)3]]</f>
        <v>0</v>
      </c>
      <c r="AR20" s="303">
        <f>Stock_year[[#This Row],[Vobanipur Total3]]+Stock_year[[#This Row],[Ulukhola Total3]]</f>
        <v>0</v>
      </c>
      <c r="AS20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0" s="303">
        <f>Stock_year[[#This Row],[Vobanipur Total3]]-Stock_year[[#This Row],[Sold Qty(Piece)3]]</f>
        <v>0</v>
      </c>
      <c r="AU20" s="303">
        <f>Stock_year[[#This Row],[Ulukhola Total3]]</f>
        <v>0</v>
      </c>
      <c r="AV20" s="303">
        <f>VLOOKUP(Stock_year[[#This Row],[SKU ID]],SKU[],14,0)*(Stock_year[[#This Row],[Closing Stock Vobanipur3]]+Stock_year[[#This Row],[Closing Stock Ulukhola3]])</f>
        <v>0</v>
      </c>
      <c r="AW20" s="303">
        <f ca="1">Stock_year[[#This Row],[Closing Damage unit2]]</f>
        <v>39</v>
      </c>
      <c r="AX2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39</v>
      </c>
      <c r="AY20" s="32">
        <f>Stock_year[[#This Row],[Closing Stock Vobanipur3]]</f>
        <v>0</v>
      </c>
      <c r="AZ20" s="32">
        <f>Stock_year[[#This Row],[Closing Stock Ulukhola3]]</f>
        <v>0</v>
      </c>
      <c r="BA20" s="32">
        <f>Stock_year[[#This Row],[Vobanipur Opening4]]+Stock_year[[#This Row],[Ulukhola Opening4]]</f>
        <v>0</v>
      </c>
      <c r="BB20" s="32">
        <f>VLOOKUP(Stock_year[[#This Row],[SKU ID]],SKU[[SKU ID]:[Bottle Size(Ltr)]],6,0)*Stock_year[[#This Row],[Opening Stock (Piece)4]]</f>
        <v>0</v>
      </c>
      <c r="BC20" s="32">
        <v>0</v>
      </c>
      <c r="BD20" s="32"/>
      <c r="BE20" s="32"/>
      <c r="BF20" s="32">
        <f>Stock_year[[#This Row],[Vobanipur Opening4]]+Stock_year[[#This Row],[New Arrival (vobanipur)4]]+Stock_year[[#This Row],[Ulukhola to Vobanipur Transfer4]]</f>
        <v>0</v>
      </c>
      <c r="BG20" s="32">
        <f>Stock_year[[#This Row],[Ulukhola Opening4]]-Stock_year[[#This Row],[Ulukhola to Vobanipur Transfer4]]+Stock_year[[#This Row],[New Arrival(ulukhola)4]]</f>
        <v>0</v>
      </c>
      <c r="BH20" s="32">
        <f>Stock_year[[#This Row],[Vobanipur Total4]]+Stock_year[[#This Row],[Ulukhola Total4]]</f>
        <v>0</v>
      </c>
      <c r="BI20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0" s="32">
        <f>Stock_year[[#This Row],[Vobanipur Total4]]-Stock_year[[#This Row],[Sold Qty(Piece)4]]</f>
        <v>0</v>
      </c>
      <c r="BK20" s="32">
        <f>Stock_year[[#This Row],[Ulukhola Total4]]</f>
        <v>0</v>
      </c>
      <c r="BL20" s="32">
        <f>VLOOKUP(Stock_year[[#This Row],[SKU ID]],SKU[],14,0)*(Stock_year[[#This Row],[Closing Stock Vobanipur4]]+Stock_year[[#This Row],[Closing Stock Ulukhola4]])</f>
        <v>0</v>
      </c>
      <c r="BM20" s="32">
        <f ca="1">Stock_year[[#This Row],[Closing Damage unit3]]</f>
        <v>39</v>
      </c>
      <c r="BN2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39</v>
      </c>
    </row>
    <row r="21" spans="1:66" x14ac:dyDescent="0.5">
      <c r="A21" t="s">
        <v>357</v>
      </c>
      <c r="B21" t="s">
        <v>780</v>
      </c>
      <c r="C21" s="329">
        <v>0</v>
      </c>
      <c r="D21" s="3">
        <v>0</v>
      </c>
      <c r="E21" s="3">
        <f>Stock_year[[#This Row],[Vobanipur Opening]]+Stock_year[[#This Row],[Ulukhola Opening]]</f>
        <v>0</v>
      </c>
      <c r="F21" s="3">
        <f>VLOOKUP(Stock_year[[#This Row],[SKU ID]],SKU[[SKU ID]:[Bottle Size(Ltr)]],6,0)*Stock_year[[#This Row],[Opening Stock (Piece)]]</f>
        <v>0</v>
      </c>
      <c r="G21" s="3">
        <v>0</v>
      </c>
      <c r="H21" s="3"/>
      <c r="I21" s="3"/>
      <c r="J21" s="3">
        <f>Stock_year[[#This Row],[Vobanipur Opening]]+Stock_year[[#This Row],[New Arrival (vobanipur)]]+Stock_year[[#This Row],[Ulukhola to Vobanipur Transfer]]</f>
        <v>0</v>
      </c>
      <c r="K21" s="3">
        <f>Stock_year[[#This Row],[Ulukhola Opening]]+Stock_year[[#This Row],[New Arrival(ulukhola)]]-Stock_year[[#This Row],[Ulukhola to Vobanipur Transfer]]</f>
        <v>0</v>
      </c>
      <c r="L21" s="3">
        <f>Stock_year[[#This Row],[Opening Stock (Piece)]]+Stock_year[[#This Row],[New Arrival(ulukhola)]]</f>
        <v>0</v>
      </c>
      <c r="M21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21" s="3">
        <f>Stock_year[[#This Row],[Vobanipur Total]]-Stock_year[[#This Row],[Sold Qty(Piece)]]</f>
        <v>0</v>
      </c>
      <c r="O21" s="3">
        <f>Stock_year[[#This Row],[Ulukhola Opening]]-Stock_year[[#This Row],[Ulukhola to Vobanipur Transfer]]+Stock_year[[#This Row],[New Arrival(ulukhola)]]</f>
        <v>0</v>
      </c>
      <c r="P21" s="3">
        <f>Stock_year[[#This Row],[Ulukhola Total]]</f>
        <v>0</v>
      </c>
      <c r="Q21" s="3">
        <v>0</v>
      </c>
      <c r="R2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21" s="303">
        <f>Stock_year[[#This Row],[Closing Stock Vobanipur]]</f>
        <v>0</v>
      </c>
      <c r="T21" s="303">
        <f>Stock_year[[#This Row],[Closing Stock Ulukhola]]</f>
        <v>0</v>
      </c>
      <c r="U21" s="303">
        <f>Stock_year[[#This Row],[Vobanipur Opening2]]+Stock_year[[#This Row],[Ulukhola Opening2]]</f>
        <v>0</v>
      </c>
      <c r="V21" s="303">
        <f>VLOOKUP(Stock_year[[#This Row],[SKU ID]],SKU[[SKU ID]:[Bottle Size(Ltr)]],6,0)*Stock_year[[#This Row],[Opening Stock (Piece)2]]</f>
        <v>0</v>
      </c>
      <c r="W21" s="303">
        <v>0</v>
      </c>
      <c r="X21" s="303"/>
      <c r="Y21" s="303"/>
      <c r="Z21" s="303">
        <f>Stock_year[[#This Row],[Vobanipur Opening2]]+Stock_year[[#This Row],[Ulukhola to Vobanipur Transfer2]]+Stock_year[[#This Row],[New Arrival (vobanipur)2]]</f>
        <v>0</v>
      </c>
      <c r="AA21" s="303">
        <f>Stock_year[[#This Row],[Ulukhola Opening2]]-Stock_year[[#This Row],[Ulukhola to Vobanipur Transfer2]]+Stock_year[[#This Row],[New Arrival(ulukhola)2]]</f>
        <v>0</v>
      </c>
      <c r="AB21" s="303">
        <f>Stock_year[[#This Row],[Vobanipur Total2]]+Stock_year[[#This Row],[Ulukhola Total2]]</f>
        <v>0</v>
      </c>
      <c r="AC21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21" s="303">
        <f>Stock_year[[#This Row],[Vobanipur Total2]]-Stock_year[[#This Row],[Sold Qty(Piece)2]]</f>
        <v>0</v>
      </c>
      <c r="AE21" s="303">
        <f>Stock_year[[#This Row],[Ulukhola Opening2]]-Stock_year[[#This Row],[Ulukhola to Vobanipur Transfer2]]+Stock_year[[#This Row],[New Arrival(ulukhola)2]]</f>
        <v>0</v>
      </c>
      <c r="AF21" s="303">
        <f>VLOOKUP(Stock_year[[#This Row],[SKU ID]],SKU[],14,0)*(Stock_year[[#This Row],[Closing Stock Vobanipur2]]+Stock_year[[#This Row],[Closing Stock Ulukhola2]])</f>
        <v>0</v>
      </c>
      <c r="AG21" s="303">
        <f ca="1">OFFSET(Stock_year[[#This Row],[Total Closing Stock Value2]],0,-14)</f>
        <v>0</v>
      </c>
      <c r="AH2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21" s="302">
        <f>Stock_year[[#This Row],[Closing Stock Vobanipur2]]</f>
        <v>0</v>
      </c>
      <c r="AJ21" s="303">
        <f>Stock_year[[#This Row],[Closing Stock Ulukhola2]]</f>
        <v>0</v>
      </c>
      <c r="AK21" s="303">
        <f>Stock_year[[#This Row],[Vobanipur Opening3]]+Stock_year[[#This Row],[Ulukhola Opening3]]</f>
        <v>0</v>
      </c>
      <c r="AL21" s="303">
        <f>VLOOKUP(Stock_year[[#This Row],[SKU ID]],SKU[[SKU ID]:[Bottle Size(Ltr)]],6,0)*Stock_year[[#This Row],[Opening Stock (Piece)3]]</f>
        <v>0</v>
      </c>
      <c r="AM21" s="303">
        <v>0</v>
      </c>
      <c r="AN21" s="303"/>
      <c r="AO21" s="303"/>
      <c r="AP21" s="303">
        <f>Stock_year[[#This Row],[Vobanipur Opening3]]+Stock_year[[#This Row],[New Arrival (vobanipur)3]]+Stock_year[[#This Row],[Ulukhola to Vobanipur Transfer3]]</f>
        <v>0</v>
      </c>
      <c r="AQ21" s="303">
        <f>Stock_year[[#This Row],[Ulukhola Opening3]]-Stock_year[[#This Row],[Ulukhola to Vobanipur Transfer3]]+Stock_year[[#This Row],[New Arrival(ulukhola)3]]</f>
        <v>0</v>
      </c>
      <c r="AR21" s="303">
        <f>Stock_year[[#This Row],[Vobanipur Total3]]+Stock_year[[#This Row],[Ulukhola Total3]]</f>
        <v>0</v>
      </c>
      <c r="AS21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1" s="303">
        <f>Stock_year[[#This Row],[Vobanipur Total3]]-Stock_year[[#This Row],[Sold Qty(Piece)3]]</f>
        <v>0</v>
      </c>
      <c r="AU21" s="303">
        <f>Stock_year[[#This Row],[Ulukhola Total3]]</f>
        <v>0</v>
      </c>
      <c r="AV21" s="303">
        <f>VLOOKUP(Stock_year[[#This Row],[SKU ID]],SKU[],14,0)*(Stock_year[[#This Row],[Closing Stock Vobanipur3]]+Stock_year[[#This Row],[Closing Stock Ulukhola3]])</f>
        <v>0</v>
      </c>
      <c r="AW21" s="303">
        <f ca="1">Stock_year[[#This Row],[Closing Damage unit2]]</f>
        <v>0</v>
      </c>
      <c r="AX2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21" s="32">
        <f>Stock_year[[#This Row],[Closing Stock Vobanipur3]]</f>
        <v>0</v>
      </c>
      <c r="AZ21" s="32">
        <f>Stock_year[[#This Row],[Closing Stock Ulukhola3]]</f>
        <v>0</v>
      </c>
      <c r="BA21" s="32">
        <f>Stock_year[[#This Row],[Vobanipur Opening4]]+Stock_year[[#This Row],[Ulukhola Opening4]]</f>
        <v>0</v>
      </c>
      <c r="BB21" s="32">
        <f>VLOOKUP(Stock_year[[#This Row],[SKU ID]],SKU[[SKU ID]:[Bottle Size(Ltr)]],6,0)*Stock_year[[#This Row],[Opening Stock (Piece)4]]</f>
        <v>0</v>
      </c>
      <c r="BC21" s="32">
        <v>0</v>
      </c>
      <c r="BD21" s="32"/>
      <c r="BE21" s="32"/>
      <c r="BF21" s="32">
        <f>Stock_year[[#This Row],[Vobanipur Opening4]]+Stock_year[[#This Row],[New Arrival (vobanipur)4]]+Stock_year[[#This Row],[Ulukhola to Vobanipur Transfer4]]</f>
        <v>0</v>
      </c>
      <c r="BG21" s="32">
        <f>Stock_year[[#This Row],[Ulukhola Opening4]]-Stock_year[[#This Row],[Ulukhola to Vobanipur Transfer4]]+Stock_year[[#This Row],[New Arrival(ulukhola)4]]</f>
        <v>0</v>
      </c>
      <c r="BH21" s="32">
        <f>Stock_year[[#This Row],[Vobanipur Total4]]+Stock_year[[#This Row],[Ulukhola Total4]]</f>
        <v>0</v>
      </c>
      <c r="BI21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1" s="32">
        <f>Stock_year[[#This Row],[Vobanipur Total4]]-Stock_year[[#This Row],[Sold Qty(Piece)4]]</f>
        <v>0</v>
      </c>
      <c r="BK21" s="32">
        <f>Stock_year[[#This Row],[Ulukhola Total4]]</f>
        <v>0</v>
      </c>
      <c r="BL21" s="32">
        <f>VLOOKUP(Stock_year[[#This Row],[SKU ID]],SKU[],14,0)*(Stock_year[[#This Row],[Closing Stock Vobanipur4]]+Stock_year[[#This Row],[Closing Stock Ulukhola4]])</f>
        <v>0</v>
      </c>
      <c r="BM21" s="32">
        <f ca="1">Stock_year[[#This Row],[Closing Damage unit3]]</f>
        <v>0</v>
      </c>
      <c r="BN2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22" spans="1:66" x14ac:dyDescent="0.5">
      <c r="A22" t="s">
        <v>106</v>
      </c>
      <c r="B22" t="s">
        <v>781</v>
      </c>
      <c r="C22" s="329">
        <v>102</v>
      </c>
      <c r="D22" s="3">
        <v>0</v>
      </c>
      <c r="E22" s="3">
        <f>Stock_year[[#This Row],[Vobanipur Opening]]+Stock_year[[#This Row],[Ulukhola Opening]]</f>
        <v>102</v>
      </c>
      <c r="F22" s="3">
        <f>VLOOKUP(Stock_year[[#This Row],[SKU ID]],SKU[[SKU ID]:[Bottle Size(Ltr)]],6,0)*Stock_year[[#This Row],[Opening Stock (Piece)]]</f>
        <v>102</v>
      </c>
      <c r="G22" s="3">
        <v>0</v>
      </c>
      <c r="H22" s="3"/>
      <c r="I22" s="3"/>
      <c r="J22" s="3">
        <f>Stock_year[[#This Row],[Vobanipur Opening]]+Stock_year[[#This Row],[New Arrival (vobanipur)]]+Stock_year[[#This Row],[Ulukhola to Vobanipur Transfer]]</f>
        <v>102</v>
      </c>
      <c r="K22" s="3">
        <f>Stock_year[[#This Row],[Ulukhola Opening]]+Stock_year[[#This Row],[New Arrival(ulukhola)]]-Stock_year[[#This Row],[Ulukhola to Vobanipur Transfer]]</f>
        <v>0</v>
      </c>
      <c r="L22" s="3">
        <f>Stock_year[[#This Row],[Opening Stock (Piece)]]+Stock_year[[#This Row],[New Arrival(ulukhola)]]</f>
        <v>102</v>
      </c>
      <c r="M22" s="3">
        <f>SUMIFS(Primary_Order[Total Qty],Primary_Order[Date],"&gt;="&amp;C$1,Primary_Order[Date],"&lt;="&amp;EOMONTH(C$1,0),Primary_Order[Product ID],Stock_year[[#This Row],[SKU ID]],Primary_Order[Status],'Stock Report'!$A$1)</f>
        <v>102</v>
      </c>
      <c r="N22" s="3">
        <f>Stock_year[[#This Row],[Vobanipur Total]]-Stock_year[[#This Row],[Sold Qty(Piece)]]</f>
        <v>0</v>
      </c>
      <c r="O22" s="3">
        <f>Stock_year[[#This Row],[Ulukhola Opening]]-Stock_year[[#This Row],[Ulukhola to Vobanipur Transfer]]+Stock_year[[#This Row],[New Arrival(ulukhola)]]</f>
        <v>0</v>
      </c>
      <c r="P22" s="3">
        <f>Stock_year[[#This Row],[Ulukhola Total]]</f>
        <v>0</v>
      </c>
      <c r="Q22" s="3">
        <v>52</v>
      </c>
      <c r="R2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52</v>
      </c>
      <c r="S22" s="303">
        <f>Stock_year[[#This Row],[Closing Stock Vobanipur]]</f>
        <v>0</v>
      </c>
      <c r="T22" s="303">
        <f>Stock_year[[#This Row],[Closing Stock Ulukhola]]</f>
        <v>0</v>
      </c>
      <c r="U22" s="303">
        <f>Stock_year[[#This Row],[Vobanipur Opening2]]+Stock_year[[#This Row],[Ulukhola Opening2]]</f>
        <v>0</v>
      </c>
      <c r="V22" s="303">
        <f>VLOOKUP(Stock_year[[#This Row],[SKU ID]],SKU[[SKU ID]:[Bottle Size(Ltr)]],6,0)*Stock_year[[#This Row],[Opening Stock (Piece)2]]</f>
        <v>0</v>
      </c>
      <c r="W22" s="303">
        <v>0</v>
      </c>
      <c r="X22" s="303"/>
      <c r="Y22" s="303"/>
      <c r="Z22" s="303">
        <f>Stock_year[[#This Row],[Vobanipur Opening2]]+Stock_year[[#This Row],[Ulukhola to Vobanipur Transfer2]]+Stock_year[[#This Row],[New Arrival (vobanipur)2]]</f>
        <v>0</v>
      </c>
      <c r="AA22" s="303">
        <f>Stock_year[[#This Row],[Ulukhola Opening2]]-Stock_year[[#This Row],[Ulukhola to Vobanipur Transfer2]]+Stock_year[[#This Row],[New Arrival(ulukhola)2]]</f>
        <v>0</v>
      </c>
      <c r="AB22" s="303">
        <f>Stock_year[[#This Row],[Vobanipur Total2]]+Stock_year[[#This Row],[Ulukhola Total2]]</f>
        <v>0</v>
      </c>
      <c r="AC22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22" s="303">
        <f>Stock_year[[#This Row],[Vobanipur Total2]]-Stock_year[[#This Row],[Sold Qty(Piece)2]]</f>
        <v>0</v>
      </c>
      <c r="AE22" s="303">
        <f>Stock_year[[#This Row],[Ulukhola Opening2]]-Stock_year[[#This Row],[Ulukhola to Vobanipur Transfer2]]+Stock_year[[#This Row],[New Arrival(ulukhola)2]]</f>
        <v>0</v>
      </c>
      <c r="AF22" s="303">
        <f>VLOOKUP(Stock_year[[#This Row],[SKU ID]],SKU[],14,0)*(Stock_year[[#This Row],[Closing Stock Vobanipur2]]+Stock_year[[#This Row],[Closing Stock Ulukhola2]])</f>
        <v>0</v>
      </c>
      <c r="AG22" s="303">
        <f ca="1">OFFSET(Stock_year[[#This Row],[Total Closing Stock Value2]],0,-14)</f>
        <v>52</v>
      </c>
      <c r="AH22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52</v>
      </c>
      <c r="AI22" s="302">
        <f>Stock_year[[#This Row],[Closing Stock Vobanipur2]]</f>
        <v>0</v>
      </c>
      <c r="AJ22" s="303">
        <f>Stock_year[[#This Row],[Closing Stock Ulukhola2]]</f>
        <v>0</v>
      </c>
      <c r="AK22" s="303">
        <f>Stock_year[[#This Row],[Vobanipur Opening3]]+Stock_year[[#This Row],[Ulukhola Opening3]]</f>
        <v>0</v>
      </c>
      <c r="AL22" s="303">
        <f>VLOOKUP(Stock_year[[#This Row],[SKU ID]],SKU[[SKU ID]:[Bottle Size(Ltr)]],6,0)*Stock_year[[#This Row],[Opening Stock (Piece)3]]</f>
        <v>0</v>
      </c>
      <c r="AM22" s="303">
        <v>0</v>
      </c>
      <c r="AN22" s="303"/>
      <c r="AO22" s="303"/>
      <c r="AP22" s="303">
        <f>Stock_year[[#This Row],[Vobanipur Opening3]]+Stock_year[[#This Row],[New Arrival (vobanipur)3]]+Stock_year[[#This Row],[Ulukhola to Vobanipur Transfer3]]</f>
        <v>0</v>
      </c>
      <c r="AQ22" s="303">
        <f>Stock_year[[#This Row],[Ulukhola Opening3]]-Stock_year[[#This Row],[Ulukhola to Vobanipur Transfer3]]+Stock_year[[#This Row],[New Arrival(ulukhola)3]]</f>
        <v>0</v>
      </c>
      <c r="AR22" s="303">
        <f>Stock_year[[#This Row],[Vobanipur Total3]]+Stock_year[[#This Row],[Ulukhola Total3]]</f>
        <v>0</v>
      </c>
      <c r="AS22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2" s="303">
        <f>Stock_year[[#This Row],[Vobanipur Total3]]-Stock_year[[#This Row],[Sold Qty(Piece)3]]</f>
        <v>0</v>
      </c>
      <c r="AU22" s="303">
        <f>Stock_year[[#This Row],[Ulukhola Total3]]</f>
        <v>0</v>
      </c>
      <c r="AV22" s="303">
        <f>VLOOKUP(Stock_year[[#This Row],[SKU ID]],SKU[],14,0)*(Stock_year[[#This Row],[Closing Stock Vobanipur3]]+Stock_year[[#This Row],[Closing Stock Ulukhola3]])</f>
        <v>0</v>
      </c>
      <c r="AW22" s="303">
        <f ca="1">Stock_year[[#This Row],[Closing Damage unit2]]</f>
        <v>52</v>
      </c>
      <c r="AX22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52</v>
      </c>
      <c r="AY22" s="32">
        <f>Stock_year[[#This Row],[Closing Stock Vobanipur3]]</f>
        <v>0</v>
      </c>
      <c r="AZ22" s="32">
        <f>Stock_year[[#This Row],[Closing Stock Ulukhola3]]</f>
        <v>0</v>
      </c>
      <c r="BA22" s="32">
        <f>Stock_year[[#This Row],[Vobanipur Opening4]]+Stock_year[[#This Row],[Ulukhola Opening4]]</f>
        <v>0</v>
      </c>
      <c r="BB22" s="32">
        <f>VLOOKUP(Stock_year[[#This Row],[SKU ID]],SKU[[SKU ID]:[Bottle Size(Ltr)]],6,0)*Stock_year[[#This Row],[Opening Stock (Piece)4]]</f>
        <v>0</v>
      </c>
      <c r="BC22" s="32">
        <v>0</v>
      </c>
      <c r="BD22" s="32"/>
      <c r="BE22" s="32"/>
      <c r="BF22" s="32">
        <f>Stock_year[[#This Row],[Vobanipur Opening4]]+Stock_year[[#This Row],[New Arrival (vobanipur)4]]+Stock_year[[#This Row],[Ulukhola to Vobanipur Transfer4]]</f>
        <v>0</v>
      </c>
      <c r="BG22" s="32">
        <f>Stock_year[[#This Row],[Ulukhola Opening4]]-Stock_year[[#This Row],[Ulukhola to Vobanipur Transfer4]]+Stock_year[[#This Row],[New Arrival(ulukhola)4]]</f>
        <v>0</v>
      </c>
      <c r="BH22" s="32">
        <f>Stock_year[[#This Row],[Vobanipur Total4]]+Stock_year[[#This Row],[Ulukhola Total4]]</f>
        <v>0</v>
      </c>
      <c r="BI22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2" s="32">
        <f>Stock_year[[#This Row],[Vobanipur Total4]]-Stock_year[[#This Row],[Sold Qty(Piece)4]]</f>
        <v>0</v>
      </c>
      <c r="BK22" s="32">
        <f>Stock_year[[#This Row],[Ulukhola Total4]]</f>
        <v>0</v>
      </c>
      <c r="BL22" s="32">
        <f>VLOOKUP(Stock_year[[#This Row],[SKU ID]],SKU[],14,0)*(Stock_year[[#This Row],[Closing Stock Vobanipur4]]+Stock_year[[#This Row],[Closing Stock Ulukhola4]])</f>
        <v>0</v>
      </c>
      <c r="BM22" s="32">
        <f ca="1">Stock_year[[#This Row],[Closing Damage unit3]]</f>
        <v>52</v>
      </c>
      <c r="BN2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52</v>
      </c>
    </row>
    <row r="23" spans="1:66" x14ac:dyDescent="0.5">
      <c r="A23" t="s">
        <v>152</v>
      </c>
      <c r="B23" t="s">
        <v>782</v>
      </c>
      <c r="C23" s="329">
        <v>2032</v>
      </c>
      <c r="D23" s="3">
        <v>0</v>
      </c>
      <c r="E23" s="3">
        <f>Stock_year[[#This Row],[Vobanipur Opening]]+Stock_year[[#This Row],[Ulukhola Opening]]</f>
        <v>2032</v>
      </c>
      <c r="F23" s="3">
        <f>VLOOKUP(Stock_year[[#This Row],[SKU ID]],SKU[[SKU ID]:[Bottle Size(Ltr)]],6,0)*Stock_year[[#This Row],[Opening Stock (Piece)]]</f>
        <v>2032</v>
      </c>
      <c r="G23" s="3">
        <v>0</v>
      </c>
      <c r="H23" s="3"/>
      <c r="I23" s="3"/>
      <c r="J23" s="3">
        <f>Stock_year[[#This Row],[Vobanipur Opening]]+Stock_year[[#This Row],[New Arrival (vobanipur)]]+Stock_year[[#This Row],[Ulukhola to Vobanipur Transfer]]</f>
        <v>2032</v>
      </c>
      <c r="K23" s="3">
        <f>Stock_year[[#This Row],[Ulukhola Opening]]+Stock_year[[#This Row],[New Arrival(ulukhola)]]-Stock_year[[#This Row],[Ulukhola to Vobanipur Transfer]]</f>
        <v>0</v>
      </c>
      <c r="L23" s="3">
        <f>Stock_year[[#This Row],[Opening Stock (Piece)]]+Stock_year[[#This Row],[New Arrival(ulukhola)]]</f>
        <v>2032</v>
      </c>
      <c r="M23" s="3">
        <f>SUMIFS(Primary_Order[Total Qty],Primary_Order[Date],"&gt;="&amp;C$1,Primary_Order[Date],"&lt;="&amp;EOMONTH(C$1,0),Primary_Order[Product ID],Stock_year[[#This Row],[SKU ID]],Primary_Order[Status],'Stock Report'!$A$1)</f>
        <v>1160</v>
      </c>
      <c r="N23" s="3">
        <f>Stock_year[[#This Row],[Vobanipur Total]]-Stock_year[[#This Row],[Sold Qty(Piece)]]</f>
        <v>872</v>
      </c>
      <c r="O23" s="3">
        <f>Stock_year[[#This Row],[Ulukhola Opening]]-Stock_year[[#This Row],[Ulukhola to Vobanipur Transfer]]+Stock_year[[#This Row],[New Arrival(ulukhola)]]</f>
        <v>0</v>
      </c>
      <c r="P23" s="3">
        <f>Stock_year[[#This Row],[Ulukhola Total]]</f>
        <v>0</v>
      </c>
      <c r="Q23" s="3">
        <v>407</v>
      </c>
      <c r="R23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407</v>
      </c>
      <c r="S23" s="303">
        <f>Stock_year[[#This Row],[Closing Stock Vobanipur]]</f>
        <v>872</v>
      </c>
      <c r="T23" s="303">
        <f>Stock_year[[#This Row],[Closing Stock Ulukhola]]</f>
        <v>0</v>
      </c>
      <c r="U23" s="303">
        <f>Stock_year[[#This Row],[Vobanipur Opening2]]+Stock_year[[#This Row],[Ulukhola Opening2]]</f>
        <v>872</v>
      </c>
      <c r="V23" s="303">
        <f>VLOOKUP(Stock_year[[#This Row],[SKU ID]],SKU[[SKU ID]:[Bottle Size(Ltr)]],6,0)*Stock_year[[#This Row],[Opening Stock (Piece)2]]</f>
        <v>872</v>
      </c>
      <c r="W23" s="303">
        <v>0</v>
      </c>
      <c r="X23" s="303"/>
      <c r="Y23" s="303"/>
      <c r="Z23" s="303">
        <f>Stock_year[[#This Row],[Vobanipur Opening2]]+Stock_year[[#This Row],[Ulukhola to Vobanipur Transfer2]]+Stock_year[[#This Row],[New Arrival (vobanipur)2]]</f>
        <v>872</v>
      </c>
      <c r="AA23" s="303">
        <f>Stock_year[[#This Row],[Ulukhola Opening2]]-Stock_year[[#This Row],[Ulukhola to Vobanipur Transfer2]]+Stock_year[[#This Row],[New Arrival(ulukhola)2]]</f>
        <v>0</v>
      </c>
      <c r="AB23" s="303">
        <f>Stock_year[[#This Row],[Vobanipur Total2]]+Stock_year[[#This Row],[Ulukhola Total2]]</f>
        <v>872</v>
      </c>
      <c r="AC23" s="303">
        <f>SUMIFS(Primary_Order[Total Qty],Primary_Order[Date],"&gt;="&amp;S$1,Primary_Order[Date],"&lt;="&amp;EOMONTH(S$1,0),Primary_Order[Product ID],Stock_year[[#This Row],[SKU ID]],Primary_Order[Status],'Stock Report'!$A$1)</f>
        <v>220</v>
      </c>
      <c r="AD23" s="303">
        <f>Stock_year[[#This Row],[Vobanipur Total2]]-Stock_year[[#This Row],[Sold Qty(Piece)2]]</f>
        <v>652</v>
      </c>
      <c r="AE23" s="303">
        <f>Stock_year[[#This Row],[Ulukhola Opening2]]-Stock_year[[#This Row],[Ulukhola to Vobanipur Transfer2]]+Stock_year[[#This Row],[New Arrival(ulukhola)2]]</f>
        <v>0</v>
      </c>
      <c r="AF23" s="303">
        <f>VLOOKUP(Stock_year[[#This Row],[SKU ID]],SKU[],14,0)*(Stock_year[[#This Row],[Closing Stock Vobanipur2]]+Stock_year[[#This Row],[Closing Stock Ulukhola2]])</f>
        <v>150377.28</v>
      </c>
      <c r="AG23" s="303">
        <f ca="1">OFFSET(Stock_year[[#This Row],[Total Closing Stock Value2]],0,-14)</f>
        <v>407</v>
      </c>
      <c r="AH23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407</v>
      </c>
      <c r="AI23" s="302">
        <f>Stock_year[[#This Row],[Closing Stock Vobanipur2]]</f>
        <v>652</v>
      </c>
      <c r="AJ23" s="303">
        <f>Stock_year[[#This Row],[Closing Stock Ulukhola2]]</f>
        <v>0</v>
      </c>
      <c r="AK23" s="303">
        <f>Stock_year[[#This Row],[Vobanipur Opening3]]+Stock_year[[#This Row],[Ulukhola Opening3]]</f>
        <v>652</v>
      </c>
      <c r="AL23" s="303">
        <f>VLOOKUP(Stock_year[[#This Row],[SKU ID]],SKU[[SKU ID]:[Bottle Size(Ltr)]],6,0)*Stock_year[[#This Row],[Opening Stock (Piece)3]]</f>
        <v>652</v>
      </c>
      <c r="AM23" s="303">
        <v>0</v>
      </c>
      <c r="AN23" s="303"/>
      <c r="AO23" s="303"/>
      <c r="AP23" s="303">
        <f>Stock_year[[#This Row],[Vobanipur Opening3]]+Stock_year[[#This Row],[New Arrival (vobanipur)3]]+Stock_year[[#This Row],[Ulukhola to Vobanipur Transfer3]]</f>
        <v>652</v>
      </c>
      <c r="AQ23" s="303">
        <f>Stock_year[[#This Row],[Ulukhola Opening3]]-Stock_year[[#This Row],[Ulukhola to Vobanipur Transfer3]]+Stock_year[[#This Row],[New Arrival(ulukhola)3]]</f>
        <v>0</v>
      </c>
      <c r="AR23" s="303">
        <f>Stock_year[[#This Row],[Vobanipur Total3]]+Stock_year[[#This Row],[Ulukhola Total3]]</f>
        <v>652</v>
      </c>
      <c r="AS23" s="303">
        <f>SUMIFS(Primary_Order[Total Qty],Primary_Order[Date],"&gt;="&amp;AI$1,Primary_Order[Date],"&lt;="&amp;EOMONTH(AI$1,0),Primary_Order[Product ID],Stock_year[[#This Row],[SKU ID]],Primary_Order[Status],'Stock Report'!$A$1)</f>
        <v>200</v>
      </c>
      <c r="AT23" s="303">
        <f>Stock_year[[#This Row],[Vobanipur Total3]]-Stock_year[[#This Row],[Sold Qty(Piece)3]]</f>
        <v>452</v>
      </c>
      <c r="AU23" s="303">
        <f>Stock_year[[#This Row],[Ulukhola Total3]]</f>
        <v>0</v>
      </c>
      <c r="AV23" s="303">
        <f>VLOOKUP(Stock_year[[#This Row],[SKU ID]],SKU[],14,0)*(Stock_year[[#This Row],[Closing Stock Vobanipur3]]+Stock_year[[#This Row],[Closing Stock Ulukhola3]])</f>
        <v>104249.28</v>
      </c>
      <c r="AW23" s="303">
        <f ca="1">Stock_year[[#This Row],[Closing Damage unit2]]</f>
        <v>407</v>
      </c>
      <c r="AX23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407</v>
      </c>
      <c r="AY23" s="32">
        <f>Stock_year[[#This Row],[Closing Stock Vobanipur3]]</f>
        <v>452</v>
      </c>
      <c r="AZ23" s="32">
        <f>Stock_year[[#This Row],[Closing Stock Ulukhola3]]</f>
        <v>0</v>
      </c>
      <c r="BA23" s="32">
        <f>Stock_year[[#This Row],[Vobanipur Opening4]]+Stock_year[[#This Row],[Ulukhola Opening4]]</f>
        <v>452</v>
      </c>
      <c r="BB23" s="32">
        <f>VLOOKUP(Stock_year[[#This Row],[SKU ID]],SKU[[SKU ID]:[Bottle Size(Ltr)]],6,0)*Stock_year[[#This Row],[Opening Stock (Piece)4]]</f>
        <v>452</v>
      </c>
      <c r="BC23" s="32">
        <v>0</v>
      </c>
      <c r="BD23" s="32"/>
      <c r="BE23" s="32"/>
      <c r="BF23" s="32">
        <f>Stock_year[[#This Row],[Vobanipur Opening4]]+Stock_year[[#This Row],[New Arrival (vobanipur)4]]+Stock_year[[#This Row],[Ulukhola to Vobanipur Transfer4]]</f>
        <v>452</v>
      </c>
      <c r="BG23" s="32">
        <f>Stock_year[[#This Row],[Ulukhola Opening4]]-Stock_year[[#This Row],[Ulukhola to Vobanipur Transfer4]]+Stock_year[[#This Row],[New Arrival(ulukhola)4]]</f>
        <v>0</v>
      </c>
      <c r="BH23" s="32">
        <f>Stock_year[[#This Row],[Vobanipur Total4]]+Stock_year[[#This Row],[Ulukhola Total4]]</f>
        <v>452</v>
      </c>
      <c r="BI23" s="32">
        <f>SUMIFS(Primary_Order[Total Qty],Primary_Order[Date],"&gt;="&amp;AY$1,Primary_Order[Date],"&lt;="&amp;EOMONTH(AY$1,0),Primary_Order[Product ID],Stock_year[[#This Row],[SKU ID]],Primary_Order[Status],'Stock Report'!$A$1)</f>
        <v>301</v>
      </c>
      <c r="BJ23" s="32">
        <f>Stock_year[[#This Row],[Vobanipur Total4]]-Stock_year[[#This Row],[Sold Qty(Piece)4]]</f>
        <v>151</v>
      </c>
      <c r="BK23" s="32">
        <f>Stock_year[[#This Row],[Ulukhola Total4]]</f>
        <v>0</v>
      </c>
      <c r="BL23" s="32">
        <f>VLOOKUP(Stock_year[[#This Row],[SKU ID]],SKU[],14,0)*(Stock_year[[#This Row],[Closing Stock Vobanipur4]]+Stock_year[[#This Row],[Closing Stock Ulukhola4]])</f>
        <v>34826.639999999999</v>
      </c>
      <c r="BM23" s="32">
        <f ca="1">Stock_year[[#This Row],[Closing Damage unit3]]</f>
        <v>407</v>
      </c>
      <c r="BN23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407</v>
      </c>
    </row>
    <row r="24" spans="1:66" x14ac:dyDescent="0.5">
      <c r="A24" t="s">
        <v>59</v>
      </c>
      <c r="B24" t="s">
        <v>783</v>
      </c>
      <c r="C24" s="329">
        <v>1994</v>
      </c>
      <c r="D24" s="322">
        <f>680+20</f>
        <v>700</v>
      </c>
      <c r="E24" s="3">
        <f>Stock_year[[#This Row],[Vobanipur Opening]]+Stock_year[[#This Row],[Ulukhola Opening]]</f>
        <v>2694</v>
      </c>
      <c r="F24" s="3">
        <f>VLOOKUP(Stock_year[[#This Row],[SKU ID]],SKU[[SKU ID]:[Bottle Size(Ltr)]],6,0)*Stock_year[[#This Row],[Opening Stock (Piece)]]</f>
        <v>2155.2000000000003</v>
      </c>
      <c r="G24" s="3">
        <v>20</v>
      </c>
      <c r="H24" s="3"/>
      <c r="I24" s="3"/>
      <c r="J24" s="3">
        <f>Stock_year[[#This Row],[Vobanipur Opening]]+Stock_year[[#This Row],[New Arrival (vobanipur)]]+Stock_year[[#This Row],[Ulukhola to Vobanipur Transfer]]</f>
        <v>2014</v>
      </c>
      <c r="K24" s="3">
        <f>Stock_year[[#This Row],[Ulukhola Opening]]+Stock_year[[#This Row],[New Arrival(ulukhola)]]-Stock_year[[#This Row],[Ulukhola to Vobanipur Transfer]]</f>
        <v>680</v>
      </c>
      <c r="L24" s="3">
        <f>Stock_year[[#This Row],[Opening Stock (Piece)]]+Stock_year[[#This Row],[New Arrival(ulukhola)]]</f>
        <v>2694</v>
      </c>
      <c r="M24" s="3">
        <f>SUMIFS(Primary_Order[Total Qty],Primary_Order[Date],"&gt;="&amp;C$1,Primary_Order[Date],"&lt;="&amp;EOMONTH(C$1,0),Primary_Order[Product ID],Stock_year[[#This Row],[SKU ID]],Primary_Order[Status],'Stock Report'!$A$1)</f>
        <v>820</v>
      </c>
      <c r="N24" s="3">
        <f>Stock_year[[#This Row],[Vobanipur Total]]-Stock_year[[#This Row],[Sold Qty(Piece)]]</f>
        <v>1194</v>
      </c>
      <c r="O24" s="3">
        <f>Stock_year[[#This Row],[Ulukhola Opening]]-Stock_year[[#This Row],[Ulukhola to Vobanipur Transfer]]+Stock_year[[#This Row],[New Arrival(ulukhola)]]</f>
        <v>680</v>
      </c>
      <c r="P24" s="3">
        <f>Stock_year[[#This Row],[Ulukhola Total]]</f>
        <v>680</v>
      </c>
      <c r="Q24" s="3">
        <v>25</v>
      </c>
      <c r="R2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25</v>
      </c>
      <c r="S24" s="303">
        <f>Stock_year[[#This Row],[Closing Stock Vobanipur]]</f>
        <v>1194</v>
      </c>
      <c r="T24" s="303">
        <f>Stock_year[[#This Row],[Closing Stock Ulukhola]]</f>
        <v>680</v>
      </c>
      <c r="U24" s="303">
        <f>Stock_year[[#This Row],[Vobanipur Opening2]]+Stock_year[[#This Row],[Ulukhola Opening2]]</f>
        <v>1874</v>
      </c>
      <c r="V24" s="303">
        <f>VLOOKUP(Stock_year[[#This Row],[SKU ID]],SKU[[SKU ID]:[Bottle Size(Ltr)]],6,0)*Stock_year[[#This Row],[Opening Stock (Piece)2]]</f>
        <v>1499.2</v>
      </c>
      <c r="W24" s="303">
        <v>680</v>
      </c>
      <c r="X24" s="303"/>
      <c r="Y24" s="303"/>
      <c r="Z24" s="303">
        <f>Stock_year[[#This Row],[Vobanipur Opening2]]+Stock_year[[#This Row],[Ulukhola to Vobanipur Transfer2]]+Stock_year[[#This Row],[New Arrival (vobanipur)2]]</f>
        <v>1874</v>
      </c>
      <c r="AA24" s="303">
        <f>Stock_year[[#This Row],[Ulukhola Opening2]]-Stock_year[[#This Row],[Ulukhola to Vobanipur Transfer2]]+Stock_year[[#This Row],[New Arrival(ulukhola)2]]</f>
        <v>0</v>
      </c>
      <c r="AB24" s="303">
        <f>Stock_year[[#This Row],[Vobanipur Total2]]+Stock_year[[#This Row],[Ulukhola Total2]]</f>
        <v>1874</v>
      </c>
      <c r="AC24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24" s="303">
        <f>Stock_year[[#This Row],[Vobanipur Total2]]-Stock_year[[#This Row],[Sold Qty(Piece)2]]</f>
        <v>1874</v>
      </c>
      <c r="AE24" s="303">
        <f>Stock_year[[#This Row],[Ulukhola Opening2]]-Stock_year[[#This Row],[Ulukhola to Vobanipur Transfer2]]+Stock_year[[#This Row],[New Arrival(ulukhola)2]]</f>
        <v>0</v>
      </c>
      <c r="AF24" s="303">
        <f>VLOOKUP(Stock_year[[#This Row],[SKU ID]],SKU[],14,0)*(Stock_year[[#This Row],[Closing Stock Vobanipur2]]+Stock_year[[#This Row],[Closing Stock Ulukhola2]])</f>
        <v>624660.41999999993</v>
      </c>
      <c r="AG24" s="303">
        <f ca="1">OFFSET(Stock_year[[#This Row],[Total Closing Stock Value2]],0,-14)</f>
        <v>25</v>
      </c>
      <c r="AH2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25</v>
      </c>
      <c r="AI24" s="302">
        <f>Stock_year[[#This Row],[Closing Stock Vobanipur2]]</f>
        <v>1874</v>
      </c>
      <c r="AJ24" s="303">
        <f>Stock_year[[#This Row],[Closing Stock Ulukhola2]]</f>
        <v>0</v>
      </c>
      <c r="AK24" s="303">
        <f>Stock_year[[#This Row],[Vobanipur Opening3]]+Stock_year[[#This Row],[Ulukhola Opening3]]</f>
        <v>1874</v>
      </c>
      <c r="AL24" s="303">
        <f>VLOOKUP(Stock_year[[#This Row],[SKU ID]],SKU[[SKU ID]:[Bottle Size(Ltr)]],6,0)*Stock_year[[#This Row],[Opening Stock (Piece)3]]</f>
        <v>1499.2</v>
      </c>
      <c r="AM24" s="303">
        <v>0</v>
      </c>
      <c r="AN24" s="303"/>
      <c r="AO24" s="303"/>
      <c r="AP24" s="303">
        <f>Stock_year[[#This Row],[Vobanipur Opening3]]+Stock_year[[#This Row],[New Arrival (vobanipur)3]]+Stock_year[[#This Row],[Ulukhola to Vobanipur Transfer3]]</f>
        <v>1874</v>
      </c>
      <c r="AQ24" s="303">
        <f>Stock_year[[#This Row],[Ulukhola Opening3]]-Stock_year[[#This Row],[Ulukhola to Vobanipur Transfer3]]+Stock_year[[#This Row],[New Arrival(ulukhola)3]]</f>
        <v>0</v>
      </c>
      <c r="AR24" s="303">
        <f>Stock_year[[#This Row],[Vobanipur Total3]]+Stock_year[[#This Row],[Ulukhola Total3]]</f>
        <v>1874</v>
      </c>
      <c r="AS24" s="303">
        <f>SUMIFS(Primary_Order[Total Qty],Primary_Order[Date],"&gt;="&amp;AI$1,Primary_Order[Date],"&lt;="&amp;EOMONTH(AI$1,0),Primary_Order[Product ID],Stock_year[[#This Row],[SKU ID]],Primary_Order[Status],'Stock Report'!$A$1)</f>
        <v>1101</v>
      </c>
      <c r="AT24" s="303">
        <f>Stock_year[[#This Row],[Vobanipur Total3]]-Stock_year[[#This Row],[Sold Qty(Piece)3]]</f>
        <v>773</v>
      </c>
      <c r="AU24" s="303">
        <f>Stock_year[[#This Row],[Ulukhola Total3]]</f>
        <v>0</v>
      </c>
      <c r="AV24" s="303">
        <f>VLOOKUP(Stock_year[[#This Row],[SKU ID]],SKU[],14,0)*(Stock_year[[#This Row],[Closing Stock Vobanipur3]]+Stock_year[[#This Row],[Closing Stock Ulukhola3]])</f>
        <v>257664.09</v>
      </c>
      <c r="AW24" s="303">
        <f ca="1">Stock_year[[#This Row],[Closing Damage unit2]]</f>
        <v>25</v>
      </c>
      <c r="AX2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25</v>
      </c>
      <c r="AY24" s="32">
        <f>Stock_year[[#This Row],[Closing Stock Vobanipur3]]</f>
        <v>773</v>
      </c>
      <c r="AZ24" s="32">
        <f>Stock_year[[#This Row],[Closing Stock Ulukhola3]]</f>
        <v>0</v>
      </c>
      <c r="BA24" s="32">
        <f>Stock_year[[#This Row],[Vobanipur Opening4]]+Stock_year[[#This Row],[Ulukhola Opening4]]</f>
        <v>773</v>
      </c>
      <c r="BB24" s="32">
        <f>VLOOKUP(Stock_year[[#This Row],[SKU ID]],SKU[[SKU ID]:[Bottle Size(Ltr)]],6,0)*Stock_year[[#This Row],[Opening Stock (Piece)4]]</f>
        <v>618.40000000000009</v>
      </c>
      <c r="BC24" s="32">
        <v>0</v>
      </c>
      <c r="BD24" s="32"/>
      <c r="BE24" s="32"/>
      <c r="BF24" s="32">
        <f>Stock_year[[#This Row],[Vobanipur Opening4]]+Stock_year[[#This Row],[New Arrival (vobanipur)4]]+Stock_year[[#This Row],[Ulukhola to Vobanipur Transfer4]]</f>
        <v>773</v>
      </c>
      <c r="BG24" s="32">
        <f>Stock_year[[#This Row],[Ulukhola Opening4]]-Stock_year[[#This Row],[Ulukhola to Vobanipur Transfer4]]+Stock_year[[#This Row],[New Arrival(ulukhola)4]]</f>
        <v>0</v>
      </c>
      <c r="BH24" s="32">
        <f>Stock_year[[#This Row],[Vobanipur Total4]]+Stock_year[[#This Row],[Ulukhola Total4]]</f>
        <v>773</v>
      </c>
      <c r="BI24" s="32">
        <f>SUMIFS(Primary_Order[Total Qty],Primary_Order[Date],"&gt;="&amp;AY$1,Primary_Order[Date],"&lt;="&amp;EOMONTH(AY$1,0),Primary_Order[Product ID],Stock_year[[#This Row],[SKU ID]],Primary_Order[Status],'Stock Report'!$A$1)</f>
        <v>300</v>
      </c>
      <c r="BJ24" s="32">
        <f>Stock_year[[#This Row],[Vobanipur Total4]]-Stock_year[[#This Row],[Sold Qty(Piece)4]]</f>
        <v>473</v>
      </c>
      <c r="BK24" s="32">
        <f>Stock_year[[#This Row],[Ulukhola Total4]]</f>
        <v>0</v>
      </c>
      <c r="BL24" s="32">
        <f>VLOOKUP(Stock_year[[#This Row],[SKU ID]],SKU[],14,0)*(Stock_year[[#This Row],[Closing Stock Vobanipur4]]+Stock_year[[#This Row],[Closing Stock Ulukhola4]])</f>
        <v>157665.09</v>
      </c>
      <c r="BM24" s="32">
        <f ca="1">Stock_year[[#This Row],[Closing Damage unit3]]</f>
        <v>25</v>
      </c>
      <c r="BN2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25</v>
      </c>
    </row>
    <row r="25" spans="1:66" x14ac:dyDescent="0.5">
      <c r="A25" t="s">
        <v>156</v>
      </c>
      <c r="B25" t="s">
        <v>784</v>
      </c>
      <c r="C25" s="329">
        <v>365</v>
      </c>
      <c r="D25" s="3">
        <v>456</v>
      </c>
      <c r="E25" s="3">
        <f>Stock_year[[#This Row],[Vobanipur Opening]]+Stock_year[[#This Row],[Ulukhola Opening]]</f>
        <v>821</v>
      </c>
      <c r="F25" s="3">
        <f>VLOOKUP(Stock_year[[#This Row],[SKU ID]],SKU[[SKU ID]:[Bottle Size(Ltr)]],6,0)*Stock_year[[#This Row],[Opening Stock (Piece)]]</f>
        <v>3284</v>
      </c>
      <c r="G25" s="3">
        <v>0</v>
      </c>
      <c r="H25" s="3"/>
      <c r="I25" s="3"/>
      <c r="J25" s="3">
        <f>Stock_year[[#This Row],[Vobanipur Opening]]+Stock_year[[#This Row],[New Arrival (vobanipur)]]+Stock_year[[#This Row],[Ulukhola to Vobanipur Transfer]]</f>
        <v>365</v>
      </c>
      <c r="K25" s="3">
        <f>Stock_year[[#This Row],[Ulukhola Opening]]+Stock_year[[#This Row],[New Arrival(ulukhola)]]-Stock_year[[#This Row],[Ulukhola to Vobanipur Transfer]]</f>
        <v>456</v>
      </c>
      <c r="L25" s="3">
        <f>Stock_year[[#This Row],[Opening Stock (Piece)]]+Stock_year[[#This Row],[New Arrival(ulukhola)]]</f>
        <v>821</v>
      </c>
      <c r="M25" s="3">
        <f>SUMIFS(Primary_Order[Total Qty],Primary_Order[Date],"&gt;="&amp;C$1,Primary_Order[Date],"&lt;="&amp;EOMONTH(C$1,0),Primary_Order[Product ID],Stock_year[[#This Row],[SKU ID]],Primary_Order[Status],'Stock Report'!$A$1)</f>
        <v>5</v>
      </c>
      <c r="N25" s="3">
        <f>Stock_year[[#This Row],[Vobanipur Total]]-Stock_year[[#This Row],[Sold Qty(Piece)]]</f>
        <v>360</v>
      </c>
      <c r="O25" s="3">
        <f>Stock_year[[#This Row],[Ulukhola Opening]]-Stock_year[[#This Row],[Ulukhola to Vobanipur Transfer]]+Stock_year[[#This Row],[New Arrival(ulukhola)]]</f>
        <v>456</v>
      </c>
      <c r="P25" s="3">
        <f>Stock_year[[#This Row],[Ulukhola Total]]</f>
        <v>456</v>
      </c>
      <c r="Q25" s="3">
        <v>2</v>
      </c>
      <c r="R2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25" s="303">
        <f>Stock_year[[#This Row],[Closing Stock Vobanipur]]</f>
        <v>360</v>
      </c>
      <c r="T25" s="303">
        <f>Stock_year[[#This Row],[Closing Stock Ulukhola]]</f>
        <v>456</v>
      </c>
      <c r="U25" s="303">
        <f>Stock_year[[#This Row],[Vobanipur Opening2]]+Stock_year[[#This Row],[Ulukhola Opening2]]</f>
        <v>816</v>
      </c>
      <c r="V25" s="303">
        <f>VLOOKUP(Stock_year[[#This Row],[SKU ID]],SKU[[SKU ID]:[Bottle Size(Ltr)]],6,0)*Stock_year[[#This Row],[Opening Stock (Piece)2]]</f>
        <v>3264</v>
      </c>
      <c r="W25" s="303">
        <v>0</v>
      </c>
      <c r="X25" s="303"/>
      <c r="Y25" s="303"/>
      <c r="Z25" s="303">
        <f>Stock_year[[#This Row],[Vobanipur Opening2]]+Stock_year[[#This Row],[Ulukhola to Vobanipur Transfer2]]+Stock_year[[#This Row],[New Arrival (vobanipur)2]]</f>
        <v>360</v>
      </c>
      <c r="AA25" s="303">
        <f>Stock_year[[#This Row],[Ulukhola Opening2]]-Stock_year[[#This Row],[Ulukhola to Vobanipur Transfer2]]+Stock_year[[#This Row],[New Arrival(ulukhola)2]]</f>
        <v>456</v>
      </c>
      <c r="AB25" s="303">
        <f>Stock_year[[#This Row],[Vobanipur Total2]]+Stock_year[[#This Row],[Ulukhola Total2]]</f>
        <v>816</v>
      </c>
      <c r="AC25" s="303">
        <f>SUMIFS(Primary_Order[Total Qty],Primary_Order[Date],"&gt;="&amp;S$1,Primary_Order[Date],"&lt;="&amp;EOMONTH(S$1,0),Primary_Order[Product ID],Stock_year[[#This Row],[SKU ID]],Primary_Order[Status],'Stock Report'!$A$1)</f>
        <v>2</v>
      </c>
      <c r="AD25" s="303">
        <f>Stock_year[[#This Row],[Vobanipur Total2]]-Stock_year[[#This Row],[Sold Qty(Piece)2]]</f>
        <v>358</v>
      </c>
      <c r="AE25" s="303">
        <f>Stock_year[[#This Row],[Ulukhola Opening2]]-Stock_year[[#This Row],[Ulukhola to Vobanipur Transfer2]]+Stock_year[[#This Row],[New Arrival(ulukhola)2]]</f>
        <v>456</v>
      </c>
      <c r="AF25" s="303">
        <f>VLOOKUP(Stock_year[[#This Row],[SKU ID]],SKU[],14,0)*(Stock_year[[#This Row],[Closing Stock Vobanipur2]]+Stock_year[[#This Row],[Closing Stock Ulukhola2]])</f>
        <v>891696.3</v>
      </c>
      <c r="AG25" s="303">
        <f ca="1">OFFSET(Stock_year[[#This Row],[Total Closing Stock Value2]],0,-14)</f>
        <v>2</v>
      </c>
      <c r="AH2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25" s="302">
        <f>Stock_year[[#This Row],[Closing Stock Vobanipur2]]</f>
        <v>358</v>
      </c>
      <c r="AJ25" s="303">
        <f>Stock_year[[#This Row],[Closing Stock Ulukhola2]]</f>
        <v>456</v>
      </c>
      <c r="AK25" s="303">
        <f>Stock_year[[#This Row],[Vobanipur Opening3]]+Stock_year[[#This Row],[Ulukhola Opening3]]</f>
        <v>814</v>
      </c>
      <c r="AL25" s="303">
        <f>VLOOKUP(Stock_year[[#This Row],[SKU ID]],SKU[[SKU ID]:[Bottle Size(Ltr)]],6,0)*Stock_year[[#This Row],[Opening Stock (Piece)3]]</f>
        <v>3256</v>
      </c>
      <c r="AM25" s="303">
        <v>0</v>
      </c>
      <c r="AN25" s="303"/>
      <c r="AO25" s="303"/>
      <c r="AP25" s="303">
        <f>Stock_year[[#This Row],[Vobanipur Opening3]]+Stock_year[[#This Row],[New Arrival (vobanipur)3]]+Stock_year[[#This Row],[Ulukhola to Vobanipur Transfer3]]</f>
        <v>358</v>
      </c>
      <c r="AQ25" s="303">
        <f>Stock_year[[#This Row],[Ulukhola Opening3]]-Stock_year[[#This Row],[Ulukhola to Vobanipur Transfer3]]+Stock_year[[#This Row],[New Arrival(ulukhola)3]]</f>
        <v>456</v>
      </c>
      <c r="AR25" s="303">
        <f>Stock_year[[#This Row],[Vobanipur Total3]]+Stock_year[[#This Row],[Ulukhola Total3]]</f>
        <v>814</v>
      </c>
      <c r="AS25" s="303">
        <f>SUMIFS(Primary_Order[Total Qty],Primary_Order[Date],"&gt;="&amp;AI$1,Primary_Order[Date],"&lt;="&amp;EOMONTH(AI$1,0),Primary_Order[Product ID],Stock_year[[#This Row],[SKU ID]],Primary_Order[Status],'Stock Report'!$A$1)</f>
        <v>200</v>
      </c>
      <c r="AT25" s="303">
        <f>Stock_year[[#This Row],[Vobanipur Total3]]-Stock_year[[#This Row],[Sold Qty(Piece)3]]</f>
        <v>158</v>
      </c>
      <c r="AU25" s="303">
        <f>Stock_year[[#This Row],[Ulukhola Total3]]</f>
        <v>456</v>
      </c>
      <c r="AV25" s="303">
        <f>VLOOKUP(Stock_year[[#This Row],[SKU ID]],SKU[],14,0)*(Stock_year[[#This Row],[Closing Stock Vobanipur3]]+Stock_year[[#This Row],[Closing Stock Ulukhola3]])</f>
        <v>672606.3</v>
      </c>
      <c r="AW25" s="303">
        <f ca="1">Stock_year[[#This Row],[Closing Damage unit2]]</f>
        <v>2</v>
      </c>
      <c r="AX2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25" s="32">
        <f>Stock_year[[#This Row],[Closing Stock Vobanipur3]]</f>
        <v>158</v>
      </c>
      <c r="AZ25" s="32">
        <f>Stock_year[[#This Row],[Closing Stock Ulukhola3]]</f>
        <v>456</v>
      </c>
      <c r="BA25" s="32">
        <f>Stock_year[[#This Row],[Vobanipur Opening4]]+Stock_year[[#This Row],[Ulukhola Opening4]]</f>
        <v>614</v>
      </c>
      <c r="BB25" s="32">
        <f>VLOOKUP(Stock_year[[#This Row],[SKU ID]],SKU[[SKU ID]:[Bottle Size(Ltr)]],6,0)*Stock_year[[#This Row],[Opening Stock (Piece)4]]</f>
        <v>2456</v>
      </c>
      <c r="BC25" s="366">
        <f>232+224</f>
        <v>456</v>
      </c>
      <c r="BD25" s="32"/>
      <c r="BE25" s="32"/>
      <c r="BF25" s="32">
        <f>Stock_year[[#This Row],[Vobanipur Opening4]]+Stock_year[[#This Row],[New Arrival (vobanipur)4]]+Stock_year[[#This Row],[Ulukhola to Vobanipur Transfer4]]</f>
        <v>614</v>
      </c>
      <c r="BG25" s="32">
        <f>Stock_year[[#This Row],[Ulukhola Opening4]]-Stock_year[[#This Row],[Ulukhola to Vobanipur Transfer4]]+Stock_year[[#This Row],[New Arrival(ulukhola)4]]</f>
        <v>0</v>
      </c>
      <c r="BH25" s="32">
        <f>Stock_year[[#This Row],[Vobanipur Total4]]+Stock_year[[#This Row],[Ulukhola Total4]]</f>
        <v>614</v>
      </c>
      <c r="BI25" s="32">
        <f>SUMIFS(Primary_Order[Total Qty],Primary_Order[Date],"&gt;="&amp;AY$1,Primary_Order[Date],"&lt;="&amp;EOMONTH(AY$1,0),Primary_Order[Product ID],Stock_year[[#This Row],[SKU ID]],Primary_Order[Status],'Stock Report'!$A$1)</f>
        <v>444</v>
      </c>
      <c r="BJ25" s="32">
        <f>Stock_year[[#This Row],[Vobanipur Total4]]-Stock_year[[#This Row],[Sold Qty(Piece)4]]</f>
        <v>170</v>
      </c>
      <c r="BK25" s="32">
        <f>Stock_year[[#This Row],[Ulukhola Total4]]</f>
        <v>0</v>
      </c>
      <c r="BL25" s="32">
        <f>VLOOKUP(Stock_year[[#This Row],[SKU ID]],SKU[],14,0)*(Stock_year[[#This Row],[Closing Stock Vobanipur4]]+Stock_year[[#This Row],[Closing Stock Ulukhola4]])</f>
        <v>186226.5</v>
      </c>
      <c r="BM25" s="32">
        <f ca="1">Stock_year[[#This Row],[Closing Damage unit3]]</f>
        <v>2</v>
      </c>
      <c r="BN2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26" spans="1:66" x14ac:dyDescent="0.5">
      <c r="A26" t="s">
        <v>147</v>
      </c>
      <c r="B26" t="s">
        <v>785</v>
      </c>
      <c r="C26" s="329">
        <v>552</v>
      </c>
      <c r="D26" s="3">
        <v>0</v>
      </c>
      <c r="E26" s="3">
        <f>Stock_year[[#This Row],[Vobanipur Opening]]+Stock_year[[#This Row],[Ulukhola Opening]]</f>
        <v>552</v>
      </c>
      <c r="F26" s="3">
        <f>VLOOKUP(Stock_year[[#This Row],[SKU ID]],SKU[[SKU ID]:[Bottle Size(Ltr)]],6,0)*Stock_year[[#This Row],[Opening Stock (Piece)]]</f>
        <v>220.8</v>
      </c>
      <c r="G26" s="3">
        <v>0</v>
      </c>
      <c r="H26" s="3"/>
      <c r="I26" s="3"/>
      <c r="J26" s="3">
        <f>Stock_year[[#This Row],[Vobanipur Opening]]+Stock_year[[#This Row],[New Arrival (vobanipur)]]+Stock_year[[#This Row],[Ulukhola to Vobanipur Transfer]]</f>
        <v>552</v>
      </c>
      <c r="K26" s="3">
        <f>Stock_year[[#This Row],[Ulukhola Opening]]+Stock_year[[#This Row],[New Arrival(ulukhola)]]-Stock_year[[#This Row],[Ulukhola to Vobanipur Transfer]]</f>
        <v>0</v>
      </c>
      <c r="L26" s="3">
        <f>Stock_year[[#This Row],[Opening Stock (Piece)]]+Stock_year[[#This Row],[New Arrival(ulukhola)]]</f>
        <v>552</v>
      </c>
      <c r="M26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26" s="3">
        <f>Stock_year[[#This Row],[Vobanipur Total]]-Stock_year[[#This Row],[Sold Qty(Piece)]]</f>
        <v>552</v>
      </c>
      <c r="O26" s="3">
        <f>Stock_year[[#This Row],[Ulukhola Opening]]-Stock_year[[#This Row],[Ulukhola to Vobanipur Transfer]]+Stock_year[[#This Row],[New Arrival(ulukhola)]]</f>
        <v>0</v>
      </c>
      <c r="P26" s="3">
        <f>Stock_year[[#This Row],[Ulukhola Total]]</f>
        <v>0</v>
      </c>
      <c r="Q26" s="3">
        <v>5</v>
      </c>
      <c r="R2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5</v>
      </c>
      <c r="S26" s="303">
        <f>Stock_year[[#This Row],[Closing Stock Vobanipur]]</f>
        <v>552</v>
      </c>
      <c r="T26" s="303">
        <f>Stock_year[[#This Row],[Closing Stock Ulukhola]]</f>
        <v>0</v>
      </c>
      <c r="U26" s="303">
        <f>Stock_year[[#This Row],[Vobanipur Opening2]]+Stock_year[[#This Row],[Ulukhola Opening2]]</f>
        <v>552</v>
      </c>
      <c r="V26" s="303">
        <f>VLOOKUP(Stock_year[[#This Row],[SKU ID]],SKU[[SKU ID]:[Bottle Size(Ltr)]],6,0)*Stock_year[[#This Row],[Opening Stock (Piece)2]]</f>
        <v>220.8</v>
      </c>
      <c r="W26" s="303">
        <v>0</v>
      </c>
      <c r="X26" s="303"/>
      <c r="Y26" s="303"/>
      <c r="Z26" s="303">
        <f>Stock_year[[#This Row],[Vobanipur Opening2]]+Stock_year[[#This Row],[Ulukhola to Vobanipur Transfer2]]+Stock_year[[#This Row],[New Arrival (vobanipur)2]]</f>
        <v>552</v>
      </c>
      <c r="AA26" s="303">
        <f>Stock_year[[#This Row],[Ulukhola Opening2]]-Stock_year[[#This Row],[Ulukhola to Vobanipur Transfer2]]+Stock_year[[#This Row],[New Arrival(ulukhola)2]]</f>
        <v>0</v>
      </c>
      <c r="AB26" s="303">
        <f>Stock_year[[#This Row],[Vobanipur Total2]]+Stock_year[[#This Row],[Ulukhola Total2]]</f>
        <v>552</v>
      </c>
      <c r="AC26" s="303">
        <f>SUMIFS(Primary_Order[Total Qty],Primary_Order[Date],"&gt;="&amp;S$1,Primary_Order[Date],"&lt;="&amp;EOMONTH(S$1,0),Primary_Order[Product ID],Stock_year[[#This Row],[SKU ID]],Primary_Order[Status],'Stock Report'!$A$1)</f>
        <v>552</v>
      </c>
      <c r="AD26" s="303">
        <f>Stock_year[[#This Row],[Vobanipur Total2]]-Stock_year[[#This Row],[Sold Qty(Piece)2]]</f>
        <v>0</v>
      </c>
      <c r="AE26" s="303">
        <f>Stock_year[[#This Row],[Ulukhola Opening2]]-Stock_year[[#This Row],[Ulukhola to Vobanipur Transfer2]]+Stock_year[[#This Row],[New Arrival(ulukhola)2]]</f>
        <v>0</v>
      </c>
      <c r="AF26" s="303">
        <f>VLOOKUP(Stock_year[[#This Row],[SKU ID]],SKU[],14,0)*(Stock_year[[#This Row],[Closing Stock Vobanipur2]]+Stock_year[[#This Row],[Closing Stock Ulukhola2]])</f>
        <v>0</v>
      </c>
      <c r="AG26" s="303">
        <f ca="1">OFFSET(Stock_year[[#This Row],[Total Closing Stock Value2]],0,-14)</f>
        <v>5</v>
      </c>
      <c r="AH2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5</v>
      </c>
      <c r="AI26" s="302">
        <f>Stock_year[[#This Row],[Closing Stock Vobanipur2]]</f>
        <v>0</v>
      </c>
      <c r="AJ26" s="303">
        <f>Stock_year[[#This Row],[Closing Stock Ulukhola2]]</f>
        <v>0</v>
      </c>
      <c r="AK26" s="303">
        <f>Stock_year[[#This Row],[Vobanipur Opening3]]+Stock_year[[#This Row],[Ulukhola Opening3]]</f>
        <v>0</v>
      </c>
      <c r="AL26" s="303">
        <f>VLOOKUP(Stock_year[[#This Row],[SKU ID]],SKU[[SKU ID]:[Bottle Size(Ltr)]],6,0)*Stock_year[[#This Row],[Opening Stock (Piece)3]]</f>
        <v>0</v>
      </c>
      <c r="AM26" s="303">
        <v>0</v>
      </c>
      <c r="AN26" s="303"/>
      <c r="AO26" s="303"/>
      <c r="AP26" s="303">
        <f>Stock_year[[#This Row],[Vobanipur Opening3]]+Stock_year[[#This Row],[New Arrival (vobanipur)3]]+Stock_year[[#This Row],[Ulukhola to Vobanipur Transfer3]]</f>
        <v>0</v>
      </c>
      <c r="AQ26" s="303">
        <f>Stock_year[[#This Row],[Ulukhola Opening3]]-Stock_year[[#This Row],[Ulukhola to Vobanipur Transfer3]]+Stock_year[[#This Row],[New Arrival(ulukhola)3]]</f>
        <v>0</v>
      </c>
      <c r="AR26" s="303">
        <f>Stock_year[[#This Row],[Vobanipur Total3]]+Stock_year[[#This Row],[Ulukhola Total3]]</f>
        <v>0</v>
      </c>
      <c r="AS26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6" s="303">
        <f>Stock_year[[#This Row],[Vobanipur Total3]]-Stock_year[[#This Row],[Sold Qty(Piece)3]]</f>
        <v>0</v>
      </c>
      <c r="AU26" s="303">
        <f>Stock_year[[#This Row],[Ulukhola Total3]]</f>
        <v>0</v>
      </c>
      <c r="AV26" s="303">
        <f>VLOOKUP(Stock_year[[#This Row],[SKU ID]],SKU[],14,0)*(Stock_year[[#This Row],[Closing Stock Vobanipur3]]+Stock_year[[#This Row],[Closing Stock Ulukhola3]])</f>
        <v>0</v>
      </c>
      <c r="AW26" s="303">
        <f ca="1">Stock_year[[#This Row],[Closing Damage unit2]]</f>
        <v>5</v>
      </c>
      <c r="AX2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5</v>
      </c>
      <c r="AY26" s="32">
        <f>Stock_year[[#This Row],[Closing Stock Vobanipur3]]</f>
        <v>0</v>
      </c>
      <c r="AZ26" s="32">
        <f>Stock_year[[#This Row],[Closing Stock Ulukhola3]]</f>
        <v>0</v>
      </c>
      <c r="BA26" s="32">
        <f>Stock_year[[#This Row],[Vobanipur Opening4]]+Stock_year[[#This Row],[Ulukhola Opening4]]</f>
        <v>0</v>
      </c>
      <c r="BB26" s="32">
        <f>VLOOKUP(Stock_year[[#This Row],[SKU ID]],SKU[[SKU ID]:[Bottle Size(Ltr)]],6,0)*Stock_year[[#This Row],[Opening Stock (Piece)4]]</f>
        <v>0</v>
      </c>
      <c r="BC26" s="32">
        <v>0</v>
      </c>
      <c r="BD26" s="32"/>
      <c r="BE26" s="32"/>
      <c r="BF26" s="32">
        <f>Stock_year[[#This Row],[Vobanipur Opening4]]+Stock_year[[#This Row],[New Arrival (vobanipur)4]]+Stock_year[[#This Row],[Ulukhola to Vobanipur Transfer4]]</f>
        <v>0</v>
      </c>
      <c r="BG26" s="32">
        <f>Stock_year[[#This Row],[Ulukhola Opening4]]-Stock_year[[#This Row],[Ulukhola to Vobanipur Transfer4]]+Stock_year[[#This Row],[New Arrival(ulukhola)4]]</f>
        <v>0</v>
      </c>
      <c r="BH26" s="32">
        <f>Stock_year[[#This Row],[Vobanipur Total4]]+Stock_year[[#This Row],[Ulukhola Total4]]</f>
        <v>0</v>
      </c>
      <c r="BI26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6" s="32">
        <f>Stock_year[[#This Row],[Vobanipur Total4]]-Stock_year[[#This Row],[Sold Qty(Piece)4]]</f>
        <v>0</v>
      </c>
      <c r="BK26" s="32">
        <f>Stock_year[[#This Row],[Ulukhola Total4]]</f>
        <v>0</v>
      </c>
      <c r="BL26" s="32">
        <f>VLOOKUP(Stock_year[[#This Row],[SKU ID]],SKU[],14,0)*(Stock_year[[#This Row],[Closing Stock Vobanipur4]]+Stock_year[[#This Row],[Closing Stock Ulukhola4]])</f>
        <v>0</v>
      </c>
      <c r="BM26" s="32">
        <f ca="1">Stock_year[[#This Row],[Closing Damage unit3]]</f>
        <v>5</v>
      </c>
      <c r="BN2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5</v>
      </c>
    </row>
    <row r="27" spans="1:66" x14ac:dyDescent="0.5">
      <c r="A27" t="s">
        <v>126</v>
      </c>
      <c r="B27" t="s">
        <v>786</v>
      </c>
      <c r="C27" s="329">
        <v>260</v>
      </c>
      <c r="D27" s="3">
        <v>0</v>
      </c>
      <c r="E27" s="3">
        <f>Stock_year[[#This Row],[Vobanipur Opening]]+Stock_year[[#This Row],[Ulukhola Opening]]</f>
        <v>260</v>
      </c>
      <c r="F27" s="3">
        <f>VLOOKUP(Stock_year[[#This Row],[SKU ID]],SKU[[SKU ID]:[Bottle Size(Ltr)]],6,0)*Stock_year[[#This Row],[Opening Stock (Piece)]]</f>
        <v>39</v>
      </c>
      <c r="G27" s="3">
        <v>0</v>
      </c>
      <c r="H27" s="3"/>
      <c r="I27" s="3"/>
      <c r="J27" s="3">
        <f>Stock_year[[#This Row],[Vobanipur Opening]]+Stock_year[[#This Row],[New Arrival (vobanipur)]]+Stock_year[[#This Row],[Ulukhola to Vobanipur Transfer]]</f>
        <v>260</v>
      </c>
      <c r="K27" s="3">
        <f>Stock_year[[#This Row],[Ulukhola Opening]]+Stock_year[[#This Row],[New Arrival(ulukhola)]]-Stock_year[[#This Row],[Ulukhola to Vobanipur Transfer]]</f>
        <v>0</v>
      </c>
      <c r="L27" s="3">
        <f>Stock_year[[#This Row],[Opening Stock (Piece)]]+Stock_year[[#This Row],[New Arrival(ulukhola)]]</f>
        <v>260</v>
      </c>
      <c r="M27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27" s="3">
        <f>Stock_year[[#This Row],[Vobanipur Total]]-Stock_year[[#This Row],[Sold Qty(Piece)]]</f>
        <v>260</v>
      </c>
      <c r="O27" s="3">
        <f>Stock_year[[#This Row],[Ulukhola Opening]]-Stock_year[[#This Row],[Ulukhola to Vobanipur Transfer]]+Stock_year[[#This Row],[New Arrival(ulukhola)]]</f>
        <v>0</v>
      </c>
      <c r="P27" s="3">
        <f>Stock_year[[#This Row],[Ulukhola Total]]</f>
        <v>0</v>
      </c>
      <c r="Q27" s="3">
        <v>8</v>
      </c>
      <c r="R2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8</v>
      </c>
      <c r="S27" s="303">
        <f>Stock_year[[#This Row],[Closing Stock Vobanipur]]</f>
        <v>260</v>
      </c>
      <c r="T27" s="303">
        <f>Stock_year[[#This Row],[Closing Stock Ulukhola]]</f>
        <v>0</v>
      </c>
      <c r="U27" s="303">
        <f>Stock_year[[#This Row],[Vobanipur Opening2]]+Stock_year[[#This Row],[Ulukhola Opening2]]</f>
        <v>260</v>
      </c>
      <c r="V27" s="303">
        <f>VLOOKUP(Stock_year[[#This Row],[SKU ID]],SKU[[SKU ID]:[Bottle Size(Ltr)]],6,0)*Stock_year[[#This Row],[Opening Stock (Piece)2]]</f>
        <v>39</v>
      </c>
      <c r="W27" s="303">
        <v>0</v>
      </c>
      <c r="X27" s="303"/>
      <c r="Y27" s="303"/>
      <c r="Z27" s="303">
        <f>Stock_year[[#This Row],[Vobanipur Opening2]]+Stock_year[[#This Row],[Ulukhola to Vobanipur Transfer2]]+Stock_year[[#This Row],[New Arrival (vobanipur)2]]</f>
        <v>260</v>
      </c>
      <c r="AA27" s="303">
        <f>Stock_year[[#This Row],[Ulukhola Opening2]]-Stock_year[[#This Row],[Ulukhola to Vobanipur Transfer2]]+Stock_year[[#This Row],[New Arrival(ulukhola)2]]</f>
        <v>0</v>
      </c>
      <c r="AB27" s="303">
        <f>Stock_year[[#This Row],[Vobanipur Total2]]+Stock_year[[#This Row],[Ulukhola Total2]]</f>
        <v>260</v>
      </c>
      <c r="AC27" s="303">
        <f>SUMIFS(Primary_Order[Total Qty],Primary_Order[Date],"&gt;="&amp;S$1,Primary_Order[Date],"&lt;="&amp;EOMONTH(S$1,0),Primary_Order[Product ID],Stock_year[[#This Row],[SKU ID]],Primary_Order[Status],'Stock Report'!$A$1)</f>
        <v>260</v>
      </c>
      <c r="AD27" s="303">
        <f>Stock_year[[#This Row],[Vobanipur Total2]]-Stock_year[[#This Row],[Sold Qty(Piece)2]]</f>
        <v>0</v>
      </c>
      <c r="AE27" s="303">
        <f>Stock_year[[#This Row],[Ulukhola Opening2]]-Stock_year[[#This Row],[Ulukhola to Vobanipur Transfer2]]+Stock_year[[#This Row],[New Arrival(ulukhola)2]]</f>
        <v>0</v>
      </c>
      <c r="AF27" s="303">
        <f>VLOOKUP(Stock_year[[#This Row],[SKU ID]],SKU[],14,0)*(Stock_year[[#This Row],[Closing Stock Vobanipur2]]+Stock_year[[#This Row],[Closing Stock Ulukhola2]])</f>
        <v>0</v>
      </c>
      <c r="AG27" s="303">
        <f ca="1">OFFSET(Stock_year[[#This Row],[Total Closing Stock Value2]],0,-14)</f>
        <v>8</v>
      </c>
      <c r="AH2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8</v>
      </c>
      <c r="AI27" s="302">
        <f>Stock_year[[#This Row],[Closing Stock Vobanipur2]]</f>
        <v>0</v>
      </c>
      <c r="AJ27" s="303">
        <f>Stock_year[[#This Row],[Closing Stock Ulukhola2]]</f>
        <v>0</v>
      </c>
      <c r="AK27" s="303">
        <f>Stock_year[[#This Row],[Vobanipur Opening3]]+Stock_year[[#This Row],[Ulukhola Opening3]]</f>
        <v>0</v>
      </c>
      <c r="AL27" s="303">
        <f>VLOOKUP(Stock_year[[#This Row],[SKU ID]],SKU[[SKU ID]:[Bottle Size(Ltr)]],6,0)*Stock_year[[#This Row],[Opening Stock (Piece)3]]</f>
        <v>0</v>
      </c>
      <c r="AM27" s="303">
        <v>0</v>
      </c>
      <c r="AN27" s="303"/>
      <c r="AO27" s="303"/>
      <c r="AP27" s="303">
        <f>Stock_year[[#This Row],[Vobanipur Opening3]]+Stock_year[[#This Row],[New Arrival (vobanipur)3]]+Stock_year[[#This Row],[Ulukhola to Vobanipur Transfer3]]</f>
        <v>0</v>
      </c>
      <c r="AQ27" s="303">
        <f>Stock_year[[#This Row],[Ulukhola Opening3]]-Stock_year[[#This Row],[Ulukhola to Vobanipur Transfer3]]+Stock_year[[#This Row],[New Arrival(ulukhola)3]]</f>
        <v>0</v>
      </c>
      <c r="AR27" s="303">
        <f>Stock_year[[#This Row],[Vobanipur Total3]]+Stock_year[[#This Row],[Ulukhola Total3]]</f>
        <v>0</v>
      </c>
      <c r="AS27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7" s="303">
        <f>Stock_year[[#This Row],[Vobanipur Total3]]-Stock_year[[#This Row],[Sold Qty(Piece)3]]</f>
        <v>0</v>
      </c>
      <c r="AU27" s="303">
        <f>Stock_year[[#This Row],[Ulukhola Total3]]</f>
        <v>0</v>
      </c>
      <c r="AV27" s="303">
        <f>VLOOKUP(Stock_year[[#This Row],[SKU ID]],SKU[],14,0)*(Stock_year[[#This Row],[Closing Stock Vobanipur3]]+Stock_year[[#This Row],[Closing Stock Ulukhola3]])</f>
        <v>0</v>
      </c>
      <c r="AW27" s="303">
        <f ca="1">Stock_year[[#This Row],[Closing Damage unit2]]</f>
        <v>8</v>
      </c>
      <c r="AX2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8</v>
      </c>
      <c r="AY27" s="32">
        <f>Stock_year[[#This Row],[Closing Stock Vobanipur3]]</f>
        <v>0</v>
      </c>
      <c r="AZ27" s="32">
        <f>Stock_year[[#This Row],[Closing Stock Ulukhola3]]</f>
        <v>0</v>
      </c>
      <c r="BA27" s="32">
        <f>Stock_year[[#This Row],[Vobanipur Opening4]]+Stock_year[[#This Row],[Ulukhola Opening4]]</f>
        <v>0</v>
      </c>
      <c r="BB27" s="32">
        <f>VLOOKUP(Stock_year[[#This Row],[SKU ID]],SKU[[SKU ID]:[Bottle Size(Ltr)]],6,0)*Stock_year[[#This Row],[Opening Stock (Piece)4]]</f>
        <v>0</v>
      </c>
      <c r="BC27" s="32">
        <v>0</v>
      </c>
      <c r="BD27" s="32"/>
      <c r="BE27" s="32"/>
      <c r="BF27" s="32">
        <f>Stock_year[[#This Row],[Vobanipur Opening4]]+Stock_year[[#This Row],[New Arrival (vobanipur)4]]+Stock_year[[#This Row],[Ulukhola to Vobanipur Transfer4]]</f>
        <v>0</v>
      </c>
      <c r="BG27" s="32">
        <f>Stock_year[[#This Row],[Ulukhola Opening4]]-Stock_year[[#This Row],[Ulukhola to Vobanipur Transfer4]]+Stock_year[[#This Row],[New Arrival(ulukhola)4]]</f>
        <v>0</v>
      </c>
      <c r="BH27" s="32">
        <f>Stock_year[[#This Row],[Vobanipur Total4]]+Stock_year[[#This Row],[Ulukhola Total4]]</f>
        <v>0</v>
      </c>
      <c r="BI27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7" s="32">
        <f>Stock_year[[#This Row],[Vobanipur Total4]]-Stock_year[[#This Row],[Sold Qty(Piece)4]]</f>
        <v>0</v>
      </c>
      <c r="BK27" s="32">
        <f>Stock_year[[#This Row],[Ulukhola Total4]]</f>
        <v>0</v>
      </c>
      <c r="BL27" s="32">
        <f>VLOOKUP(Stock_year[[#This Row],[SKU ID]],SKU[],14,0)*(Stock_year[[#This Row],[Closing Stock Vobanipur4]]+Stock_year[[#This Row],[Closing Stock Ulukhola4]])</f>
        <v>0</v>
      </c>
      <c r="BM27" s="32">
        <f ca="1">Stock_year[[#This Row],[Closing Damage unit3]]</f>
        <v>8</v>
      </c>
      <c r="BN2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8</v>
      </c>
    </row>
    <row r="28" spans="1:66" x14ac:dyDescent="0.5">
      <c r="A28" t="s">
        <v>148</v>
      </c>
      <c r="B28" t="s">
        <v>787</v>
      </c>
      <c r="C28" s="329">
        <v>255</v>
      </c>
      <c r="D28" s="3">
        <v>0</v>
      </c>
      <c r="E28" s="3">
        <f>Stock_year[[#This Row],[Vobanipur Opening]]+Stock_year[[#This Row],[Ulukhola Opening]]</f>
        <v>255</v>
      </c>
      <c r="F28" s="3">
        <f>VLOOKUP(Stock_year[[#This Row],[SKU ID]],SKU[[SKU ID]:[Bottle Size(Ltr)]],6,0)*Stock_year[[#This Row],[Opening Stock (Piece)]]</f>
        <v>102</v>
      </c>
      <c r="G28" s="3">
        <v>0</v>
      </c>
      <c r="H28" s="3"/>
      <c r="I28" s="3"/>
      <c r="J28" s="3">
        <f>Stock_year[[#This Row],[Vobanipur Opening]]+Stock_year[[#This Row],[New Arrival (vobanipur)]]+Stock_year[[#This Row],[Ulukhola to Vobanipur Transfer]]</f>
        <v>255</v>
      </c>
      <c r="K28" s="3">
        <f>Stock_year[[#This Row],[Ulukhola Opening]]+Stock_year[[#This Row],[New Arrival(ulukhola)]]-Stock_year[[#This Row],[Ulukhola to Vobanipur Transfer]]</f>
        <v>0</v>
      </c>
      <c r="L28" s="3">
        <f>Stock_year[[#This Row],[Opening Stock (Piece)]]+Stock_year[[#This Row],[New Arrival(ulukhola)]]</f>
        <v>255</v>
      </c>
      <c r="M28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28" s="3">
        <f>Stock_year[[#This Row],[Vobanipur Total]]-Stock_year[[#This Row],[Sold Qty(Piece)]]</f>
        <v>255</v>
      </c>
      <c r="O28" s="3">
        <f>Stock_year[[#This Row],[Ulukhola Opening]]-Stock_year[[#This Row],[Ulukhola to Vobanipur Transfer]]+Stock_year[[#This Row],[New Arrival(ulukhola)]]</f>
        <v>0</v>
      </c>
      <c r="P28" s="3">
        <f>Stock_year[[#This Row],[Ulukhola Total]]</f>
        <v>0</v>
      </c>
      <c r="Q28" s="3">
        <v>13</v>
      </c>
      <c r="R2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13</v>
      </c>
      <c r="S28" s="303">
        <f>Stock_year[[#This Row],[Closing Stock Vobanipur]]</f>
        <v>255</v>
      </c>
      <c r="T28" s="303">
        <f>Stock_year[[#This Row],[Closing Stock Ulukhola]]</f>
        <v>0</v>
      </c>
      <c r="U28" s="303">
        <f>Stock_year[[#This Row],[Vobanipur Opening2]]+Stock_year[[#This Row],[Ulukhola Opening2]]</f>
        <v>255</v>
      </c>
      <c r="V28" s="303">
        <f>VLOOKUP(Stock_year[[#This Row],[SKU ID]],SKU[[SKU ID]:[Bottle Size(Ltr)]],6,0)*Stock_year[[#This Row],[Opening Stock (Piece)2]]</f>
        <v>102</v>
      </c>
      <c r="W28" s="303">
        <v>0</v>
      </c>
      <c r="X28" s="303"/>
      <c r="Y28" s="303"/>
      <c r="Z28" s="303">
        <f>Stock_year[[#This Row],[Vobanipur Opening2]]+Stock_year[[#This Row],[Ulukhola to Vobanipur Transfer2]]+Stock_year[[#This Row],[New Arrival (vobanipur)2]]</f>
        <v>255</v>
      </c>
      <c r="AA28" s="303">
        <f>Stock_year[[#This Row],[Ulukhola Opening2]]-Stock_year[[#This Row],[Ulukhola to Vobanipur Transfer2]]+Stock_year[[#This Row],[New Arrival(ulukhola)2]]</f>
        <v>0</v>
      </c>
      <c r="AB28" s="303">
        <f>Stock_year[[#This Row],[Vobanipur Total2]]+Stock_year[[#This Row],[Ulukhola Total2]]</f>
        <v>255</v>
      </c>
      <c r="AC28" s="303">
        <f>SUMIFS(Primary_Order[Total Qty],Primary_Order[Date],"&gt;="&amp;S$1,Primary_Order[Date],"&lt;="&amp;EOMONTH(S$1,0),Primary_Order[Product ID],Stock_year[[#This Row],[SKU ID]],Primary_Order[Status],'Stock Report'!$A$1)</f>
        <v>255</v>
      </c>
      <c r="AD28" s="303">
        <f>Stock_year[[#This Row],[Vobanipur Total2]]-Stock_year[[#This Row],[Sold Qty(Piece)2]]</f>
        <v>0</v>
      </c>
      <c r="AE28" s="303">
        <f>Stock_year[[#This Row],[Ulukhola Opening2]]-Stock_year[[#This Row],[Ulukhola to Vobanipur Transfer2]]+Stock_year[[#This Row],[New Arrival(ulukhola)2]]</f>
        <v>0</v>
      </c>
      <c r="AF28" s="303">
        <f>VLOOKUP(Stock_year[[#This Row],[SKU ID]],SKU[],14,0)*(Stock_year[[#This Row],[Closing Stock Vobanipur2]]+Stock_year[[#This Row],[Closing Stock Ulukhola2]])</f>
        <v>0</v>
      </c>
      <c r="AG28" s="303">
        <f ca="1">OFFSET(Stock_year[[#This Row],[Total Closing Stock Value2]],0,-14)</f>
        <v>13</v>
      </c>
      <c r="AH2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13</v>
      </c>
      <c r="AI28" s="302">
        <f>Stock_year[[#This Row],[Closing Stock Vobanipur2]]</f>
        <v>0</v>
      </c>
      <c r="AJ28" s="303">
        <f>Stock_year[[#This Row],[Closing Stock Ulukhola2]]</f>
        <v>0</v>
      </c>
      <c r="AK28" s="303">
        <f>Stock_year[[#This Row],[Vobanipur Opening3]]+Stock_year[[#This Row],[Ulukhola Opening3]]</f>
        <v>0</v>
      </c>
      <c r="AL28" s="303">
        <f>VLOOKUP(Stock_year[[#This Row],[SKU ID]],SKU[[SKU ID]:[Bottle Size(Ltr)]],6,0)*Stock_year[[#This Row],[Opening Stock (Piece)3]]</f>
        <v>0</v>
      </c>
      <c r="AM28" s="303">
        <v>0</v>
      </c>
      <c r="AN28" s="303"/>
      <c r="AO28" s="303"/>
      <c r="AP28" s="303">
        <f>Stock_year[[#This Row],[Vobanipur Opening3]]+Stock_year[[#This Row],[New Arrival (vobanipur)3]]+Stock_year[[#This Row],[Ulukhola to Vobanipur Transfer3]]</f>
        <v>0</v>
      </c>
      <c r="AQ28" s="303">
        <f>Stock_year[[#This Row],[Ulukhola Opening3]]-Stock_year[[#This Row],[Ulukhola to Vobanipur Transfer3]]+Stock_year[[#This Row],[New Arrival(ulukhola)3]]</f>
        <v>0</v>
      </c>
      <c r="AR28" s="303">
        <f>Stock_year[[#This Row],[Vobanipur Total3]]+Stock_year[[#This Row],[Ulukhola Total3]]</f>
        <v>0</v>
      </c>
      <c r="AS28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8" s="303">
        <f>Stock_year[[#This Row],[Vobanipur Total3]]-Stock_year[[#This Row],[Sold Qty(Piece)3]]</f>
        <v>0</v>
      </c>
      <c r="AU28" s="303">
        <f>Stock_year[[#This Row],[Ulukhola Total3]]</f>
        <v>0</v>
      </c>
      <c r="AV28" s="303">
        <f>VLOOKUP(Stock_year[[#This Row],[SKU ID]],SKU[],14,0)*(Stock_year[[#This Row],[Closing Stock Vobanipur3]]+Stock_year[[#This Row],[Closing Stock Ulukhola3]])</f>
        <v>0</v>
      </c>
      <c r="AW28" s="303">
        <f ca="1">Stock_year[[#This Row],[Closing Damage unit2]]</f>
        <v>13</v>
      </c>
      <c r="AX2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13</v>
      </c>
      <c r="AY28" s="32">
        <f>Stock_year[[#This Row],[Closing Stock Vobanipur3]]</f>
        <v>0</v>
      </c>
      <c r="AZ28" s="32">
        <f>Stock_year[[#This Row],[Closing Stock Ulukhola3]]</f>
        <v>0</v>
      </c>
      <c r="BA28" s="32">
        <f>Stock_year[[#This Row],[Vobanipur Opening4]]+Stock_year[[#This Row],[Ulukhola Opening4]]</f>
        <v>0</v>
      </c>
      <c r="BB28" s="32">
        <f>VLOOKUP(Stock_year[[#This Row],[SKU ID]],SKU[[SKU ID]:[Bottle Size(Ltr)]],6,0)*Stock_year[[#This Row],[Opening Stock (Piece)4]]</f>
        <v>0</v>
      </c>
      <c r="BC28" s="32">
        <v>0</v>
      </c>
      <c r="BD28" s="32"/>
      <c r="BE28" s="32"/>
      <c r="BF28" s="32">
        <f>Stock_year[[#This Row],[Vobanipur Opening4]]+Stock_year[[#This Row],[New Arrival (vobanipur)4]]+Stock_year[[#This Row],[Ulukhola to Vobanipur Transfer4]]</f>
        <v>0</v>
      </c>
      <c r="BG28" s="32">
        <f>Stock_year[[#This Row],[Ulukhola Opening4]]-Stock_year[[#This Row],[Ulukhola to Vobanipur Transfer4]]+Stock_year[[#This Row],[New Arrival(ulukhola)4]]</f>
        <v>0</v>
      </c>
      <c r="BH28" s="32">
        <f>Stock_year[[#This Row],[Vobanipur Total4]]+Stock_year[[#This Row],[Ulukhola Total4]]</f>
        <v>0</v>
      </c>
      <c r="BI28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8" s="32">
        <f>Stock_year[[#This Row],[Vobanipur Total4]]-Stock_year[[#This Row],[Sold Qty(Piece)4]]</f>
        <v>0</v>
      </c>
      <c r="BK28" s="32">
        <f>Stock_year[[#This Row],[Ulukhola Total4]]</f>
        <v>0</v>
      </c>
      <c r="BL28" s="32">
        <f>VLOOKUP(Stock_year[[#This Row],[SKU ID]],SKU[],14,0)*(Stock_year[[#This Row],[Closing Stock Vobanipur4]]+Stock_year[[#This Row],[Closing Stock Ulukhola4]])</f>
        <v>0</v>
      </c>
      <c r="BM28" s="32">
        <f ca="1">Stock_year[[#This Row],[Closing Damage unit3]]</f>
        <v>13</v>
      </c>
      <c r="BN2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13</v>
      </c>
    </row>
    <row r="29" spans="1:66" x14ac:dyDescent="0.5">
      <c r="A29" t="s">
        <v>37</v>
      </c>
      <c r="B29" t="s">
        <v>788</v>
      </c>
      <c r="C29" s="329">
        <v>0</v>
      </c>
      <c r="D29" s="3">
        <v>0</v>
      </c>
      <c r="E29" s="3">
        <f>Stock_year[[#This Row],[Vobanipur Opening]]+Stock_year[[#This Row],[Ulukhola Opening]]</f>
        <v>0</v>
      </c>
      <c r="F29" s="3">
        <f>VLOOKUP(Stock_year[[#This Row],[SKU ID]],SKU[[SKU ID]:[Bottle Size(Ltr)]],6,0)*Stock_year[[#This Row],[Opening Stock (Piece)]]</f>
        <v>0</v>
      </c>
      <c r="G29" s="3">
        <v>0</v>
      </c>
      <c r="H29" s="3"/>
      <c r="I29" s="3"/>
      <c r="J29" s="3">
        <f>Stock_year[[#This Row],[Vobanipur Opening]]+Stock_year[[#This Row],[New Arrival (vobanipur)]]+Stock_year[[#This Row],[Ulukhola to Vobanipur Transfer]]</f>
        <v>0</v>
      </c>
      <c r="K29" s="3">
        <f>Stock_year[[#This Row],[Ulukhola Opening]]+Stock_year[[#This Row],[New Arrival(ulukhola)]]-Stock_year[[#This Row],[Ulukhola to Vobanipur Transfer]]</f>
        <v>0</v>
      </c>
      <c r="L29" s="3">
        <f>Stock_year[[#This Row],[Opening Stock (Piece)]]+Stock_year[[#This Row],[New Arrival(ulukhola)]]</f>
        <v>0</v>
      </c>
      <c r="M29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29" s="3">
        <f>Stock_year[[#This Row],[Vobanipur Total]]-Stock_year[[#This Row],[Sold Qty(Piece)]]</f>
        <v>0</v>
      </c>
      <c r="O29" s="3">
        <f>Stock_year[[#This Row],[Ulukhola Opening]]-Stock_year[[#This Row],[Ulukhola to Vobanipur Transfer]]+Stock_year[[#This Row],[New Arrival(ulukhola)]]</f>
        <v>0</v>
      </c>
      <c r="P29" s="3">
        <f>Stock_year[[#This Row],[Ulukhola Total]]</f>
        <v>0</v>
      </c>
      <c r="Q29" s="3">
        <v>7</v>
      </c>
      <c r="R2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7</v>
      </c>
      <c r="S29" s="303">
        <f>Stock_year[[#This Row],[Closing Stock Vobanipur]]</f>
        <v>0</v>
      </c>
      <c r="T29" s="303">
        <f>Stock_year[[#This Row],[Closing Stock Ulukhola]]</f>
        <v>0</v>
      </c>
      <c r="U29" s="303">
        <f>Stock_year[[#This Row],[Vobanipur Opening2]]+Stock_year[[#This Row],[Ulukhola Opening2]]</f>
        <v>0</v>
      </c>
      <c r="V29" s="303">
        <f>VLOOKUP(Stock_year[[#This Row],[SKU ID]],SKU[[SKU ID]:[Bottle Size(Ltr)]],6,0)*Stock_year[[#This Row],[Opening Stock (Piece)2]]</f>
        <v>0</v>
      </c>
      <c r="W29" s="303">
        <v>0</v>
      </c>
      <c r="X29" s="303"/>
      <c r="Y29" s="303"/>
      <c r="Z29" s="303">
        <f>Stock_year[[#This Row],[Vobanipur Opening2]]+Stock_year[[#This Row],[Ulukhola to Vobanipur Transfer2]]+Stock_year[[#This Row],[New Arrival (vobanipur)2]]</f>
        <v>0</v>
      </c>
      <c r="AA29" s="303">
        <f>Stock_year[[#This Row],[Ulukhola Opening2]]-Stock_year[[#This Row],[Ulukhola to Vobanipur Transfer2]]+Stock_year[[#This Row],[New Arrival(ulukhola)2]]</f>
        <v>0</v>
      </c>
      <c r="AB29" s="303">
        <f>Stock_year[[#This Row],[Vobanipur Total2]]+Stock_year[[#This Row],[Ulukhola Total2]]</f>
        <v>0</v>
      </c>
      <c r="AC29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29" s="303">
        <f>Stock_year[[#This Row],[Vobanipur Total2]]-Stock_year[[#This Row],[Sold Qty(Piece)2]]</f>
        <v>0</v>
      </c>
      <c r="AE29" s="303">
        <f>Stock_year[[#This Row],[Ulukhola Opening2]]-Stock_year[[#This Row],[Ulukhola to Vobanipur Transfer2]]+Stock_year[[#This Row],[New Arrival(ulukhola)2]]</f>
        <v>0</v>
      </c>
      <c r="AF29" s="303">
        <f>VLOOKUP(Stock_year[[#This Row],[SKU ID]],SKU[],14,0)*(Stock_year[[#This Row],[Closing Stock Vobanipur2]]+Stock_year[[#This Row],[Closing Stock Ulukhola2]])</f>
        <v>0</v>
      </c>
      <c r="AG29" s="303">
        <f ca="1">OFFSET(Stock_year[[#This Row],[Total Closing Stock Value2]],0,-14)</f>
        <v>7</v>
      </c>
      <c r="AH2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7</v>
      </c>
      <c r="AI29" s="302">
        <f>Stock_year[[#This Row],[Closing Stock Vobanipur2]]</f>
        <v>0</v>
      </c>
      <c r="AJ29" s="303">
        <f>Stock_year[[#This Row],[Closing Stock Ulukhola2]]</f>
        <v>0</v>
      </c>
      <c r="AK29" s="303">
        <f>Stock_year[[#This Row],[Vobanipur Opening3]]+Stock_year[[#This Row],[Ulukhola Opening3]]</f>
        <v>0</v>
      </c>
      <c r="AL29" s="303">
        <f>VLOOKUP(Stock_year[[#This Row],[SKU ID]],SKU[[SKU ID]:[Bottle Size(Ltr)]],6,0)*Stock_year[[#This Row],[Opening Stock (Piece)3]]</f>
        <v>0</v>
      </c>
      <c r="AM29" s="303">
        <v>0</v>
      </c>
      <c r="AN29" s="303"/>
      <c r="AO29" s="303"/>
      <c r="AP29" s="303">
        <f>Stock_year[[#This Row],[Vobanipur Opening3]]+Stock_year[[#This Row],[New Arrival (vobanipur)3]]+Stock_year[[#This Row],[Ulukhola to Vobanipur Transfer3]]</f>
        <v>0</v>
      </c>
      <c r="AQ29" s="303">
        <f>Stock_year[[#This Row],[Ulukhola Opening3]]-Stock_year[[#This Row],[Ulukhola to Vobanipur Transfer3]]+Stock_year[[#This Row],[New Arrival(ulukhola)3]]</f>
        <v>0</v>
      </c>
      <c r="AR29" s="303">
        <f>Stock_year[[#This Row],[Vobanipur Total3]]+Stock_year[[#This Row],[Ulukhola Total3]]</f>
        <v>0</v>
      </c>
      <c r="AS29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29" s="303">
        <f>Stock_year[[#This Row],[Vobanipur Total3]]-Stock_year[[#This Row],[Sold Qty(Piece)3]]</f>
        <v>0</v>
      </c>
      <c r="AU29" s="303">
        <f>Stock_year[[#This Row],[Ulukhola Total3]]</f>
        <v>0</v>
      </c>
      <c r="AV29" s="303">
        <f>VLOOKUP(Stock_year[[#This Row],[SKU ID]],SKU[],14,0)*(Stock_year[[#This Row],[Closing Stock Vobanipur3]]+Stock_year[[#This Row],[Closing Stock Ulukhola3]])</f>
        <v>0</v>
      </c>
      <c r="AW29" s="303">
        <f ca="1">Stock_year[[#This Row],[Closing Damage unit2]]</f>
        <v>7</v>
      </c>
      <c r="AX2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7</v>
      </c>
      <c r="AY29" s="32">
        <f>Stock_year[[#This Row],[Closing Stock Vobanipur3]]</f>
        <v>0</v>
      </c>
      <c r="AZ29" s="32">
        <f>Stock_year[[#This Row],[Closing Stock Ulukhola3]]</f>
        <v>0</v>
      </c>
      <c r="BA29" s="32">
        <f>Stock_year[[#This Row],[Vobanipur Opening4]]+Stock_year[[#This Row],[Ulukhola Opening4]]</f>
        <v>0</v>
      </c>
      <c r="BB29" s="32">
        <f>VLOOKUP(Stock_year[[#This Row],[SKU ID]],SKU[[SKU ID]:[Bottle Size(Ltr)]],6,0)*Stock_year[[#This Row],[Opening Stock (Piece)4]]</f>
        <v>0</v>
      </c>
      <c r="BC29" s="32">
        <v>0</v>
      </c>
      <c r="BD29" s="32"/>
      <c r="BE29" s="32"/>
      <c r="BF29" s="32">
        <f>Stock_year[[#This Row],[Vobanipur Opening4]]+Stock_year[[#This Row],[New Arrival (vobanipur)4]]+Stock_year[[#This Row],[Ulukhola to Vobanipur Transfer4]]</f>
        <v>0</v>
      </c>
      <c r="BG29" s="32">
        <f>Stock_year[[#This Row],[Ulukhola Opening4]]-Stock_year[[#This Row],[Ulukhola to Vobanipur Transfer4]]+Stock_year[[#This Row],[New Arrival(ulukhola)4]]</f>
        <v>0</v>
      </c>
      <c r="BH29" s="32">
        <f>Stock_year[[#This Row],[Vobanipur Total4]]+Stock_year[[#This Row],[Ulukhola Total4]]</f>
        <v>0</v>
      </c>
      <c r="BI29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29" s="32">
        <f>Stock_year[[#This Row],[Vobanipur Total4]]-Stock_year[[#This Row],[Sold Qty(Piece)4]]</f>
        <v>0</v>
      </c>
      <c r="BK29" s="32">
        <f>Stock_year[[#This Row],[Ulukhola Total4]]</f>
        <v>0</v>
      </c>
      <c r="BL29" s="32">
        <f>VLOOKUP(Stock_year[[#This Row],[SKU ID]],SKU[],14,0)*(Stock_year[[#This Row],[Closing Stock Vobanipur4]]+Stock_year[[#This Row],[Closing Stock Ulukhola4]])</f>
        <v>0</v>
      </c>
      <c r="BM29" s="32">
        <f ca="1">Stock_year[[#This Row],[Closing Damage unit3]]</f>
        <v>7</v>
      </c>
      <c r="BN2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7</v>
      </c>
    </row>
    <row r="30" spans="1:66" x14ac:dyDescent="0.5">
      <c r="A30" t="s">
        <v>361</v>
      </c>
      <c r="B30" t="s">
        <v>789</v>
      </c>
      <c r="C30" s="329">
        <v>0</v>
      </c>
      <c r="D30" s="3">
        <v>0</v>
      </c>
      <c r="E30" s="3">
        <f>Stock_year[[#This Row],[Vobanipur Opening]]+Stock_year[[#This Row],[Ulukhola Opening]]</f>
        <v>0</v>
      </c>
      <c r="F30" s="3">
        <f>VLOOKUP(Stock_year[[#This Row],[SKU ID]],SKU[[SKU ID]:[Bottle Size(Ltr)]],6,0)*Stock_year[[#This Row],[Opening Stock (Piece)]]</f>
        <v>0</v>
      </c>
      <c r="G30" s="3">
        <v>0</v>
      </c>
      <c r="H30" s="3"/>
      <c r="I30" s="3"/>
      <c r="J30" s="3">
        <f>Stock_year[[#This Row],[Vobanipur Opening]]+Stock_year[[#This Row],[New Arrival (vobanipur)]]+Stock_year[[#This Row],[Ulukhola to Vobanipur Transfer]]</f>
        <v>0</v>
      </c>
      <c r="K30" s="3">
        <f>Stock_year[[#This Row],[Ulukhola Opening]]+Stock_year[[#This Row],[New Arrival(ulukhola)]]-Stock_year[[#This Row],[Ulukhola to Vobanipur Transfer]]</f>
        <v>0</v>
      </c>
      <c r="L30" s="3">
        <f>Stock_year[[#This Row],[Opening Stock (Piece)]]+Stock_year[[#This Row],[New Arrival(ulukhola)]]</f>
        <v>0</v>
      </c>
      <c r="M30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0" s="3">
        <f>Stock_year[[#This Row],[Vobanipur Total]]-Stock_year[[#This Row],[Sold Qty(Piece)]]</f>
        <v>0</v>
      </c>
      <c r="O30" s="3">
        <f>Stock_year[[#This Row],[Ulukhola Opening]]-Stock_year[[#This Row],[Ulukhola to Vobanipur Transfer]]+Stock_year[[#This Row],[New Arrival(ulukhola)]]</f>
        <v>0</v>
      </c>
      <c r="P30" s="3">
        <f>Stock_year[[#This Row],[Ulukhola Total]]</f>
        <v>0</v>
      </c>
      <c r="Q30" s="3">
        <v>0</v>
      </c>
      <c r="R3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30" s="303">
        <f>Stock_year[[#This Row],[Closing Stock Vobanipur]]</f>
        <v>0</v>
      </c>
      <c r="T30" s="303">
        <f>Stock_year[[#This Row],[Closing Stock Ulukhola]]</f>
        <v>0</v>
      </c>
      <c r="U30" s="303">
        <f>Stock_year[[#This Row],[Vobanipur Opening2]]+Stock_year[[#This Row],[Ulukhola Opening2]]</f>
        <v>0</v>
      </c>
      <c r="V30" s="303">
        <f>VLOOKUP(Stock_year[[#This Row],[SKU ID]],SKU[[SKU ID]:[Bottle Size(Ltr)]],6,0)*Stock_year[[#This Row],[Opening Stock (Piece)2]]</f>
        <v>0</v>
      </c>
      <c r="W30" s="303">
        <v>0</v>
      </c>
      <c r="X30" s="303"/>
      <c r="Y30" s="303"/>
      <c r="Z30" s="303">
        <f>Stock_year[[#This Row],[Vobanipur Opening2]]+Stock_year[[#This Row],[Ulukhola to Vobanipur Transfer2]]+Stock_year[[#This Row],[New Arrival (vobanipur)2]]</f>
        <v>0</v>
      </c>
      <c r="AA30" s="303">
        <f>Stock_year[[#This Row],[Ulukhola Opening2]]-Stock_year[[#This Row],[Ulukhola to Vobanipur Transfer2]]+Stock_year[[#This Row],[New Arrival(ulukhola)2]]</f>
        <v>0</v>
      </c>
      <c r="AB30" s="303">
        <f>Stock_year[[#This Row],[Vobanipur Total2]]+Stock_year[[#This Row],[Ulukhola Total2]]</f>
        <v>0</v>
      </c>
      <c r="AC30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30" s="303">
        <f>Stock_year[[#This Row],[Vobanipur Total2]]-Stock_year[[#This Row],[Sold Qty(Piece)2]]</f>
        <v>0</v>
      </c>
      <c r="AE30" s="303">
        <f>Stock_year[[#This Row],[Ulukhola Opening2]]-Stock_year[[#This Row],[Ulukhola to Vobanipur Transfer2]]+Stock_year[[#This Row],[New Arrival(ulukhola)2]]</f>
        <v>0</v>
      </c>
      <c r="AF30" s="303">
        <f>VLOOKUP(Stock_year[[#This Row],[SKU ID]],SKU[],14,0)*(Stock_year[[#This Row],[Closing Stock Vobanipur2]]+Stock_year[[#This Row],[Closing Stock Ulukhola2]])</f>
        <v>0</v>
      </c>
      <c r="AG30" s="303">
        <f ca="1">OFFSET(Stock_year[[#This Row],[Total Closing Stock Value2]],0,-14)</f>
        <v>0</v>
      </c>
      <c r="AH3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30" s="302">
        <f>Stock_year[[#This Row],[Closing Stock Vobanipur2]]</f>
        <v>0</v>
      </c>
      <c r="AJ30" s="303">
        <f>Stock_year[[#This Row],[Closing Stock Ulukhola2]]</f>
        <v>0</v>
      </c>
      <c r="AK30" s="303">
        <f>Stock_year[[#This Row],[Vobanipur Opening3]]+Stock_year[[#This Row],[Ulukhola Opening3]]</f>
        <v>0</v>
      </c>
      <c r="AL30" s="303">
        <f>VLOOKUP(Stock_year[[#This Row],[SKU ID]],SKU[[SKU ID]:[Bottle Size(Ltr)]],6,0)*Stock_year[[#This Row],[Opening Stock (Piece)3]]</f>
        <v>0</v>
      </c>
      <c r="AM30" s="303">
        <v>0</v>
      </c>
      <c r="AN30" s="303"/>
      <c r="AO30" s="303"/>
      <c r="AP30" s="303">
        <f>Stock_year[[#This Row],[Vobanipur Opening3]]+Stock_year[[#This Row],[New Arrival (vobanipur)3]]+Stock_year[[#This Row],[Ulukhola to Vobanipur Transfer3]]</f>
        <v>0</v>
      </c>
      <c r="AQ30" s="303">
        <f>Stock_year[[#This Row],[Ulukhola Opening3]]-Stock_year[[#This Row],[Ulukhola to Vobanipur Transfer3]]+Stock_year[[#This Row],[New Arrival(ulukhola)3]]</f>
        <v>0</v>
      </c>
      <c r="AR30" s="303">
        <f>Stock_year[[#This Row],[Vobanipur Total3]]+Stock_year[[#This Row],[Ulukhola Total3]]</f>
        <v>0</v>
      </c>
      <c r="AS30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0" s="303">
        <f>Stock_year[[#This Row],[Vobanipur Total3]]-Stock_year[[#This Row],[Sold Qty(Piece)3]]</f>
        <v>0</v>
      </c>
      <c r="AU30" s="303">
        <f>Stock_year[[#This Row],[Ulukhola Total3]]</f>
        <v>0</v>
      </c>
      <c r="AV30" s="303">
        <f>VLOOKUP(Stock_year[[#This Row],[SKU ID]],SKU[],14,0)*(Stock_year[[#This Row],[Closing Stock Vobanipur3]]+Stock_year[[#This Row],[Closing Stock Ulukhola3]])</f>
        <v>0</v>
      </c>
      <c r="AW30" s="303">
        <f ca="1">Stock_year[[#This Row],[Closing Damage unit2]]</f>
        <v>0</v>
      </c>
      <c r="AX3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30" s="32">
        <f>Stock_year[[#This Row],[Closing Stock Vobanipur3]]</f>
        <v>0</v>
      </c>
      <c r="AZ30" s="32">
        <f>Stock_year[[#This Row],[Closing Stock Ulukhola3]]</f>
        <v>0</v>
      </c>
      <c r="BA30" s="32">
        <f>Stock_year[[#This Row],[Vobanipur Opening4]]+Stock_year[[#This Row],[Ulukhola Opening4]]</f>
        <v>0</v>
      </c>
      <c r="BB30" s="32">
        <f>VLOOKUP(Stock_year[[#This Row],[SKU ID]],SKU[[SKU ID]:[Bottle Size(Ltr)]],6,0)*Stock_year[[#This Row],[Opening Stock (Piece)4]]</f>
        <v>0</v>
      </c>
      <c r="BC30" s="32">
        <v>0</v>
      </c>
      <c r="BD30" s="32"/>
      <c r="BE30" s="32"/>
      <c r="BF30" s="32">
        <f>Stock_year[[#This Row],[Vobanipur Opening4]]+Stock_year[[#This Row],[New Arrival (vobanipur)4]]+Stock_year[[#This Row],[Ulukhola to Vobanipur Transfer4]]</f>
        <v>0</v>
      </c>
      <c r="BG30" s="32">
        <f>Stock_year[[#This Row],[Ulukhola Opening4]]-Stock_year[[#This Row],[Ulukhola to Vobanipur Transfer4]]+Stock_year[[#This Row],[New Arrival(ulukhola)4]]</f>
        <v>0</v>
      </c>
      <c r="BH30" s="32">
        <f>Stock_year[[#This Row],[Vobanipur Total4]]+Stock_year[[#This Row],[Ulukhola Total4]]</f>
        <v>0</v>
      </c>
      <c r="BI30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0" s="32">
        <f>Stock_year[[#This Row],[Vobanipur Total4]]-Stock_year[[#This Row],[Sold Qty(Piece)4]]</f>
        <v>0</v>
      </c>
      <c r="BK30" s="32">
        <f>Stock_year[[#This Row],[Ulukhola Total4]]</f>
        <v>0</v>
      </c>
      <c r="BL30" s="32">
        <f>VLOOKUP(Stock_year[[#This Row],[SKU ID]],SKU[],14,0)*(Stock_year[[#This Row],[Closing Stock Vobanipur4]]+Stock_year[[#This Row],[Closing Stock Ulukhola4]])</f>
        <v>0</v>
      </c>
      <c r="BM30" s="32">
        <f ca="1">Stock_year[[#This Row],[Closing Damage unit3]]</f>
        <v>0</v>
      </c>
      <c r="BN3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31" spans="1:66" x14ac:dyDescent="0.5">
      <c r="A31" t="s">
        <v>363</v>
      </c>
      <c r="B31" t="s">
        <v>790</v>
      </c>
      <c r="C31" s="329">
        <v>0</v>
      </c>
      <c r="D31" s="3">
        <v>0</v>
      </c>
      <c r="E31" s="3">
        <f>Stock_year[[#This Row],[Vobanipur Opening]]+Stock_year[[#This Row],[Ulukhola Opening]]</f>
        <v>0</v>
      </c>
      <c r="F31" s="3">
        <f>VLOOKUP(Stock_year[[#This Row],[SKU ID]],SKU[[SKU ID]:[Bottle Size(Ltr)]],6,0)*Stock_year[[#This Row],[Opening Stock (Piece)]]</f>
        <v>0</v>
      </c>
      <c r="G31" s="3">
        <v>0</v>
      </c>
      <c r="H31" s="3"/>
      <c r="I31" s="3"/>
      <c r="J31" s="3">
        <f>Stock_year[[#This Row],[Vobanipur Opening]]+Stock_year[[#This Row],[New Arrival (vobanipur)]]+Stock_year[[#This Row],[Ulukhola to Vobanipur Transfer]]</f>
        <v>0</v>
      </c>
      <c r="K31" s="3">
        <f>Stock_year[[#This Row],[Ulukhola Opening]]+Stock_year[[#This Row],[New Arrival(ulukhola)]]-Stock_year[[#This Row],[Ulukhola to Vobanipur Transfer]]</f>
        <v>0</v>
      </c>
      <c r="L31" s="3">
        <f>Stock_year[[#This Row],[Opening Stock (Piece)]]+Stock_year[[#This Row],[New Arrival(ulukhola)]]</f>
        <v>0</v>
      </c>
      <c r="M31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1" s="3">
        <f>Stock_year[[#This Row],[Vobanipur Total]]-Stock_year[[#This Row],[Sold Qty(Piece)]]</f>
        <v>0</v>
      </c>
      <c r="O31" s="3">
        <f>Stock_year[[#This Row],[Ulukhola Opening]]-Stock_year[[#This Row],[Ulukhola to Vobanipur Transfer]]+Stock_year[[#This Row],[New Arrival(ulukhola)]]</f>
        <v>0</v>
      </c>
      <c r="P31" s="3">
        <f>Stock_year[[#This Row],[Ulukhola Total]]</f>
        <v>0</v>
      </c>
      <c r="Q31" s="3">
        <v>0</v>
      </c>
      <c r="R3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31" s="303">
        <f>Stock_year[[#This Row],[Closing Stock Vobanipur]]</f>
        <v>0</v>
      </c>
      <c r="T31" s="303">
        <f>Stock_year[[#This Row],[Closing Stock Ulukhola]]</f>
        <v>0</v>
      </c>
      <c r="U31" s="303">
        <f>Stock_year[[#This Row],[Vobanipur Opening2]]+Stock_year[[#This Row],[Ulukhola Opening2]]</f>
        <v>0</v>
      </c>
      <c r="V31" s="303">
        <f>VLOOKUP(Stock_year[[#This Row],[SKU ID]],SKU[[SKU ID]:[Bottle Size(Ltr)]],6,0)*Stock_year[[#This Row],[Opening Stock (Piece)2]]</f>
        <v>0</v>
      </c>
      <c r="W31" s="303">
        <v>0</v>
      </c>
      <c r="X31" s="303"/>
      <c r="Y31" s="303"/>
      <c r="Z31" s="303">
        <f>Stock_year[[#This Row],[Vobanipur Opening2]]+Stock_year[[#This Row],[Ulukhola to Vobanipur Transfer2]]+Stock_year[[#This Row],[New Arrival (vobanipur)2]]</f>
        <v>0</v>
      </c>
      <c r="AA31" s="303">
        <f>Stock_year[[#This Row],[Ulukhola Opening2]]-Stock_year[[#This Row],[Ulukhola to Vobanipur Transfer2]]+Stock_year[[#This Row],[New Arrival(ulukhola)2]]</f>
        <v>0</v>
      </c>
      <c r="AB31" s="303">
        <f>Stock_year[[#This Row],[Vobanipur Total2]]+Stock_year[[#This Row],[Ulukhola Total2]]</f>
        <v>0</v>
      </c>
      <c r="AC31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31" s="303">
        <f>Stock_year[[#This Row],[Vobanipur Total2]]-Stock_year[[#This Row],[Sold Qty(Piece)2]]</f>
        <v>0</v>
      </c>
      <c r="AE31" s="303">
        <f>Stock_year[[#This Row],[Ulukhola Opening2]]-Stock_year[[#This Row],[Ulukhola to Vobanipur Transfer2]]+Stock_year[[#This Row],[New Arrival(ulukhola)2]]</f>
        <v>0</v>
      </c>
      <c r="AF31" s="303">
        <f>VLOOKUP(Stock_year[[#This Row],[SKU ID]],SKU[],14,0)*(Stock_year[[#This Row],[Closing Stock Vobanipur2]]+Stock_year[[#This Row],[Closing Stock Ulukhola2]])</f>
        <v>0</v>
      </c>
      <c r="AG31" s="303">
        <f ca="1">OFFSET(Stock_year[[#This Row],[Total Closing Stock Value2]],0,-14)</f>
        <v>0</v>
      </c>
      <c r="AH3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31" s="302">
        <f>Stock_year[[#This Row],[Closing Stock Vobanipur2]]</f>
        <v>0</v>
      </c>
      <c r="AJ31" s="303">
        <f>Stock_year[[#This Row],[Closing Stock Ulukhola2]]</f>
        <v>0</v>
      </c>
      <c r="AK31" s="303">
        <f>Stock_year[[#This Row],[Vobanipur Opening3]]+Stock_year[[#This Row],[Ulukhola Opening3]]</f>
        <v>0</v>
      </c>
      <c r="AL31" s="303">
        <f>VLOOKUP(Stock_year[[#This Row],[SKU ID]],SKU[[SKU ID]:[Bottle Size(Ltr)]],6,0)*Stock_year[[#This Row],[Opening Stock (Piece)3]]</f>
        <v>0</v>
      </c>
      <c r="AM31" s="303">
        <v>0</v>
      </c>
      <c r="AN31" s="303"/>
      <c r="AO31" s="303"/>
      <c r="AP31" s="303">
        <f>Stock_year[[#This Row],[Vobanipur Opening3]]+Stock_year[[#This Row],[New Arrival (vobanipur)3]]+Stock_year[[#This Row],[Ulukhola to Vobanipur Transfer3]]</f>
        <v>0</v>
      </c>
      <c r="AQ31" s="303">
        <f>Stock_year[[#This Row],[Ulukhola Opening3]]-Stock_year[[#This Row],[Ulukhola to Vobanipur Transfer3]]+Stock_year[[#This Row],[New Arrival(ulukhola)3]]</f>
        <v>0</v>
      </c>
      <c r="AR31" s="303">
        <f>Stock_year[[#This Row],[Vobanipur Total3]]+Stock_year[[#This Row],[Ulukhola Total3]]</f>
        <v>0</v>
      </c>
      <c r="AS31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1" s="303">
        <f>Stock_year[[#This Row],[Vobanipur Total3]]-Stock_year[[#This Row],[Sold Qty(Piece)3]]</f>
        <v>0</v>
      </c>
      <c r="AU31" s="303">
        <f>Stock_year[[#This Row],[Ulukhola Total3]]</f>
        <v>0</v>
      </c>
      <c r="AV31" s="303">
        <f>VLOOKUP(Stock_year[[#This Row],[SKU ID]],SKU[],14,0)*(Stock_year[[#This Row],[Closing Stock Vobanipur3]]+Stock_year[[#This Row],[Closing Stock Ulukhola3]])</f>
        <v>0</v>
      </c>
      <c r="AW31" s="303">
        <f ca="1">Stock_year[[#This Row],[Closing Damage unit2]]</f>
        <v>0</v>
      </c>
      <c r="AX3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31" s="32">
        <f>Stock_year[[#This Row],[Closing Stock Vobanipur3]]</f>
        <v>0</v>
      </c>
      <c r="AZ31" s="32">
        <f>Stock_year[[#This Row],[Closing Stock Ulukhola3]]</f>
        <v>0</v>
      </c>
      <c r="BA31" s="32">
        <f>Stock_year[[#This Row],[Vobanipur Opening4]]+Stock_year[[#This Row],[Ulukhola Opening4]]</f>
        <v>0</v>
      </c>
      <c r="BB31" s="32">
        <f>VLOOKUP(Stock_year[[#This Row],[SKU ID]],SKU[[SKU ID]:[Bottle Size(Ltr)]],6,0)*Stock_year[[#This Row],[Opening Stock (Piece)4]]</f>
        <v>0</v>
      </c>
      <c r="BC31" s="32">
        <v>0</v>
      </c>
      <c r="BD31" s="32"/>
      <c r="BE31" s="32"/>
      <c r="BF31" s="32">
        <f>Stock_year[[#This Row],[Vobanipur Opening4]]+Stock_year[[#This Row],[New Arrival (vobanipur)4]]+Stock_year[[#This Row],[Ulukhola to Vobanipur Transfer4]]</f>
        <v>0</v>
      </c>
      <c r="BG31" s="32">
        <f>Stock_year[[#This Row],[Ulukhola Opening4]]-Stock_year[[#This Row],[Ulukhola to Vobanipur Transfer4]]+Stock_year[[#This Row],[New Arrival(ulukhola)4]]</f>
        <v>0</v>
      </c>
      <c r="BH31" s="32">
        <f>Stock_year[[#This Row],[Vobanipur Total4]]+Stock_year[[#This Row],[Ulukhola Total4]]</f>
        <v>0</v>
      </c>
      <c r="BI31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1" s="32">
        <f>Stock_year[[#This Row],[Vobanipur Total4]]-Stock_year[[#This Row],[Sold Qty(Piece)4]]</f>
        <v>0</v>
      </c>
      <c r="BK31" s="32">
        <f>Stock_year[[#This Row],[Ulukhola Total4]]</f>
        <v>0</v>
      </c>
      <c r="BL31" s="32">
        <f>VLOOKUP(Stock_year[[#This Row],[SKU ID]],SKU[],14,0)*(Stock_year[[#This Row],[Closing Stock Vobanipur4]]+Stock_year[[#This Row],[Closing Stock Ulukhola4]])</f>
        <v>0</v>
      </c>
      <c r="BM31" s="32">
        <f ca="1">Stock_year[[#This Row],[Closing Damage unit3]]</f>
        <v>0</v>
      </c>
      <c r="BN3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32" spans="1:66" x14ac:dyDescent="0.5">
      <c r="A32" t="s">
        <v>189</v>
      </c>
      <c r="B32" t="s">
        <v>791</v>
      </c>
      <c r="C32" s="329">
        <v>231</v>
      </c>
      <c r="D32" s="3">
        <v>0</v>
      </c>
      <c r="E32" s="3">
        <f>Stock_year[[#This Row],[Vobanipur Opening]]+Stock_year[[#This Row],[Ulukhola Opening]]</f>
        <v>231</v>
      </c>
      <c r="F32" s="3">
        <f>VLOOKUP(Stock_year[[#This Row],[SKU ID]],SKU[[SKU ID]:[Bottle Size(Ltr)]],6,0)*Stock_year[[#This Row],[Opening Stock (Piece)]]</f>
        <v>924</v>
      </c>
      <c r="G32" s="3">
        <v>0</v>
      </c>
      <c r="H32" s="3"/>
      <c r="I32" s="3"/>
      <c r="J32" s="3">
        <f>Stock_year[[#This Row],[Vobanipur Opening]]+Stock_year[[#This Row],[New Arrival (vobanipur)]]+Stock_year[[#This Row],[Ulukhola to Vobanipur Transfer]]</f>
        <v>231</v>
      </c>
      <c r="K32" s="3">
        <f>Stock_year[[#This Row],[Ulukhola Opening]]+Stock_year[[#This Row],[New Arrival(ulukhola)]]-Stock_year[[#This Row],[Ulukhola to Vobanipur Transfer]]</f>
        <v>0</v>
      </c>
      <c r="L32" s="3">
        <f>Stock_year[[#This Row],[Opening Stock (Piece)]]+Stock_year[[#This Row],[New Arrival(ulukhola)]]</f>
        <v>231</v>
      </c>
      <c r="M32" s="3">
        <f>SUMIFS(Primary_Order[Total Qty],Primary_Order[Date],"&gt;="&amp;C$1,Primary_Order[Date],"&lt;="&amp;EOMONTH(C$1,0),Primary_Order[Product ID],Stock_year[[#This Row],[SKU ID]],Primary_Order[Status],'Stock Report'!$A$1)</f>
        <v>2</v>
      </c>
      <c r="N32" s="3">
        <f>Stock_year[[#This Row],[Vobanipur Total]]-Stock_year[[#This Row],[Sold Qty(Piece)]]</f>
        <v>229</v>
      </c>
      <c r="O32" s="3">
        <f>Stock_year[[#This Row],[Ulukhola Opening]]-Stock_year[[#This Row],[Ulukhola to Vobanipur Transfer]]+Stock_year[[#This Row],[New Arrival(ulukhola)]]</f>
        <v>0</v>
      </c>
      <c r="P32" s="3">
        <f>Stock_year[[#This Row],[Ulukhola Total]]</f>
        <v>0</v>
      </c>
      <c r="Q32" s="3">
        <v>5</v>
      </c>
      <c r="R3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5</v>
      </c>
      <c r="S32" s="303">
        <f>Stock_year[[#This Row],[Closing Stock Vobanipur]]</f>
        <v>229</v>
      </c>
      <c r="T32" s="303">
        <f>Stock_year[[#This Row],[Closing Stock Ulukhola]]</f>
        <v>0</v>
      </c>
      <c r="U32" s="303">
        <f>Stock_year[[#This Row],[Vobanipur Opening2]]+Stock_year[[#This Row],[Ulukhola Opening2]]</f>
        <v>229</v>
      </c>
      <c r="V32" s="303">
        <f>VLOOKUP(Stock_year[[#This Row],[SKU ID]],SKU[[SKU ID]:[Bottle Size(Ltr)]],6,0)*Stock_year[[#This Row],[Opening Stock (Piece)2]]</f>
        <v>916</v>
      </c>
      <c r="W32" s="303">
        <v>0</v>
      </c>
      <c r="X32" s="303"/>
      <c r="Y32" s="303"/>
      <c r="Z32" s="303">
        <f>Stock_year[[#This Row],[Vobanipur Opening2]]+Stock_year[[#This Row],[Ulukhola to Vobanipur Transfer2]]+Stock_year[[#This Row],[New Arrival (vobanipur)2]]</f>
        <v>229</v>
      </c>
      <c r="AA32" s="303">
        <f>Stock_year[[#This Row],[Ulukhola Opening2]]-Stock_year[[#This Row],[Ulukhola to Vobanipur Transfer2]]+Stock_year[[#This Row],[New Arrival(ulukhola)2]]</f>
        <v>0</v>
      </c>
      <c r="AB32" s="303">
        <f>Stock_year[[#This Row],[Vobanipur Total2]]+Stock_year[[#This Row],[Ulukhola Total2]]</f>
        <v>229</v>
      </c>
      <c r="AC32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32" s="303">
        <f>Stock_year[[#This Row],[Vobanipur Total2]]-Stock_year[[#This Row],[Sold Qty(Piece)2]]</f>
        <v>229</v>
      </c>
      <c r="AE32" s="303">
        <f>Stock_year[[#This Row],[Ulukhola Opening2]]-Stock_year[[#This Row],[Ulukhola to Vobanipur Transfer2]]+Stock_year[[#This Row],[New Arrival(ulukhola)2]]</f>
        <v>0</v>
      </c>
      <c r="AF32" s="303">
        <f>VLOOKUP(Stock_year[[#This Row],[SKU ID]],SKU[],14,0)*(Stock_year[[#This Row],[Closing Stock Vobanipur2]]+Stock_year[[#This Row],[Closing Stock Ulukhola2]])</f>
        <v>332677.46000000002</v>
      </c>
      <c r="AG32" s="303">
        <f ca="1">OFFSET(Stock_year[[#This Row],[Total Closing Stock Value2]],0,-14)</f>
        <v>5</v>
      </c>
      <c r="AH32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5</v>
      </c>
      <c r="AI32" s="302">
        <f>Stock_year[[#This Row],[Closing Stock Vobanipur2]]</f>
        <v>229</v>
      </c>
      <c r="AJ32" s="303">
        <f>Stock_year[[#This Row],[Closing Stock Ulukhola2]]</f>
        <v>0</v>
      </c>
      <c r="AK32" s="303">
        <f>Stock_year[[#This Row],[Vobanipur Opening3]]+Stock_year[[#This Row],[Ulukhola Opening3]]</f>
        <v>229</v>
      </c>
      <c r="AL32" s="303">
        <f>VLOOKUP(Stock_year[[#This Row],[SKU ID]],SKU[[SKU ID]:[Bottle Size(Ltr)]],6,0)*Stock_year[[#This Row],[Opening Stock (Piece)3]]</f>
        <v>916</v>
      </c>
      <c r="AM32" s="303">
        <v>0</v>
      </c>
      <c r="AN32" s="303"/>
      <c r="AO32" s="303"/>
      <c r="AP32" s="303">
        <f>Stock_year[[#This Row],[Vobanipur Opening3]]+Stock_year[[#This Row],[New Arrival (vobanipur)3]]+Stock_year[[#This Row],[Ulukhola to Vobanipur Transfer3]]</f>
        <v>229</v>
      </c>
      <c r="AQ32" s="303">
        <f>Stock_year[[#This Row],[Ulukhola Opening3]]-Stock_year[[#This Row],[Ulukhola to Vobanipur Transfer3]]+Stock_year[[#This Row],[New Arrival(ulukhola)3]]</f>
        <v>0</v>
      </c>
      <c r="AR32" s="303">
        <f>Stock_year[[#This Row],[Vobanipur Total3]]+Stock_year[[#This Row],[Ulukhola Total3]]</f>
        <v>229</v>
      </c>
      <c r="AS32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2" s="303">
        <f>Stock_year[[#This Row],[Vobanipur Total3]]-Stock_year[[#This Row],[Sold Qty(Piece)3]]</f>
        <v>229</v>
      </c>
      <c r="AU32" s="303">
        <f>Stock_year[[#This Row],[Ulukhola Total3]]</f>
        <v>0</v>
      </c>
      <c r="AV32" s="303">
        <f>VLOOKUP(Stock_year[[#This Row],[SKU ID]],SKU[],14,0)*(Stock_year[[#This Row],[Closing Stock Vobanipur3]]+Stock_year[[#This Row],[Closing Stock Ulukhola3]])</f>
        <v>332677.46000000002</v>
      </c>
      <c r="AW32" s="303">
        <f ca="1">Stock_year[[#This Row],[Closing Damage unit2]]</f>
        <v>5</v>
      </c>
      <c r="AX32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5</v>
      </c>
      <c r="AY32" s="32">
        <f>Stock_year[[#This Row],[Closing Stock Vobanipur3]]</f>
        <v>229</v>
      </c>
      <c r="AZ32" s="32">
        <f>Stock_year[[#This Row],[Closing Stock Ulukhola3]]</f>
        <v>0</v>
      </c>
      <c r="BA32" s="32">
        <f>Stock_year[[#This Row],[Vobanipur Opening4]]+Stock_year[[#This Row],[Ulukhola Opening4]]</f>
        <v>229</v>
      </c>
      <c r="BB32" s="32">
        <f>VLOOKUP(Stock_year[[#This Row],[SKU ID]],SKU[[SKU ID]:[Bottle Size(Ltr)]],6,0)*Stock_year[[#This Row],[Opening Stock (Piece)4]]</f>
        <v>916</v>
      </c>
      <c r="BC32" s="32">
        <v>0</v>
      </c>
      <c r="BD32" s="32"/>
      <c r="BE32" s="32"/>
      <c r="BF32" s="32">
        <f>Stock_year[[#This Row],[Vobanipur Opening4]]+Stock_year[[#This Row],[New Arrival (vobanipur)4]]+Stock_year[[#This Row],[Ulukhola to Vobanipur Transfer4]]</f>
        <v>229</v>
      </c>
      <c r="BG32" s="32">
        <f>Stock_year[[#This Row],[Ulukhola Opening4]]-Stock_year[[#This Row],[Ulukhola to Vobanipur Transfer4]]+Stock_year[[#This Row],[New Arrival(ulukhola)4]]</f>
        <v>0</v>
      </c>
      <c r="BH32" s="32">
        <f>Stock_year[[#This Row],[Vobanipur Total4]]+Stock_year[[#This Row],[Ulukhola Total4]]</f>
        <v>229</v>
      </c>
      <c r="BI32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2" s="32">
        <f>Stock_year[[#This Row],[Vobanipur Total4]]-Stock_year[[#This Row],[Sold Qty(Piece)4]]</f>
        <v>229</v>
      </c>
      <c r="BK32" s="32">
        <f>Stock_year[[#This Row],[Ulukhola Total4]]</f>
        <v>0</v>
      </c>
      <c r="BL32" s="32">
        <f>VLOOKUP(Stock_year[[#This Row],[SKU ID]],SKU[],14,0)*(Stock_year[[#This Row],[Closing Stock Vobanipur4]]+Stock_year[[#This Row],[Closing Stock Ulukhola4]])</f>
        <v>332677.46000000002</v>
      </c>
      <c r="BM32" s="32">
        <f ca="1">Stock_year[[#This Row],[Closing Damage unit3]]</f>
        <v>5</v>
      </c>
      <c r="BN3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5</v>
      </c>
    </row>
    <row r="33" spans="1:66" x14ac:dyDescent="0.5">
      <c r="A33" t="s">
        <v>71</v>
      </c>
      <c r="B33" t="s">
        <v>792</v>
      </c>
      <c r="C33" s="329">
        <v>531</v>
      </c>
      <c r="D33" s="3">
        <v>0</v>
      </c>
      <c r="E33" s="3">
        <f>Stock_year[[#This Row],[Vobanipur Opening]]+Stock_year[[#This Row],[Ulukhola Opening]]</f>
        <v>531</v>
      </c>
      <c r="F33" s="3">
        <f>VLOOKUP(Stock_year[[#This Row],[SKU ID]],SKU[[SKU ID]:[Bottle Size(Ltr)]],6,0)*Stock_year[[#This Row],[Opening Stock (Piece)]]</f>
        <v>2124</v>
      </c>
      <c r="G33" s="3">
        <v>0</v>
      </c>
      <c r="H33" s="3"/>
      <c r="I33" s="3"/>
      <c r="J33" s="3">
        <f>Stock_year[[#This Row],[Vobanipur Opening]]+Stock_year[[#This Row],[New Arrival (vobanipur)]]+Stock_year[[#This Row],[Ulukhola to Vobanipur Transfer]]</f>
        <v>531</v>
      </c>
      <c r="K33" s="3">
        <f>Stock_year[[#This Row],[Ulukhola Opening]]+Stock_year[[#This Row],[New Arrival(ulukhola)]]-Stock_year[[#This Row],[Ulukhola to Vobanipur Transfer]]</f>
        <v>0</v>
      </c>
      <c r="L33" s="3">
        <f>Stock_year[[#This Row],[Opening Stock (Piece)]]+Stock_year[[#This Row],[New Arrival(ulukhola)]]</f>
        <v>531</v>
      </c>
      <c r="M33" s="3">
        <f>SUMIFS(Primary_Order[Total Qty],Primary_Order[Date],"&gt;="&amp;C$1,Primary_Order[Date],"&lt;="&amp;EOMONTH(C$1,0),Primary_Order[Product ID],Stock_year[[#This Row],[SKU ID]],Primary_Order[Status],'Stock Report'!$A$1)</f>
        <v>3</v>
      </c>
      <c r="N33" s="3">
        <f>Stock_year[[#This Row],[Vobanipur Total]]-Stock_year[[#This Row],[Sold Qty(Piece)]]</f>
        <v>528</v>
      </c>
      <c r="O33" s="3">
        <f>Stock_year[[#This Row],[Ulukhola Opening]]-Stock_year[[#This Row],[Ulukhola to Vobanipur Transfer]]+Stock_year[[#This Row],[New Arrival(ulukhola)]]</f>
        <v>0</v>
      </c>
      <c r="P33" s="3">
        <f>Stock_year[[#This Row],[Ulukhola Total]]</f>
        <v>0</v>
      </c>
      <c r="Q33" s="3">
        <v>7</v>
      </c>
      <c r="R33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7</v>
      </c>
      <c r="S33" s="303">
        <f>Stock_year[[#This Row],[Closing Stock Vobanipur]]</f>
        <v>528</v>
      </c>
      <c r="T33" s="303">
        <f>Stock_year[[#This Row],[Closing Stock Ulukhola]]</f>
        <v>0</v>
      </c>
      <c r="U33" s="303">
        <f>Stock_year[[#This Row],[Vobanipur Opening2]]+Stock_year[[#This Row],[Ulukhola Opening2]]</f>
        <v>528</v>
      </c>
      <c r="V33" s="303">
        <f>VLOOKUP(Stock_year[[#This Row],[SKU ID]],SKU[[SKU ID]:[Bottle Size(Ltr)]],6,0)*Stock_year[[#This Row],[Opening Stock (Piece)2]]</f>
        <v>2112</v>
      </c>
      <c r="W33" s="303">
        <v>0</v>
      </c>
      <c r="X33" s="303"/>
      <c r="Y33" s="303"/>
      <c r="Z33" s="303">
        <f>Stock_year[[#This Row],[Vobanipur Opening2]]+Stock_year[[#This Row],[Ulukhola to Vobanipur Transfer2]]+Stock_year[[#This Row],[New Arrival (vobanipur)2]]</f>
        <v>528</v>
      </c>
      <c r="AA33" s="303">
        <f>Stock_year[[#This Row],[Ulukhola Opening2]]-Stock_year[[#This Row],[Ulukhola to Vobanipur Transfer2]]+Stock_year[[#This Row],[New Arrival(ulukhola)2]]</f>
        <v>0</v>
      </c>
      <c r="AB33" s="303">
        <f>Stock_year[[#This Row],[Vobanipur Total2]]+Stock_year[[#This Row],[Ulukhola Total2]]</f>
        <v>528</v>
      </c>
      <c r="AC33" s="303">
        <f>SUMIFS(Primary_Order[Total Qty],Primary_Order[Date],"&gt;="&amp;S$1,Primary_Order[Date],"&lt;="&amp;EOMONTH(S$1,0),Primary_Order[Product ID],Stock_year[[#This Row],[SKU ID]],Primary_Order[Status],'Stock Report'!$A$1)</f>
        <v>2</v>
      </c>
      <c r="AD33" s="303">
        <f>Stock_year[[#This Row],[Vobanipur Total2]]-Stock_year[[#This Row],[Sold Qty(Piece)2]]</f>
        <v>526</v>
      </c>
      <c r="AE33" s="303">
        <f>Stock_year[[#This Row],[Ulukhola Opening2]]-Stock_year[[#This Row],[Ulukhola to Vobanipur Transfer2]]+Stock_year[[#This Row],[New Arrival(ulukhola)2]]</f>
        <v>0</v>
      </c>
      <c r="AF33" s="303">
        <f>VLOOKUP(Stock_year[[#This Row],[SKU ID]],SKU[],14,0)*(Stock_year[[#This Row],[Closing Stock Vobanipur2]]+Stock_year[[#This Row],[Closing Stock Ulukhola2]])</f>
        <v>695777.02</v>
      </c>
      <c r="AG33" s="303">
        <f ca="1">OFFSET(Stock_year[[#This Row],[Total Closing Stock Value2]],0,-14)</f>
        <v>7</v>
      </c>
      <c r="AH33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7</v>
      </c>
      <c r="AI33" s="302">
        <f>Stock_year[[#This Row],[Closing Stock Vobanipur2]]</f>
        <v>526</v>
      </c>
      <c r="AJ33" s="303">
        <f>Stock_year[[#This Row],[Closing Stock Ulukhola2]]</f>
        <v>0</v>
      </c>
      <c r="AK33" s="303">
        <f>Stock_year[[#This Row],[Vobanipur Opening3]]+Stock_year[[#This Row],[Ulukhola Opening3]]</f>
        <v>526</v>
      </c>
      <c r="AL33" s="303">
        <f>VLOOKUP(Stock_year[[#This Row],[SKU ID]],SKU[[SKU ID]:[Bottle Size(Ltr)]],6,0)*Stock_year[[#This Row],[Opening Stock (Piece)3]]</f>
        <v>2104</v>
      </c>
      <c r="AM33" s="303">
        <v>0</v>
      </c>
      <c r="AN33" s="303"/>
      <c r="AO33" s="303"/>
      <c r="AP33" s="303">
        <f>Stock_year[[#This Row],[Vobanipur Opening3]]+Stock_year[[#This Row],[New Arrival (vobanipur)3]]+Stock_year[[#This Row],[Ulukhola to Vobanipur Transfer3]]</f>
        <v>526</v>
      </c>
      <c r="AQ33" s="303">
        <f>Stock_year[[#This Row],[Ulukhola Opening3]]-Stock_year[[#This Row],[Ulukhola to Vobanipur Transfer3]]+Stock_year[[#This Row],[New Arrival(ulukhola)3]]</f>
        <v>0</v>
      </c>
      <c r="AR33" s="303">
        <f>Stock_year[[#This Row],[Vobanipur Total3]]+Stock_year[[#This Row],[Ulukhola Total3]]</f>
        <v>526</v>
      </c>
      <c r="AS33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3" s="303">
        <f>Stock_year[[#This Row],[Vobanipur Total3]]-Stock_year[[#This Row],[Sold Qty(Piece)3]]</f>
        <v>526</v>
      </c>
      <c r="AU33" s="303">
        <f>Stock_year[[#This Row],[Ulukhola Total3]]</f>
        <v>0</v>
      </c>
      <c r="AV33" s="303">
        <f>VLOOKUP(Stock_year[[#This Row],[SKU ID]],SKU[],14,0)*(Stock_year[[#This Row],[Closing Stock Vobanipur3]]+Stock_year[[#This Row],[Closing Stock Ulukhola3]])</f>
        <v>695777.02</v>
      </c>
      <c r="AW33" s="303">
        <f ca="1">Stock_year[[#This Row],[Closing Damage unit2]]</f>
        <v>7</v>
      </c>
      <c r="AX33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7</v>
      </c>
      <c r="AY33" s="32">
        <f>Stock_year[[#This Row],[Closing Stock Vobanipur3]]</f>
        <v>526</v>
      </c>
      <c r="AZ33" s="32">
        <f>Stock_year[[#This Row],[Closing Stock Ulukhola3]]</f>
        <v>0</v>
      </c>
      <c r="BA33" s="32">
        <f>Stock_year[[#This Row],[Vobanipur Opening4]]+Stock_year[[#This Row],[Ulukhola Opening4]]</f>
        <v>526</v>
      </c>
      <c r="BB33" s="32">
        <f>VLOOKUP(Stock_year[[#This Row],[SKU ID]],SKU[[SKU ID]:[Bottle Size(Ltr)]],6,0)*Stock_year[[#This Row],[Opening Stock (Piece)4]]</f>
        <v>2104</v>
      </c>
      <c r="BC33" s="32">
        <v>0</v>
      </c>
      <c r="BD33" s="32"/>
      <c r="BE33" s="32"/>
      <c r="BF33" s="32">
        <f>Stock_year[[#This Row],[Vobanipur Opening4]]+Stock_year[[#This Row],[New Arrival (vobanipur)4]]+Stock_year[[#This Row],[Ulukhola to Vobanipur Transfer4]]</f>
        <v>526</v>
      </c>
      <c r="BG33" s="32">
        <f>Stock_year[[#This Row],[Ulukhola Opening4]]-Stock_year[[#This Row],[Ulukhola to Vobanipur Transfer4]]+Stock_year[[#This Row],[New Arrival(ulukhola)4]]</f>
        <v>0</v>
      </c>
      <c r="BH33" s="32">
        <f>Stock_year[[#This Row],[Vobanipur Total4]]+Stock_year[[#This Row],[Ulukhola Total4]]</f>
        <v>526</v>
      </c>
      <c r="BI33" s="32">
        <f>SUMIFS(Primary_Order[Total Qty],Primary_Order[Date],"&gt;="&amp;AY$1,Primary_Order[Date],"&lt;="&amp;EOMONTH(AY$1,0),Primary_Order[Product ID],Stock_year[[#This Row],[SKU ID]],Primary_Order[Status],'Stock Report'!$A$1)</f>
        <v>95</v>
      </c>
      <c r="BJ33" s="32">
        <f>Stock_year[[#This Row],[Vobanipur Total4]]-Stock_year[[#This Row],[Sold Qty(Piece)4]]</f>
        <v>431</v>
      </c>
      <c r="BK33" s="32">
        <f>Stock_year[[#This Row],[Ulukhola Total4]]</f>
        <v>0</v>
      </c>
      <c r="BL33" s="32">
        <f>VLOOKUP(Stock_year[[#This Row],[SKU ID]],SKU[],14,0)*(Stock_year[[#This Row],[Closing Stock Vobanipur4]]+Stock_year[[#This Row],[Closing Stock Ulukhola4]])</f>
        <v>570113.87</v>
      </c>
      <c r="BM33" s="32">
        <f ca="1">Stock_year[[#This Row],[Closing Damage unit3]]</f>
        <v>7</v>
      </c>
      <c r="BN33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7</v>
      </c>
    </row>
    <row r="34" spans="1:66" x14ac:dyDescent="0.5">
      <c r="A34" t="s">
        <v>143</v>
      </c>
      <c r="B34" t="s">
        <v>793</v>
      </c>
      <c r="C34" s="329">
        <v>73</v>
      </c>
      <c r="D34" s="3">
        <v>0</v>
      </c>
      <c r="E34" s="3">
        <f>Stock_year[[#This Row],[Vobanipur Opening]]+Stock_year[[#This Row],[Ulukhola Opening]]</f>
        <v>73</v>
      </c>
      <c r="F34" s="3">
        <f>VLOOKUP(Stock_year[[#This Row],[SKU ID]],SKU[[SKU ID]:[Bottle Size(Ltr)]],6,0)*Stock_year[[#This Row],[Opening Stock (Piece)]]</f>
        <v>73</v>
      </c>
      <c r="G34" s="3">
        <v>0</v>
      </c>
      <c r="H34" s="3"/>
      <c r="I34" s="3"/>
      <c r="J34" s="3">
        <f>Stock_year[[#This Row],[Vobanipur Opening]]+Stock_year[[#This Row],[New Arrival (vobanipur)]]+Stock_year[[#This Row],[Ulukhola to Vobanipur Transfer]]</f>
        <v>73</v>
      </c>
      <c r="K34" s="3">
        <f>Stock_year[[#This Row],[Ulukhola Opening]]+Stock_year[[#This Row],[New Arrival(ulukhola)]]-Stock_year[[#This Row],[Ulukhola to Vobanipur Transfer]]</f>
        <v>0</v>
      </c>
      <c r="L34" s="3">
        <f>Stock_year[[#This Row],[Opening Stock (Piece)]]+Stock_year[[#This Row],[New Arrival(ulukhola)]]</f>
        <v>73</v>
      </c>
      <c r="M34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4" s="3">
        <f>Stock_year[[#This Row],[Vobanipur Total]]-Stock_year[[#This Row],[Sold Qty(Piece)]]</f>
        <v>73</v>
      </c>
      <c r="O34" s="3">
        <f>Stock_year[[#This Row],[Ulukhola Opening]]-Stock_year[[#This Row],[Ulukhola to Vobanipur Transfer]]+Stock_year[[#This Row],[New Arrival(ulukhola)]]</f>
        <v>0</v>
      </c>
      <c r="P34" s="3">
        <f>Stock_year[[#This Row],[Ulukhola Total]]</f>
        <v>0</v>
      </c>
      <c r="Q34" s="3">
        <v>423</v>
      </c>
      <c r="R3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423</v>
      </c>
      <c r="S34" s="303">
        <f>Stock_year[[#This Row],[Closing Stock Vobanipur]]</f>
        <v>73</v>
      </c>
      <c r="T34" s="303">
        <f>Stock_year[[#This Row],[Closing Stock Ulukhola]]</f>
        <v>0</v>
      </c>
      <c r="U34" s="303">
        <f>Stock_year[[#This Row],[Vobanipur Opening2]]+Stock_year[[#This Row],[Ulukhola Opening2]]</f>
        <v>73</v>
      </c>
      <c r="V34" s="303">
        <f>VLOOKUP(Stock_year[[#This Row],[SKU ID]],SKU[[SKU ID]:[Bottle Size(Ltr)]],6,0)*Stock_year[[#This Row],[Opening Stock (Piece)2]]</f>
        <v>73</v>
      </c>
      <c r="W34" s="303">
        <v>0</v>
      </c>
      <c r="X34" s="303"/>
      <c r="Y34" s="303"/>
      <c r="Z34" s="303">
        <f>Stock_year[[#This Row],[Vobanipur Opening2]]+Stock_year[[#This Row],[Ulukhola to Vobanipur Transfer2]]+Stock_year[[#This Row],[New Arrival (vobanipur)2]]</f>
        <v>73</v>
      </c>
      <c r="AA34" s="303">
        <f>Stock_year[[#This Row],[Ulukhola Opening2]]-Stock_year[[#This Row],[Ulukhola to Vobanipur Transfer2]]+Stock_year[[#This Row],[New Arrival(ulukhola)2]]</f>
        <v>0</v>
      </c>
      <c r="AB34" s="303">
        <f>Stock_year[[#This Row],[Vobanipur Total2]]+Stock_year[[#This Row],[Ulukhola Total2]]</f>
        <v>73</v>
      </c>
      <c r="AC34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34" s="303">
        <f>Stock_year[[#This Row],[Vobanipur Total2]]-Stock_year[[#This Row],[Sold Qty(Piece)2]]</f>
        <v>73</v>
      </c>
      <c r="AE34" s="303">
        <f>Stock_year[[#This Row],[Ulukhola Opening2]]-Stock_year[[#This Row],[Ulukhola to Vobanipur Transfer2]]+Stock_year[[#This Row],[New Arrival(ulukhola)2]]</f>
        <v>0</v>
      </c>
      <c r="AF34" s="303">
        <f>VLOOKUP(Stock_year[[#This Row],[SKU ID]],SKU[],14,0)*(Stock_year[[#This Row],[Closing Stock Vobanipur2]]+Stock_year[[#This Row],[Closing Stock Ulukhola2]])</f>
        <v>25066.739999999998</v>
      </c>
      <c r="AG34" s="303">
        <f ca="1">OFFSET(Stock_year[[#This Row],[Total Closing Stock Value2]],0,-14)</f>
        <v>423</v>
      </c>
      <c r="AH3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423</v>
      </c>
      <c r="AI34" s="302">
        <f>Stock_year[[#This Row],[Closing Stock Vobanipur2]]</f>
        <v>73</v>
      </c>
      <c r="AJ34" s="303">
        <f>Stock_year[[#This Row],[Closing Stock Ulukhola2]]</f>
        <v>0</v>
      </c>
      <c r="AK34" s="303">
        <f>Stock_year[[#This Row],[Vobanipur Opening3]]+Stock_year[[#This Row],[Ulukhola Opening3]]</f>
        <v>73</v>
      </c>
      <c r="AL34" s="303">
        <f>VLOOKUP(Stock_year[[#This Row],[SKU ID]],SKU[[SKU ID]:[Bottle Size(Ltr)]],6,0)*Stock_year[[#This Row],[Opening Stock (Piece)3]]</f>
        <v>73</v>
      </c>
      <c r="AM34" s="303">
        <v>0</v>
      </c>
      <c r="AN34" s="303"/>
      <c r="AO34" s="303"/>
      <c r="AP34" s="303">
        <f>Stock_year[[#This Row],[Vobanipur Opening3]]+Stock_year[[#This Row],[New Arrival (vobanipur)3]]+Stock_year[[#This Row],[Ulukhola to Vobanipur Transfer3]]</f>
        <v>73</v>
      </c>
      <c r="AQ34" s="303">
        <f>Stock_year[[#This Row],[Ulukhola Opening3]]-Stock_year[[#This Row],[Ulukhola to Vobanipur Transfer3]]+Stock_year[[#This Row],[New Arrival(ulukhola)3]]</f>
        <v>0</v>
      </c>
      <c r="AR34" s="303">
        <f>Stock_year[[#This Row],[Vobanipur Total3]]+Stock_year[[#This Row],[Ulukhola Total3]]</f>
        <v>73</v>
      </c>
      <c r="AS34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4" s="303">
        <f>Stock_year[[#This Row],[Vobanipur Total3]]-Stock_year[[#This Row],[Sold Qty(Piece)3]]</f>
        <v>73</v>
      </c>
      <c r="AU34" s="303">
        <f>Stock_year[[#This Row],[Ulukhola Total3]]</f>
        <v>0</v>
      </c>
      <c r="AV34" s="303">
        <f>VLOOKUP(Stock_year[[#This Row],[SKU ID]],SKU[],14,0)*(Stock_year[[#This Row],[Closing Stock Vobanipur3]]+Stock_year[[#This Row],[Closing Stock Ulukhola3]])</f>
        <v>25066.739999999998</v>
      </c>
      <c r="AW34" s="303">
        <f ca="1">Stock_year[[#This Row],[Closing Damage unit2]]</f>
        <v>423</v>
      </c>
      <c r="AX3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423</v>
      </c>
      <c r="AY34" s="32">
        <f>Stock_year[[#This Row],[Closing Stock Vobanipur3]]</f>
        <v>73</v>
      </c>
      <c r="AZ34" s="32">
        <f>Stock_year[[#This Row],[Closing Stock Ulukhola3]]</f>
        <v>0</v>
      </c>
      <c r="BA34" s="32">
        <f>Stock_year[[#This Row],[Vobanipur Opening4]]+Stock_year[[#This Row],[Ulukhola Opening4]]</f>
        <v>73</v>
      </c>
      <c r="BB34" s="32">
        <f>VLOOKUP(Stock_year[[#This Row],[SKU ID]],SKU[[SKU ID]:[Bottle Size(Ltr)]],6,0)*Stock_year[[#This Row],[Opening Stock (Piece)4]]</f>
        <v>73</v>
      </c>
      <c r="BC34" s="32">
        <v>0</v>
      </c>
      <c r="BD34" s="32"/>
      <c r="BE34" s="32"/>
      <c r="BF34" s="32">
        <f>Stock_year[[#This Row],[Vobanipur Opening4]]+Stock_year[[#This Row],[New Arrival (vobanipur)4]]+Stock_year[[#This Row],[Ulukhola to Vobanipur Transfer4]]</f>
        <v>73</v>
      </c>
      <c r="BG34" s="32">
        <f>Stock_year[[#This Row],[Ulukhola Opening4]]-Stock_year[[#This Row],[Ulukhola to Vobanipur Transfer4]]+Stock_year[[#This Row],[New Arrival(ulukhola)4]]</f>
        <v>0</v>
      </c>
      <c r="BH34" s="32">
        <f>Stock_year[[#This Row],[Vobanipur Total4]]+Stock_year[[#This Row],[Ulukhola Total4]]</f>
        <v>73</v>
      </c>
      <c r="BI34" s="32">
        <f>SUMIFS(Primary_Order[Total Qty],Primary_Order[Date],"&gt;="&amp;AY$1,Primary_Order[Date],"&lt;="&amp;EOMONTH(AY$1,0),Primary_Order[Product ID],Stock_year[[#This Row],[SKU ID]],Primary_Order[Status],'Stock Report'!$A$1)</f>
        <v>8</v>
      </c>
      <c r="BJ34" s="32">
        <f>Stock_year[[#This Row],[Vobanipur Total4]]-Stock_year[[#This Row],[Sold Qty(Piece)4]]</f>
        <v>65</v>
      </c>
      <c r="BK34" s="32">
        <f>Stock_year[[#This Row],[Ulukhola Total4]]</f>
        <v>0</v>
      </c>
      <c r="BL34" s="32">
        <f>VLOOKUP(Stock_year[[#This Row],[SKU ID]],SKU[],14,0)*(Stock_year[[#This Row],[Closing Stock Vobanipur4]]+Stock_year[[#This Row],[Closing Stock Ulukhola4]])</f>
        <v>22319.7</v>
      </c>
      <c r="BM34" s="32">
        <f ca="1">Stock_year[[#This Row],[Closing Damage unit3]]</f>
        <v>423</v>
      </c>
      <c r="BN3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423</v>
      </c>
    </row>
    <row r="35" spans="1:66" x14ac:dyDescent="0.5">
      <c r="A35" t="s">
        <v>181</v>
      </c>
      <c r="B35" t="s">
        <v>794</v>
      </c>
      <c r="C35" s="329">
        <v>213</v>
      </c>
      <c r="D35" s="3">
        <v>0</v>
      </c>
      <c r="E35" s="3">
        <f>Stock_year[[#This Row],[Vobanipur Opening]]+Stock_year[[#This Row],[Ulukhola Opening]]</f>
        <v>213</v>
      </c>
      <c r="F35" s="3">
        <f>VLOOKUP(Stock_year[[#This Row],[SKU ID]],SKU[[SKU ID]:[Bottle Size(Ltr)]],6,0)*Stock_year[[#This Row],[Opening Stock (Piece)]]</f>
        <v>53.25</v>
      </c>
      <c r="G35" s="3">
        <v>0</v>
      </c>
      <c r="H35" s="3"/>
      <c r="I35" s="3"/>
      <c r="J35" s="3">
        <f>Stock_year[[#This Row],[Vobanipur Opening]]+Stock_year[[#This Row],[New Arrival (vobanipur)]]+Stock_year[[#This Row],[Ulukhola to Vobanipur Transfer]]</f>
        <v>213</v>
      </c>
      <c r="K35" s="3">
        <f>Stock_year[[#This Row],[Ulukhola Opening]]+Stock_year[[#This Row],[New Arrival(ulukhola)]]-Stock_year[[#This Row],[Ulukhola to Vobanipur Transfer]]</f>
        <v>0</v>
      </c>
      <c r="L35" s="3">
        <f>Stock_year[[#This Row],[Opening Stock (Piece)]]+Stock_year[[#This Row],[New Arrival(ulukhola)]]</f>
        <v>213</v>
      </c>
      <c r="M35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5" s="3">
        <f>Stock_year[[#This Row],[Vobanipur Total]]-Stock_year[[#This Row],[Sold Qty(Piece)]]</f>
        <v>213</v>
      </c>
      <c r="O35" s="3">
        <f>Stock_year[[#This Row],[Ulukhola Opening]]-Stock_year[[#This Row],[Ulukhola to Vobanipur Transfer]]+Stock_year[[#This Row],[New Arrival(ulukhola)]]</f>
        <v>0</v>
      </c>
      <c r="P35" s="3">
        <f>Stock_year[[#This Row],[Ulukhola Total]]</f>
        <v>0</v>
      </c>
      <c r="Q35" s="3">
        <v>4</v>
      </c>
      <c r="R3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4</v>
      </c>
      <c r="S35" s="303">
        <f>Stock_year[[#This Row],[Closing Stock Vobanipur]]</f>
        <v>213</v>
      </c>
      <c r="T35" s="303">
        <f>Stock_year[[#This Row],[Closing Stock Ulukhola]]</f>
        <v>0</v>
      </c>
      <c r="U35" s="303">
        <f>Stock_year[[#This Row],[Vobanipur Opening2]]+Stock_year[[#This Row],[Ulukhola Opening2]]</f>
        <v>213</v>
      </c>
      <c r="V35" s="303">
        <f>VLOOKUP(Stock_year[[#This Row],[SKU ID]],SKU[[SKU ID]:[Bottle Size(Ltr)]],6,0)*Stock_year[[#This Row],[Opening Stock (Piece)2]]</f>
        <v>53.25</v>
      </c>
      <c r="W35" s="303">
        <v>0</v>
      </c>
      <c r="X35" s="303"/>
      <c r="Y35" s="303"/>
      <c r="Z35" s="303">
        <f>Stock_year[[#This Row],[Vobanipur Opening2]]+Stock_year[[#This Row],[Ulukhola to Vobanipur Transfer2]]+Stock_year[[#This Row],[New Arrival (vobanipur)2]]</f>
        <v>213</v>
      </c>
      <c r="AA35" s="303">
        <f>Stock_year[[#This Row],[Ulukhola Opening2]]-Stock_year[[#This Row],[Ulukhola to Vobanipur Transfer2]]+Stock_year[[#This Row],[New Arrival(ulukhola)2]]</f>
        <v>0</v>
      </c>
      <c r="AB35" s="303">
        <f>Stock_year[[#This Row],[Vobanipur Total2]]+Stock_year[[#This Row],[Ulukhola Total2]]</f>
        <v>213</v>
      </c>
      <c r="AC35" s="303">
        <f>SUMIFS(Primary_Order[Total Qty],Primary_Order[Date],"&gt;="&amp;S$1,Primary_Order[Date],"&lt;="&amp;EOMONTH(S$1,0),Primary_Order[Product ID],Stock_year[[#This Row],[SKU ID]],Primary_Order[Status],'Stock Report'!$A$1)</f>
        <v>213</v>
      </c>
      <c r="AD35" s="303">
        <f>Stock_year[[#This Row],[Vobanipur Total2]]-Stock_year[[#This Row],[Sold Qty(Piece)2]]</f>
        <v>0</v>
      </c>
      <c r="AE35" s="303">
        <f>Stock_year[[#This Row],[Ulukhola Opening2]]-Stock_year[[#This Row],[Ulukhola to Vobanipur Transfer2]]+Stock_year[[#This Row],[New Arrival(ulukhola)2]]</f>
        <v>0</v>
      </c>
      <c r="AF35" s="303">
        <f>VLOOKUP(Stock_year[[#This Row],[SKU ID]],SKU[],14,0)*(Stock_year[[#This Row],[Closing Stock Vobanipur2]]+Stock_year[[#This Row],[Closing Stock Ulukhola2]])</f>
        <v>0</v>
      </c>
      <c r="AG35" s="303">
        <f ca="1">OFFSET(Stock_year[[#This Row],[Total Closing Stock Value2]],0,-14)</f>
        <v>4</v>
      </c>
      <c r="AH3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4</v>
      </c>
      <c r="AI35" s="302">
        <f>Stock_year[[#This Row],[Closing Stock Vobanipur2]]</f>
        <v>0</v>
      </c>
      <c r="AJ35" s="303">
        <f>Stock_year[[#This Row],[Closing Stock Ulukhola2]]</f>
        <v>0</v>
      </c>
      <c r="AK35" s="303">
        <f>Stock_year[[#This Row],[Vobanipur Opening3]]+Stock_year[[#This Row],[Ulukhola Opening3]]</f>
        <v>0</v>
      </c>
      <c r="AL35" s="303">
        <f>VLOOKUP(Stock_year[[#This Row],[SKU ID]],SKU[[SKU ID]:[Bottle Size(Ltr)]],6,0)*Stock_year[[#This Row],[Opening Stock (Piece)3]]</f>
        <v>0</v>
      </c>
      <c r="AM35" s="303">
        <v>0</v>
      </c>
      <c r="AN35" s="303"/>
      <c r="AO35" s="303"/>
      <c r="AP35" s="303">
        <f>Stock_year[[#This Row],[Vobanipur Opening3]]+Stock_year[[#This Row],[New Arrival (vobanipur)3]]+Stock_year[[#This Row],[Ulukhola to Vobanipur Transfer3]]</f>
        <v>0</v>
      </c>
      <c r="AQ35" s="303">
        <f>Stock_year[[#This Row],[Ulukhola Opening3]]-Stock_year[[#This Row],[Ulukhola to Vobanipur Transfer3]]+Stock_year[[#This Row],[New Arrival(ulukhola)3]]</f>
        <v>0</v>
      </c>
      <c r="AR35" s="303">
        <f>Stock_year[[#This Row],[Vobanipur Total3]]+Stock_year[[#This Row],[Ulukhola Total3]]</f>
        <v>0</v>
      </c>
      <c r="AS35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5" s="303">
        <f>Stock_year[[#This Row],[Vobanipur Total3]]-Stock_year[[#This Row],[Sold Qty(Piece)3]]</f>
        <v>0</v>
      </c>
      <c r="AU35" s="303">
        <f>Stock_year[[#This Row],[Ulukhola Total3]]</f>
        <v>0</v>
      </c>
      <c r="AV35" s="303">
        <f>VLOOKUP(Stock_year[[#This Row],[SKU ID]],SKU[],14,0)*(Stock_year[[#This Row],[Closing Stock Vobanipur3]]+Stock_year[[#This Row],[Closing Stock Ulukhola3]])</f>
        <v>0</v>
      </c>
      <c r="AW35" s="303">
        <f ca="1">Stock_year[[#This Row],[Closing Damage unit2]]</f>
        <v>4</v>
      </c>
      <c r="AX3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4</v>
      </c>
      <c r="AY35" s="32">
        <f>Stock_year[[#This Row],[Closing Stock Vobanipur3]]</f>
        <v>0</v>
      </c>
      <c r="AZ35" s="32">
        <f>Stock_year[[#This Row],[Closing Stock Ulukhola3]]</f>
        <v>0</v>
      </c>
      <c r="BA35" s="32">
        <f>Stock_year[[#This Row],[Vobanipur Opening4]]+Stock_year[[#This Row],[Ulukhola Opening4]]</f>
        <v>0</v>
      </c>
      <c r="BB35" s="32">
        <f>VLOOKUP(Stock_year[[#This Row],[SKU ID]],SKU[[SKU ID]:[Bottle Size(Ltr)]],6,0)*Stock_year[[#This Row],[Opening Stock (Piece)4]]</f>
        <v>0</v>
      </c>
      <c r="BC35" s="32">
        <v>0</v>
      </c>
      <c r="BD35" s="32"/>
      <c r="BE35" s="32"/>
      <c r="BF35" s="32">
        <f>Stock_year[[#This Row],[Vobanipur Opening4]]+Stock_year[[#This Row],[New Arrival (vobanipur)4]]+Stock_year[[#This Row],[Ulukhola to Vobanipur Transfer4]]</f>
        <v>0</v>
      </c>
      <c r="BG35" s="32">
        <f>Stock_year[[#This Row],[Ulukhola Opening4]]-Stock_year[[#This Row],[Ulukhola to Vobanipur Transfer4]]+Stock_year[[#This Row],[New Arrival(ulukhola)4]]</f>
        <v>0</v>
      </c>
      <c r="BH35" s="32">
        <f>Stock_year[[#This Row],[Vobanipur Total4]]+Stock_year[[#This Row],[Ulukhola Total4]]</f>
        <v>0</v>
      </c>
      <c r="BI35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5" s="32">
        <f>Stock_year[[#This Row],[Vobanipur Total4]]-Stock_year[[#This Row],[Sold Qty(Piece)4]]</f>
        <v>0</v>
      </c>
      <c r="BK35" s="32">
        <f>Stock_year[[#This Row],[Ulukhola Total4]]</f>
        <v>0</v>
      </c>
      <c r="BL35" s="32">
        <f>VLOOKUP(Stock_year[[#This Row],[SKU ID]],SKU[],14,0)*(Stock_year[[#This Row],[Closing Stock Vobanipur4]]+Stock_year[[#This Row],[Closing Stock Ulukhola4]])</f>
        <v>0</v>
      </c>
      <c r="BM35" s="32">
        <f ca="1">Stock_year[[#This Row],[Closing Damage unit3]]</f>
        <v>4</v>
      </c>
      <c r="BN3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4</v>
      </c>
    </row>
    <row r="36" spans="1:66" x14ac:dyDescent="0.5">
      <c r="A36" t="s">
        <v>193</v>
      </c>
      <c r="B36" t="s">
        <v>795</v>
      </c>
      <c r="C36" s="329">
        <v>222</v>
      </c>
      <c r="D36" s="3">
        <v>0</v>
      </c>
      <c r="E36" s="3">
        <f>Stock_year[[#This Row],[Vobanipur Opening]]+Stock_year[[#This Row],[Ulukhola Opening]]</f>
        <v>222</v>
      </c>
      <c r="F36" s="3">
        <f>VLOOKUP(Stock_year[[#This Row],[SKU ID]],SKU[[SKU ID]:[Bottle Size(Ltr)]],6,0)*Stock_year[[#This Row],[Opening Stock (Piece)]]</f>
        <v>55.5</v>
      </c>
      <c r="G36" s="3">
        <v>0</v>
      </c>
      <c r="H36" s="3"/>
      <c r="I36" s="3"/>
      <c r="J36" s="3">
        <f>Stock_year[[#This Row],[Vobanipur Opening]]+Stock_year[[#This Row],[New Arrival (vobanipur)]]+Stock_year[[#This Row],[Ulukhola to Vobanipur Transfer]]</f>
        <v>222</v>
      </c>
      <c r="K36" s="3">
        <f>Stock_year[[#This Row],[Ulukhola Opening]]+Stock_year[[#This Row],[New Arrival(ulukhola)]]-Stock_year[[#This Row],[Ulukhola to Vobanipur Transfer]]</f>
        <v>0</v>
      </c>
      <c r="L36" s="3">
        <f>Stock_year[[#This Row],[Opening Stock (Piece)]]+Stock_year[[#This Row],[New Arrival(ulukhola)]]</f>
        <v>222</v>
      </c>
      <c r="M36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6" s="3">
        <f>Stock_year[[#This Row],[Vobanipur Total]]-Stock_year[[#This Row],[Sold Qty(Piece)]]</f>
        <v>222</v>
      </c>
      <c r="O36" s="3">
        <f>Stock_year[[#This Row],[Ulukhola Opening]]-Stock_year[[#This Row],[Ulukhola to Vobanipur Transfer]]+Stock_year[[#This Row],[New Arrival(ulukhola)]]</f>
        <v>0</v>
      </c>
      <c r="P36" s="3">
        <f>Stock_year[[#This Row],[Ulukhola Total]]</f>
        <v>0</v>
      </c>
      <c r="Q36" s="3">
        <v>2</v>
      </c>
      <c r="R3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36" s="303">
        <f>Stock_year[[#This Row],[Closing Stock Vobanipur]]</f>
        <v>222</v>
      </c>
      <c r="T36" s="303">
        <f>Stock_year[[#This Row],[Closing Stock Ulukhola]]</f>
        <v>0</v>
      </c>
      <c r="U36" s="303">
        <f>Stock_year[[#This Row],[Vobanipur Opening2]]+Stock_year[[#This Row],[Ulukhola Opening2]]</f>
        <v>222</v>
      </c>
      <c r="V36" s="303">
        <f>VLOOKUP(Stock_year[[#This Row],[SKU ID]],SKU[[SKU ID]:[Bottle Size(Ltr)]],6,0)*Stock_year[[#This Row],[Opening Stock (Piece)2]]</f>
        <v>55.5</v>
      </c>
      <c r="W36" s="303">
        <v>0</v>
      </c>
      <c r="X36" s="303"/>
      <c r="Y36" s="303"/>
      <c r="Z36" s="303">
        <f>Stock_year[[#This Row],[Vobanipur Opening2]]+Stock_year[[#This Row],[Ulukhola to Vobanipur Transfer2]]+Stock_year[[#This Row],[New Arrival (vobanipur)2]]</f>
        <v>222</v>
      </c>
      <c r="AA36" s="303">
        <f>Stock_year[[#This Row],[Ulukhola Opening2]]-Stock_year[[#This Row],[Ulukhola to Vobanipur Transfer2]]+Stock_year[[#This Row],[New Arrival(ulukhola)2]]</f>
        <v>0</v>
      </c>
      <c r="AB36" s="303">
        <f>Stock_year[[#This Row],[Vobanipur Total2]]+Stock_year[[#This Row],[Ulukhola Total2]]</f>
        <v>222</v>
      </c>
      <c r="AC36" s="303">
        <f>SUMIFS(Primary_Order[Total Qty],Primary_Order[Date],"&gt;="&amp;S$1,Primary_Order[Date],"&lt;="&amp;EOMONTH(S$1,0),Primary_Order[Product ID],Stock_year[[#This Row],[SKU ID]],Primary_Order[Status],'Stock Report'!$A$1)</f>
        <v>222</v>
      </c>
      <c r="AD36" s="303">
        <f>Stock_year[[#This Row],[Vobanipur Total2]]-Stock_year[[#This Row],[Sold Qty(Piece)2]]</f>
        <v>0</v>
      </c>
      <c r="AE36" s="303">
        <f>Stock_year[[#This Row],[Ulukhola Opening2]]-Stock_year[[#This Row],[Ulukhola to Vobanipur Transfer2]]+Stock_year[[#This Row],[New Arrival(ulukhola)2]]</f>
        <v>0</v>
      </c>
      <c r="AF36" s="303">
        <f>VLOOKUP(Stock_year[[#This Row],[SKU ID]],SKU[],14,0)*(Stock_year[[#This Row],[Closing Stock Vobanipur2]]+Stock_year[[#This Row],[Closing Stock Ulukhola2]])</f>
        <v>0</v>
      </c>
      <c r="AG36" s="303">
        <f ca="1">OFFSET(Stock_year[[#This Row],[Total Closing Stock Value2]],0,-14)</f>
        <v>2</v>
      </c>
      <c r="AH3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36" s="302">
        <f>Stock_year[[#This Row],[Closing Stock Vobanipur2]]</f>
        <v>0</v>
      </c>
      <c r="AJ36" s="303">
        <f>Stock_year[[#This Row],[Closing Stock Ulukhola2]]</f>
        <v>0</v>
      </c>
      <c r="AK36" s="303">
        <f>Stock_year[[#This Row],[Vobanipur Opening3]]+Stock_year[[#This Row],[Ulukhola Opening3]]</f>
        <v>0</v>
      </c>
      <c r="AL36" s="303">
        <f>VLOOKUP(Stock_year[[#This Row],[SKU ID]],SKU[[SKU ID]:[Bottle Size(Ltr)]],6,0)*Stock_year[[#This Row],[Opening Stock (Piece)3]]</f>
        <v>0</v>
      </c>
      <c r="AM36" s="303">
        <v>0</v>
      </c>
      <c r="AN36" s="303"/>
      <c r="AO36" s="303"/>
      <c r="AP36" s="303">
        <f>Stock_year[[#This Row],[Vobanipur Opening3]]+Stock_year[[#This Row],[New Arrival (vobanipur)3]]+Stock_year[[#This Row],[Ulukhola to Vobanipur Transfer3]]</f>
        <v>0</v>
      </c>
      <c r="AQ36" s="303">
        <f>Stock_year[[#This Row],[Ulukhola Opening3]]-Stock_year[[#This Row],[Ulukhola to Vobanipur Transfer3]]+Stock_year[[#This Row],[New Arrival(ulukhola)3]]</f>
        <v>0</v>
      </c>
      <c r="AR36" s="303">
        <f>Stock_year[[#This Row],[Vobanipur Total3]]+Stock_year[[#This Row],[Ulukhola Total3]]</f>
        <v>0</v>
      </c>
      <c r="AS36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6" s="303">
        <f>Stock_year[[#This Row],[Vobanipur Total3]]-Stock_year[[#This Row],[Sold Qty(Piece)3]]</f>
        <v>0</v>
      </c>
      <c r="AU36" s="303">
        <f>Stock_year[[#This Row],[Ulukhola Total3]]</f>
        <v>0</v>
      </c>
      <c r="AV36" s="303">
        <f>VLOOKUP(Stock_year[[#This Row],[SKU ID]],SKU[],14,0)*(Stock_year[[#This Row],[Closing Stock Vobanipur3]]+Stock_year[[#This Row],[Closing Stock Ulukhola3]])</f>
        <v>0</v>
      </c>
      <c r="AW36" s="303">
        <f ca="1">Stock_year[[#This Row],[Closing Damage unit2]]</f>
        <v>2</v>
      </c>
      <c r="AX3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36" s="32">
        <f>Stock_year[[#This Row],[Closing Stock Vobanipur3]]</f>
        <v>0</v>
      </c>
      <c r="AZ36" s="32">
        <f>Stock_year[[#This Row],[Closing Stock Ulukhola3]]</f>
        <v>0</v>
      </c>
      <c r="BA36" s="32">
        <f>Stock_year[[#This Row],[Vobanipur Opening4]]+Stock_year[[#This Row],[Ulukhola Opening4]]</f>
        <v>0</v>
      </c>
      <c r="BB36" s="32">
        <f>VLOOKUP(Stock_year[[#This Row],[SKU ID]],SKU[[SKU ID]:[Bottle Size(Ltr)]],6,0)*Stock_year[[#This Row],[Opening Stock (Piece)4]]</f>
        <v>0</v>
      </c>
      <c r="BC36" s="32">
        <v>0</v>
      </c>
      <c r="BD36" s="32"/>
      <c r="BE36" s="32"/>
      <c r="BF36" s="32">
        <f>Stock_year[[#This Row],[Vobanipur Opening4]]+Stock_year[[#This Row],[New Arrival (vobanipur)4]]+Stock_year[[#This Row],[Ulukhola to Vobanipur Transfer4]]</f>
        <v>0</v>
      </c>
      <c r="BG36" s="32">
        <f>Stock_year[[#This Row],[Ulukhola Opening4]]-Stock_year[[#This Row],[Ulukhola to Vobanipur Transfer4]]+Stock_year[[#This Row],[New Arrival(ulukhola)4]]</f>
        <v>0</v>
      </c>
      <c r="BH36" s="32">
        <f>Stock_year[[#This Row],[Vobanipur Total4]]+Stock_year[[#This Row],[Ulukhola Total4]]</f>
        <v>0</v>
      </c>
      <c r="BI36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6" s="32">
        <f>Stock_year[[#This Row],[Vobanipur Total4]]-Stock_year[[#This Row],[Sold Qty(Piece)4]]</f>
        <v>0</v>
      </c>
      <c r="BK36" s="32">
        <f>Stock_year[[#This Row],[Ulukhola Total4]]</f>
        <v>0</v>
      </c>
      <c r="BL36" s="32">
        <f>VLOOKUP(Stock_year[[#This Row],[SKU ID]],SKU[],14,0)*(Stock_year[[#This Row],[Closing Stock Vobanipur4]]+Stock_year[[#This Row],[Closing Stock Ulukhola4]])</f>
        <v>0</v>
      </c>
      <c r="BM36" s="32">
        <f ca="1">Stock_year[[#This Row],[Closing Damage unit3]]</f>
        <v>2</v>
      </c>
      <c r="BN3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37" spans="1:66" x14ac:dyDescent="0.5">
      <c r="A37" t="s">
        <v>149</v>
      </c>
      <c r="B37" t="s">
        <v>796</v>
      </c>
      <c r="C37" s="329">
        <v>113</v>
      </c>
      <c r="D37" s="3">
        <v>0</v>
      </c>
      <c r="E37" s="3">
        <f>Stock_year[[#This Row],[Vobanipur Opening]]+Stock_year[[#This Row],[Ulukhola Opening]]</f>
        <v>113</v>
      </c>
      <c r="F37" s="3">
        <f>VLOOKUP(Stock_year[[#This Row],[SKU ID]],SKU[[SKU ID]:[Bottle Size(Ltr)]],6,0)*Stock_year[[#This Row],[Opening Stock (Piece)]]</f>
        <v>33.9</v>
      </c>
      <c r="G37" s="3">
        <v>0</v>
      </c>
      <c r="H37" s="3"/>
      <c r="I37" s="3"/>
      <c r="J37" s="3">
        <f>Stock_year[[#This Row],[Vobanipur Opening]]+Stock_year[[#This Row],[New Arrival (vobanipur)]]+Stock_year[[#This Row],[Ulukhola to Vobanipur Transfer]]</f>
        <v>113</v>
      </c>
      <c r="K37" s="3">
        <f>Stock_year[[#This Row],[Ulukhola Opening]]+Stock_year[[#This Row],[New Arrival(ulukhola)]]-Stock_year[[#This Row],[Ulukhola to Vobanipur Transfer]]</f>
        <v>0</v>
      </c>
      <c r="L37" s="3">
        <f>Stock_year[[#This Row],[Opening Stock (Piece)]]+Stock_year[[#This Row],[New Arrival(ulukhola)]]</f>
        <v>113</v>
      </c>
      <c r="M37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7" s="3">
        <f>Stock_year[[#This Row],[Vobanipur Total]]-Stock_year[[#This Row],[Sold Qty(Piece)]]</f>
        <v>113</v>
      </c>
      <c r="O37" s="3">
        <f>Stock_year[[#This Row],[Ulukhola Opening]]-Stock_year[[#This Row],[Ulukhola to Vobanipur Transfer]]+Stock_year[[#This Row],[New Arrival(ulukhola)]]</f>
        <v>0</v>
      </c>
      <c r="P37" s="3">
        <f>Stock_year[[#This Row],[Ulukhola Total]]</f>
        <v>0</v>
      </c>
      <c r="Q37" s="3">
        <v>3</v>
      </c>
      <c r="R3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3</v>
      </c>
      <c r="S37" s="303">
        <f>Stock_year[[#This Row],[Closing Stock Vobanipur]]</f>
        <v>113</v>
      </c>
      <c r="T37" s="303">
        <f>Stock_year[[#This Row],[Closing Stock Ulukhola]]</f>
        <v>0</v>
      </c>
      <c r="U37" s="303">
        <f>Stock_year[[#This Row],[Vobanipur Opening2]]+Stock_year[[#This Row],[Ulukhola Opening2]]</f>
        <v>113</v>
      </c>
      <c r="V37" s="303">
        <f>VLOOKUP(Stock_year[[#This Row],[SKU ID]],SKU[[SKU ID]:[Bottle Size(Ltr)]],6,0)*Stock_year[[#This Row],[Opening Stock (Piece)2]]</f>
        <v>33.9</v>
      </c>
      <c r="W37" s="303">
        <v>0</v>
      </c>
      <c r="X37" s="303"/>
      <c r="Y37" s="303"/>
      <c r="Z37" s="303">
        <f>Stock_year[[#This Row],[Vobanipur Opening2]]+Stock_year[[#This Row],[Ulukhola to Vobanipur Transfer2]]+Stock_year[[#This Row],[New Arrival (vobanipur)2]]</f>
        <v>113</v>
      </c>
      <c r="AA37" s="303">
        <f>Stock_year[[#This Row],[Ulukhola Opening2]]-Stock_year[[#This Row],[Ulukhola to Vobanipur Transfer2]]+Stock_year[[#This Row],[New Arrival(ulukhola)2]]</f>
        <v>0</v>
      </c>
      <c r="AB37" s="303">
        <f>Stock_year[[#This Row],[Vobanipur Total2]]+Stock_year[[#This Row],[Ulukhola Total2]]</f>
        <v>113</v>
      </c>
      <c r="AC37" s="303">
        <f>SUMIFS(Primary_Order[Total Qty],Primary_Order[Date],"&gt;="&amp;S$1,Primary_Order[Date],"&lt;="&amp;EOMONTH(S$1,0),Primary_Order[Product ID],Stock_year[[#This Row],[SKU ID]],Primary_Order[Status],'Stock Report'!$A$1)</f>
        <v>113</v>
      </c>
      <c r="AD37" s="303">
        <f>Stock_year[[#This Row],[Vobanipur Total2]]-Stock_year[[#This Row],[Sold Qty(Piece)2]]</f>
        <v>0</v>
      </c>
      <c r="AE37" s="303">
        <f>Stock_year[[#This Row],[Ulukhola Opening2]]-Stock_year[[#This Row],[Ulukhola to Vobanipur Transfer2]]+Stock_year[[#This Row],[New Arrival(ulukhola)2]]</f>
        <v>0</v>
      </c>
      <c r="AF37" s="303">
        <f>VLOOKUP(Stock_year[[#This Row],[SKU ID]],SKU[],14,0)*(Stock_year[[#This Row],[Closing Stock Vobanipur2]]+Stock_year[[#This Row],[Closing Stock Ulukhola2]])</f>
        <v>0</v>
      </c>
      <c r="AG37" s="303">
        <f ca="1">OFFSET(Stock_year[[#This Row],[Total Closing Stock Value2]],0,-14)</f>
        <v>3</v>
      </c>
      <c r="AH3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3</v>
      </c>
      <c r="AI37" s="302">
        <f>Stock_year[[#This Row],[Closing Stock Vobanipur2]]</f>
        <v>0</v>
      </c>
      <c r="AJ37" s="303">
        <f>Stock_year[[#This Row],[Closing Stock Ulukhola2]]</f>
        <v>0</v>
      </c>
      <c r="AK37" s="303">
        <f>Stock_year[[#This Row],[Vobanipur Opening3]]+Stock_year[[#This Row],[Ulukhola Opening3]]</f>
        <v>0</v>
      </c>
      <c r="AL37" s="303">
        <f>VLOOKUP(Stock_year[[#This Row],[SKU ID]],SKU[[SKU ID]:[Bottle Size(Ltr)]],6,0)*Stock_year[[#This Row],[Opening Stock (Piece)3]]</f>
        <v>0</v>
      </c>
      <c r="AM37" s="303">
        <v>0</v>
      </c>
      <c r="AN37" s="303"/>
      <c r="AO37" s="303"/>
      <c r="AP37" s="303">
        <f>Stock_year[[#This Row],[Vobanipur Opening3]]+Stock_year[[#This Row],[New Arrival (vobanipur)3]]+Stock_year[[#This Row],[Ulukhola to Vobanipur Transfer3]]</f>
        <v>0</v>
      </c>
      <c r="AQ37" s="303">
        <f>Stock_year[[#This Row],[Ulukhola Opening3]]-Stock_year[[#This Row],[Ulukhola to Vobanipur Transfer3]]+Stock_year[[#This Row],[New Arrival(ulukhola)3]]</f>
        <v>0</v>
      </c>
      <c r="AR37" s="303">
        <f>Stock_year[[#This Row],[Vobanipur Total3]]+Stock_year[[#This Row],[Ulukhola Total3]]</f>
        <v>0</v>
      </c>
      <c r="AS37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7" s="303">
        <f>Stock_year[[#This Row],[Vobanipur Total3]]-Stock_year[[#This Row],[Sold Qty(Piece)3]]</f>
        <v>0</v>
      </c>
      <c r="AU37" s="303">
        <f>Stock_year[[#This Row],[Ulukhola Total3]]</f>
        <v>0</v>
      </c>
      <c r="AV37" s="303">
        <f>VLOOKUP(Stock_year[[#This Row],[SKU ID]],SKU[],14,0)*(Stock_year[[#This Row],[Closing Stock Vobanipur3]]+Stock_year[[#This Row],[Closing Stock Ulukhola3]])</f>
        <v>0</v>
      </c>
      <c r="AW37" s="303">
        <f ca="1">Stock_year[[#This Row],[Closing Damage unit2]]</f>
        <v>3</v>
      </c>
      <c r="AX3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3</v>
      </c>
      <c r="AY37" s="32">
        <f>Stock_year[[#This Row],[Closing Stock Vobanipur3]]</f>
        <v>0</v>
      </c>
      <c r="AZ37" s="32">
        <f>Stock_year[[#This Row],[Closing Stock Ulukhola3]]</f>
        <v>0</v>
      </c>
      <c r="BA37" s="32">
        <f>Stock_year[[#This Row],[Vobanipur Opening4]]+Stock_year[[#This Row],[Ulukhola Opening4]]</f>
        <v>0</v>
      </c>
      <c r="BB37" s="32">
        <f>VLOOKUP(Stock_year[[#This Row],[SKU ID]],SKU[[SKU ID]:[Bottle Size(Ltr)]],6,0)*Stock_year[[#This Row],[Opening Stock (Piece)4]]</f>
        <v>0</v>
      </c>
      <c r="BC37" s="32">
        <v>0</v>
      </c>
      <c r="BD37" s="32"/>
      <c r="BE37" s="32"/>
      <c r="BF37" s="32">
        <f>Stock_year[[#This Row],[Vobanipur Opening4]]+Stock_year[[#This Row],[New Arrival (vobanipur)4]]+Stock_year[[#This Row],[Ulukhola to Vobanipur Transfer4]]</f>
        <v>0</v>
      </c>
      <c r="BG37" s="32">
        <f>Stock_year[[#This Row],[Ulukhola Opening4]]-Stock_year[[#This Row],[Ulukhola to Vobanipur Transfer4]]+Stock_year[[#This Row],[New Arrival(ulukhola)4]]</f>
        <v>0</v>
      </c>
      <c r="BH37" s="32">
        <f>Stock_year[[#This Row],[Vobanipur Total4]]+Stock_year[[#This Row],[Ulukhola Total4]]</f>
        <v>0</v>
      </c>
      <c r="BI37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7" s="32">
        <f>Stock_year[[#This Row],[Vobanipur Total4]]-Stock_year[[#This Row],[Sold Qty(Piece)4]]</f>
        <v>0</v>
      </c>
      <c r="BK37" s="32">
        <f>Stock_year[[#This Row],[Ulukhola Total4]]</f>
        <v>0</v>
      </c>
      <c r="BL37" s="32">
        <f>VLOOKUP(Stock_year[[#This Row],[SKU ID]],SKU[],14,0)*(Stock_year[[#This Row],[Closing Stock Vobanipur4]]+Stock_year[[#This Row],[Closing Stock Ulukhola4]])</f>
        <v>0</v>
      </c>
      <c r="BM37" s="32">
        <f ca="1">Stock_year[[#This Row],[Closing Damage unit3]]</f>
        <v>3</v>
      </c>
      <c r="BN3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3</v>
      </c>
    </row>
    <row r="38" spans="1:66" x14ac:dyDescent="0.5">
      <c r="A38" t="s">
        <v>245</v>
      </c>
      <c r="B38" t="s">
        <v>797</v>
      </c>
      <c r="C38" s="329">
        <v>153</v>
      </c>
      <c r="D38" s="3">
        <v>0</v>
      </c>
      <c r="E38" s="3">
        <f>Stock_year[[#This Row],[Vobanipur Opening]]+Stock_year[[#This Row],[Ulukhola Opening]]</f>
        <v>153</v>
      </c>
      <c r="F38" s="3">
        <f>VLOOKUP(Stock_year[[#This Row],[SKU ID]],SKU[[SKU ID]:[Bottle Size(Ltr)]],6,0)*Stock_year[[#This Row],[Opening Stock (Piece)]]</f>
        <v>45.9</v>
      </c>
      <c r="G38" s="3">
        <v>0</v>
      </c>
      <c r="H38" s="3"/>
      <c r="I38" s="3"/>
      <c r="J38" s="3">
        <f>Stock_year[[#This Row],[Vobanipur Opening]]+Stock_year[[#This Row],[New Arrival (vobanipur)]]+Stock_year[[#This Row],[Ulukhola to Vobanipur Transfer]]</f>
        <v>153</v>
      </c>
      <c r="K38" s="3">
        <f>Stock_year[[#This Row],[Ulukhola Opening]]+Stock_year[[#This Row],[New Arrival(ulukhola)]]-Stock_year[[#This Row],[Ulukhola to Vobanipur Transfer]]</f>
        <v>0</v>
      </c>
      <c r="L38" s="3">
        <f>Stock_year[[#This Row],[Opening Stock (Piece)]]+Stock_year[[#This Row],[New Arrival(ulukhola)]]</f>
        <v>153</v>
      </c>
      <c r="M38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8" s="3">
        <f>Stock_year[[#This Row],[Vobanipur Total]]-Stock_year[[#This Row],[Sold Qty(Piece)]]</f>
        <v>153</v>
      </c>
      <c r="O38" s="3">
        <f>Stock_year[[#This Row],[Ulukhola Opening]]-Stock_year[[#This Row],[Ulukhola to Vobanipur Transfer]]+Stock_year[[#This Row],[New Arrival(ulukhola)]]</f>
        <v>0</v>
      </c>
      <c r="P38" s="3">
        <f>Stock_year[[#This Row],[Ulukhola Total]]</f>
        <v>0</v>
      </c>
      <c r="Q38" s="3">
        <v>2</v>
      </c>
      <c r="R3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38" s="303">
        <f>Stock_year[[#This Row],[Closing Stock Vobanipur]]</f>
        <v>153</v>
      </c>
      <c r="T38" s="303">
        <f>Stock_year[[#This Row],[Closing Stock Ulukhola]]</f>
        <v>0</v>
      </c>
      <c r="U38" s="303">
        <f>Stock_year[[#This Row],[Vobanipur Opening2]]+Stock_year[[#This Row],[Ulukhola Opening2]]</f>
        <v>153</v>
      </c>
      <c r="V38" s="303">
        <f>VLOOKUP(Stock_year[[#This Row],[SKU ID]],SKU[[SKU ID]:[Bottle Size(Ltr)]],6,0)*Stock_year[[#This Row],[Opening Stock (Piece)2]]</f>
        <v>45.9</v>
      </c>
      <c r="W38" s="303">
        <v>0</v>
      </c>
      <c r="X38" s="303"/>
      <c r="Y38" s="303"/>
      <c r="Z38" s="303">
        <f>Stock_year[[#This Row],[Vobanipur Opening2]]+Stock_year[[#This Row],[Ulukhola to Vobanipur Transfer2]]+Stock_year[[#This Row],[New Arrival (vobanipur)2]]</f>
        <v>153</v>
      </c>
      <c r="AA38" s="303">
        <f>Stock_year[[#This Row],[Ulukhola Opening2]]-Stock_year[[#This Row],[Ulukhola to Vobanipur Transfer2]]+Stock_year[[#This Row],[New Arrival(ulukhola)2]]</f>
        <v>0</v>
      </c>
      <c r="AB38" s="303">
        <f>Stock_year[[#This Row],[Vobanipur Total2]]+Stock_year[[#This Row],[Ulukhola Total2]]</f>
        <v>153</v>
      </c>
      <c r="AC38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38" s="303">
        <f>Stock_year[[#This Row],[Vobanipur Total2]]-Stock_year[[#This Row],[Sold Qty(Piece)2]]</f>
        <v>153</v>
      </c>
      <c r="AE38" s="303">
        <f>Stock_year[[#This Row],[Ulukhola Opening2]]-Stock_year[[#This Row],[Ulukhola to Vobanipur Transfer2]]+Stock_year[[#This Row],[New Arrival(ulukhola)2]]</f>
        <v>0</v>
      </c>
      <c r="AF38" s="303">
        <f>VLOOKUP(Stock_year[[#This Row],[SKU ID]],SKU[],14,0)*(Stock_year[[#This Row],[Closing Stock Vobanipur2]]+Stock_year[[#This Row],[Closing Stock Ulukhola2]])</f>
        <v>105058.98</v>
      </c>
      <c r="AG38" s="303">
        <f ca="1">OFFSET(Stock_year[[#This Row],[Total Closing Stock Value2]],0,-14)</f>
        <v>2</v>
      </c>
      <c r="AH3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38" s="302">
        <f>Stock_year[[#This Row],[Closing Stock Vobanipur2]]</f>
        <v>153</v>
      </c>
      <c r="AJ38" s="303">
        <f>Stock_year[[#This Row],[Closing Stock Ulukhola2]]</f>
        <v>0</v>
      </c>
      <c r="AK38" s="303">
        <f>Stock_year[[#This Row],[Vobanipur Opening3]]+Stock_year[[#This Row],[Ulukhola Opening3]]</f>
        <v>153</v>
      </c>
      <c r="AL38" s="303">
        <f>VLOOKUP(Stock_year[[#This Row],[SKU ID]],SKU[[SKU ID]:[Bottle Size(Ltr)]],6,0)*Stock_year[[#This Row],[Opening Stock (Piece)3]]</f>
        <v>45.9</v>
      </c>
      <c r="AM38" s="303">
        <v>0</v>
      </c>
      <c r="AN38" s="303"/>
      <c r="AO38" s="303"/>
      <c r="AP38" s="303">
        <f>Stock_year[[#This Row],[Vobanipur Opening3]]+Stock_year[[#This Row],[New Arrival (vobanipur)3]]+Stock_year[[#This Row],[Ulukhola to Vobanipur Transfer3]]</f>
        <v>153</v>
      </c>
      <c r="AQ38" s="303">
        <f>Stock_year[[#This Row],[Ulukhola Opening3]]-Stock_year[[#This Row],[Ulukhola to Vobanipur Transfer3]]+Stock_year[[#This Row],[New Arrival(ulukhola)3]]</f>
        <v>0</v>
      </c>
      <c r="AR38" s="303">
        <f>Stock_year[[#This Row],[Vobanipur Total3]]+Stock_year[[#This Row],[Ulukhola Total3]]</f>
        <v>153</v>
      </c>
      <c r="AS38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8" s="303">
        <f>Stock_year[[#This Row],[Vobanipur Total3]]-Stock_year[[#This Row],[Sold Qty(Piece)3]]</f>
        <v>153</v>
      </c>
      <c r="AU38" s="303">
        <f>Stock_year[[#This Row],[Ulukhola Total3]]</f>
        <v>0</v>
      </c>
      <c r="AV38" s="303">
        <f>VLOOKUP(Stock_year[[#This Row],[SKU ID]],SKU[],14,0)*(Stock_year[[#This Row],[Closing Stock Vobanipur3]]+Stock_year[[#This Row],[Closing Stock Ulukhola3]])</f>
        <v>105058.98</v>
      </c>
      <c r="AW38" s="303">
        <f ca="1">Stock_year[[#This Row],[Closing Damage unit2]]</f>
        <v>2</v>
      </c>
      <c r="AX3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38" s="32">
        <f>Stock_year[[#This Row],[Closing Stock Vobanipur3]]</f>
        <v>153</v>
      </c>
      <c r="AZ38" s="32">
        <f>Stock_year[[#This Row],[Closing Stock Ulukhola3]]</f>
        <v>0</v>
      </c>
      <c r="BA38" s="32">
        <f>Stock_year[[#This Row],[Vobanipur Opening4]]+Stock_year[[#This Row],[Ulukhola Opening4]]</f>
        <v>153</v>
      </c>
      <c r="BB38" s="32">
        <f>VLOOKUP(Stock_year[[#This Row],[SKU ID]],SKU[[SKU ID]:[Bottle Size(Ltr)]],6,0)*Stock_year[[#This Row],[Opening Stock (Piece)4]]</f>
        <v>45.9</v>
      </c>
      <c r="BC38" s="32">
        <v>0</v>
      </c>
      <c r="BD38" s="32"/>
      <c r="BE38" s="32"/>
      <c r="BF38" s="32">
        <f>Stock_year[[#This Row],[Vobanipur Opening4]]+Stock_year[[#This Row],[New Arrival (vobanipur)4]]+Stock_year[[#This Row],[Ulukhola to Vobanipur Transfer4]]</f>
        <v>153</v>
      </c>
      <c r="BG38" s="32">
        <f>Stock_year[[#This Row],[Ulukhola Opening4]]-Stock_year[[#This Row],[Ulukhola to Vobanipur Transfer4]]+Stock_year[[#This Row],[New Arrival(ulukhola)4]]</f>
        <v>0</v>
      </c>
      <c r="BH38" s="32">
        <f>Stock_year[[#This Row],[Vobanipur Total4]]+Stock_year[[#This Row],[Ulukhola Total4]]</f>
        <v>153</v>
      </c>
      <c r="BI38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8" s="32">
        <f>Stock_year[[#This Row],[Vobanipur Total4]]-Stock_year[[#This Row],[Sold Qty(Piece)4]]</f>
        <v>153</v>
      </c>
      <c r="BK38" s="32">
        <f>Stock_year[[#This Row],[Ulukhola Total4]]</f>
        <v>0</v>
      </c>
      <c r="BL38" s="32">
        <f>VLOOKUP(Stock_year[[#This Row],[SKU ID]],SKU[],14,0)*(Stock_year[[#This Row],[Closing Stock Vobanipur4]]+Stock_year[[#This Row],[Closing Stock Ulukhola4]])</f>
        <v>105058.98</v>
      </c>
      <c r="BM38" s="32">
        <f ca="1">Stock_year[[#This Row],[Closing Damage unit3]]</f>
        <v>2</v>
      </c>
      <c r="BN3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39" spans="1:66" x14ac:dyDescent="0.5">
      <c r="A39" t="s">
        <v>197</v>
      </c>
      <c r="B39" t="s">
        <v>798</v>
      </c>
      <c r="C39" s="329">
        <v>0</v>
      </c>
      <c r="D39" s="3">
        <v>0</v>
      </c>
      <c r="E39" s="3">
        <f>Stock_year[[#This Row],[Vobanipur Opening]]+Stock_year[[#This Row],[Ulukhola Opening]]</f>
        <v>0</v>
      </c>
      <c r="F39" s="3">
        <f>VLOOKUP(Stock_year[[#This Row],[SKU ID]],SKU[[SKU ID]:[Bottle Size(Ltr)]],6,0)*Stock_year[[#This Row],[Opening Stock (Piece)]]</f>
        <v>0</v>
      </c>
      <c r="G39" s="3">
        <v>0</v>
      </c>
      <c r="H39" s="3"/>
      <c r="I39" s="3"/>
      <c r="J39" s="3">
        <f>Stock_year[[#This Row],[Vobanipur Opening]]+Stock_year[[#This Row],[New Arrival (vobanipur)]]+Stock_year[[#This Row],[Ulukhola to Vobanipur Transfer]]</f>
        <v>0</v>
      </c>
      <c r="K39" s="3">
        <f>Stock_year[[#This Row],[Ulukhola Opening]]+Stock_year[[#This Row],[New Arrival(ulukhola)]]-Stock_year[[#This Row],[Ulukhola to Vobanipur Transfer]]</f>
        <v>0</v>
      </c>
      <c r="L39" s="3">
        <f>Stock_year[[#This Row],[Opening Stock (Piece)]]+Stock_year[[#This Row],[New Arrival(ulukhola)]]</f>
        <v>0</v>
      </c>
      <c r="M39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39" s="3">
        <f>Stock_year[[#This Row],[Vobanipur Total]]-Stock_year[[#This Row],[Sold Qty(Piece)]]</f>
        <v>0</v>
      </c>
      <c r="O39" s="3">
        <f>Stock_year[[#This Row],[Ulukhola Opening]]-Stock_year[[#This Row],[Ulukhola to Vobanipur Transfer]]+Stock_year[[#This Row],[New Arrival(ulukhola)]]</f>
        <v>0</v>
      </c>
      <c r="P39" s="3">
        <f>Stock_year[[#This Row],[Ulukhola Total]]</f>
        <v>0</v>
      </c>
      <c r="Q39" s="3">
        <v>2</v>
      </c>
      <c r="R3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39" s="303">
        <f>Stock_year[[#This Row],[Closing Stock Vobanipur]]</f>
        <v>0</v>
      </c>
      <c r="T39" s="303">
        <f>Stock_year[[#This Row],[Closing Stock Ulukhola]]</f>
        <v>0</v>
      </c>
      <c r="U39" s="303">
        <f>Stock_year[[#This Row],[Vobanipur Opening2]]+Stock_year[[#This Row],[Ulukhola Opening2]]</f>
        <v>0</v>
      </c>
      <c r="V39" s="303">
        <f>VLOOKUP(Stock_year[[#This Row],[SKU ID]],SKU[[SKU ID]:[Bottle Size(Ltr)]],6,0)*Stock_year[[#This Row],[Opening Stock (Piece)2]]</f>
        <v>0</v>
      </c>
      <c r="W39" s="303">
        <v>0</v>
      </c>
      <c r="X39" s="303"/>
      <c r="Y39" s="303"/>
      <c r="Z39" s="303">
        <f>Stock_year[[#This Row],[Vobanipur Opening2]]+Stock_year[[#This Row],[Ulukhola to Vobanipur Transfer2]]+Stock_year[[#This Row],[New Arrival (vobanipur)2]]</f>
        <v>0</v>
      </c>
      <c r="AA39" s="303">
        <f>Stock_year[[#This Row],[Ulukhola Opening2]]-Stock_year[[#This Row],[Ulukhola to Vobanipur Transfer2]]+Stock_year[[#This Row],[New Arrival(ulukhola)2]]</f>
        <v>0</v>
      </c>
      <c r="AB39" s="303">
        <f>Stock_year[[#This Row],[Vobanipur Total2]]+Stock_year[[#This Row],[Ulukhola Total2]]</f>
        <v>0</v>
      </c>
      <c r="AC39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39" s="303">
        <f>Stock_year[[#This Row],[Vobanipur Total2]]-Stock_year[[#This Row],[Sold Qty(Piece)2]]</f>
        <v>0</v>
      </c>
      <c r="AE39" s="303">
        <f>Stock_year[[#This Row],[Ulukhola Opening2]]-Stock_year[[#This Row],[Ulukhola to Vobanipur Transfer2]]+Stock_year[[#This Row],[New Arrival(ulukhola)2]]</f>
        <v>0</v>
      </c>
      <c r="AF39" s="303">
        <f>VLOOKUP(Stock_year[[#This Row],[SKU ID]],SKU[],14,0)*(Stock_year[[#This Row],[Closing Stock Vobanipur2]]+Stock_year[[#This Row],[Closing Stock Ulukhola2]])</f>
        <v>0</v>
      </c>
      <c r="AG39" s="303">
        <f ca="1">OFFSET(Stock_year[[#This Row],[Total Closing Stock Value2]],0,-14)</f>
        <v>2</v>
      </c>
      <c r="AH3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39" s="302">
        <f>Stock_year[[#This Row],[Closing Stock Vobanipur2]]</f>
        <v>0</v>
      </c>
      <c r="AJ39" s="303">
        <f>Stock_year[[#This Row],[Closing Stock Ulukhola2]]</f>
        <v>0</v>
      </c>
      <c r="AK39" s="303">
        <f>Stock_year[[#This Row],[Vobanipur Opening3]]+Stock_year[[#This Row],[Ulukhola Opening3]]</f>
        <v>0</v>
      </c>
      <c r="AL39" s="303">
        <f>VLOOKUP(Stock_year[[#This Row],[SKU ID]],SKU[[SKU ID]:[Bottle Size(Ltr)]],6,0)*Stock_year[[#This Row],[Opening Stock (Piece)3]]</f>
        <v>0</v>
      </c>
      <c r="AM39" s="303">
        <v>0</v>
      </c>
      <c r="AN39" s="303"/>
      <c r="AO39" s="303"/>
      <c r="AP39" s="303">
        <f>Stock_year[[#This Row],[Vobanipur Opening3]]+Stock_year[[#This Row],[New Arrival (vobanipur)3]]+Stock_year[[#This Row],[Ulukhola to Vobanipur Transfer3]]</f>
        <v>0</v>
      </c>
      <c r="AQ39" s="303">
        <f>Stock_year[[#This Row],[Ulukhola Opening3]]-Stock_year[[#This Row],[Ulukhola to Vobanipur Transfer3]]+Stock_year[[#This Row],[New Arrival(ulukhola)3]]</f>
        <v>0</v>
      </c>
      <c r="AR39" s="303">
        <f>Stock_year[[#This Row],[Vobanipur Total3]]+Stock_year[[#This Row],[Ulukhola Total3]]</f>
        <v>0</v>
      </c>
      <c r="AS39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39" s="303">
        <f>Stock_year[[#This Row],[Vobanipur Total3]]-Stock_year[[#This Row],[Sold Qty(Piece)3]]</f>
        <v>0</v>
      </c>
      <c r="AU39" s="303">
        <f>Stock_year[[#This Row],[Ulukhola Total3]]</f>
        <v>0</v>
      </c>
      <c r="AV39" s="303">
        <f>VLOOKUP(Stock_year[[#This Row],[SKU ID]],SKU[],14,0)*(Stock_year[[#This Row],[Closing Stock Vobanipur3]]+Stock_year[[#This Row],[Closing Stock Ulukhola3]])</f>
        <v>0</v>
      </c>
      <c r="AW39" s="303">
        <f ca="1">Stock_year[[#This Row],[Closing Damage unit2]]</f>
        <v>2</v>
      </c>
      <c r="AX3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39" s="32">
        <f>Stock_year[[#This Row],[Closing Stock Vobanipur3]]</f>
        <v>0</v>
      </c>
      <c r="AZ39" s="32">
        <f>Stock_year[[#This Row],[Closing Stock Ulukhola3]]</f>
        <v>0</v>
      </c>
      <c r="BA39" s="32">
        <f>Stock_year[[#This Row],[Vobanipur Opening4]]+Stock_year[[#This Row],[Ulukhola Opening4]]</f>
        <v>0</v>
      </c>
      <c r="BB39" s="32">
        <f>VLOOKUP(Stock_year[[#This Row],[SKU ID]],SKU[[SKU ID]:[Bottle Size(Ltr)]],6,0)*Stock_year[[#This Row],[Opening Stock (Piece)4]]</f>
        <v>0</v>
      </c>
      <c r="BC39" s="32">
        <v>0</v>
      </c>
      <c r="BD39" s="32"/>
      <c r="BE39" s="32"/>
      <c r="BF39" s="32">
        <f>Stock_year[[#This Row],[Vobanipur Opening4]]+Stock_year[[#This Row],[New Arrival (vobanipur)4]]+Stock_year[[#This Row],[Ulukhola to Vobanipur Transfer4]]</f>
        <v>0</v>
      </c>
      <c r="BG39" s="32">
        <f>Stock_year[[#This Row],[Ulukhola Opening4]]-Stock_year[[#This Row],[Ulukhola to Vobanipur Transfer4]]+Stock_year[[#This Row],[New Arrival(ulukhola)4]]</f>
        <v>0</v>
      </c>
      <c r="BH39" s="32">
        <f>Stock_year[[#This Row],[Vobanipur Total4]]+Stock_year[[#This Row],[Ulukhola Total4]]</f>
        <v>0</v>
      </c>
      <c r="BI39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39" s="32">
        <f>Stock_year[[#This Row],[Vobanipur Total4]]-Stock_year[[#This Row],[Sold Qty(Piece)4]]</f>
        <v>0</v>
      </c>
      <c r="BK39" s="32">
        <f>Stock_year[[#This Row],[Ulukhola Total4]]</f>
        <v>0</v>
      </c>
      <c r="BL39" s="32">
        <f>VLOOKUP(Stock_year[[#This Row],[SKU ID]],SKU[],14,0)*(Stock_year[[#This Row],[Closing Stock Vobanipur4]]+Stock_year[[#This Row],[Closing Stock Ulukhola4]])</f>
        <v>0</v>
      </c>
      <c r="BM39" s="32">
        <f ca="1">Stock_year[[#This Row],[Closing Damage unit3]]</f>
        <v>2</v>
      </c>
      <c r="BN3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40" spans="1:66" x14ac:dyDescent="0.5">
      <c r="A40" t="s">
        <v>33</v>
      </c>
      <c r="B40" t="s">
        <v>799</v>
      </c>
      <c r="C40" s="329">
        <v>3660</v>
      </c>
      <c r="D40" s="3">
        <v>480</v>
      </c>
      <c r="E40" s="3">
        <f>Stock_year[[#This Row],[Vobanipur Opening]]+Stock_year[[#This Row],[Ulukhola Opening]]</f>
        <v>4140</v>
      </c>
      <c r="F40" s="3">
        <f>VLOOKUP(Stock_year[[#This Row],[SKU ID]],SKU[[SKU ID]:[Bottle Size(Ltr)]],6,0)*Stock_year[[#This Row],[Opening Stock (Piece)]]</f>
        <v>4968</v>
      </c>
      <c r="G40" s="3">
        <v>0</v>
      </c>
      <c r="H40" s="3"/>
      <c r="I40" s="3"/>
      <c r="J40" s="3">
        <f>Stock_year[[#This Row],[Vobanipur Opening]]+Stock_year[[#This Row],[New Arrival (vobanipur)]]+Stock_year[[#This Row],[Ulukhola to Vobanipur Transfer]]</f>
        <v>3660</v>
      </c>
      <c r="K40" s="3">
        <f>Stock_year[[#This Row],[Ulukhola Opening]]+Stock_year[[#This Row],[New Arrival(ulukhola)]]-Stock_year[[#This Row],[Ulukhola to Vobanipur Transfer]]</f>
        <v>480</v>
      </c>
      <c r="L40" s="3">
        <f>Stock_year[[#This Row],[Opening Stock (Piece)]]+Stock_year[[#This Row],[New Arrival(ulukhola)]]</f>
        <v>4140</v>
      </c>
      <c r="M40" s="3">
        <f>SUMIFS(Primary_Order[Total Qty],Primary_Order[Date],"&gt;="&amp;C$1,Primary_Order[Date],"&lt;="&amp;EOMONTH(C$1,0),Primary_Order[Product ID],Stock_year[[#This Row],[SKU ID]],Primary_Order[Status],'Stock Report'!$A$1)</f>
        <v>1180</v>
      </c>
      <c r="N40" s="3">
        <f>Stock_year[[#This Row],[Vobanipur Total]]-Stock_year[[#This Row],[Sold Qty(Piece)]]</f>
        <v>2480</v>
      </c>
      <c r="O40" s="3">
        <f>Stock_year[[#This Row],[Ulukhola Opening]]-Stock_year[[#This Row],[Ulukhola to Vobanipur Transfer]]+Stock_year[[#This Row],[New Arrival(ulukhola)]]</f>
        <v>480</v>
      </c>
      <c r="P40" s="3">
        <f>Stock_year[[#This Row],[Ulukhola Total]]</f>
        <v>480</v>
      </c>
      <c r="Q40" s="3">
        <v>45</v>
      </c>
      <c r="R4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45</v>
      </c>
      <c r="S40" s="303">
        <f>Stock_year[[#This Row],[Closing Stock Vobanipur]]</f>
        <v>2480</v>
      </c>
      <c r="T40" s="303">
        <f>Stock_year[[#This Row],[Closing Stock Ulukhola]]</f>
        <v>480</v>
      </c>
      <c r="U40" s="303">
        <f>Stock_year[[#This Row],[Vobanipur Opening2]]+Stock_year[[#This Row],[Ulukhola Opening2]]</f>
        <v>2960</v>
      </c>
      <c r="V40" s="303">
        <f>VLOOKUP(Stock_year[[#This Row],[SKU ID]],SKU[[SKU ID]:[Bottle Size(Ltr)]],6,0)*Stock_year[[#This Row],[Opening Stock (Piece)2]]</f>
        <v>3552</v>
      </c>
      <c r="W40" s="303">
        <v>480</v>
      </c>
      <c r="X40" s="303"/>
      <c r="Y40" s="303"/>
      <c r="Z40" s="303">
        <f>Stock_year[[#This Row],[Vobanipur Opening2]]+Stock_year[[#This Row],[Ulukhola to Vobanipur Transfer2]]+Stock_year[[#This Row],[New Arrival (vobanipur)2]]</f>
        <v>2960</v>
      </c>
      <c r="AA40" s="303">
        <f>Stock_year[[#This Row],[Ulukhola Opening2]]-Stock_year[[#This Row],[Ulukhola to Vobanipur Transfer2]]+Stock_year[[#This Row],[New Arrival(ulukhola)2]]</f>
        <v>0</v>
      </c>
      <c r="AB40" s="303">
        <f>Stock_year[[#This Row],[Vobanipur Total2]]+Stock_year[[#This Row],[Ulukhola Total2]]</f>
        <v>2960</v>
      </c>
      <c r="AC40" s="303">
        <f>SUMIFS(Primary_Order[Total Qty],Primary_Order[Date],"&gt;="&amp;S$1,Primary_Order[Date],"&lt;="&amp;EOMONTH(S$1,0),Primary_Order[Product ID],Stock_year[[#This Row],[SKU ID]],Primary_Order[Status],'Stock Report'!$A$1)</f>
        <v>1180</v>
      </c>
      <c r="AD40" s="303">
        <f>Stock_year[[#This Row],[Vobanipur Total2]]-Stock_year[[#This Row],[Sold Qty(Piece)2]]</f>
        <v>1780</v>
      </c>
      <c r="AE40" s="303">
        <f>Stock_year[[#This Row],[Ulukhola Opening2]]-Stock_year[[#This Row],[Ulukhola to Vobanipur Transfer2]]+Stock_year[[#This Row],[New Arrival(ulukhola)2]]</f>
        <v>0</v>
      </c>
      <c r="AF40" s="303">
        <f>VLOOKUP(Stock_year[[#This Row],[SKU ID]],SKU[],14,0)*(Stock_year[[#This Row],[Closing Stock Vobanipur2]]+Stock_year[[#This Row],[Closing Stock Ulukhola2]])</f>
        <v>836418.07572408533</v>
      </c>
      <c r="AG40" s="303">
        <f ca="1">OFFSET(Stock_year[[#This Row],[Total Closing Stock Value2]],0,-14)</f>
        <v>45</v>
      </c>
      <c r="AH4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45</v>
      </c>
      <c r="AI40" s="302">
        <f>Stock_year[[#This Row],[Closing Stock Vobanipur2]]</f>
        <v>1780</v>
      </c>
      <c r="AJ40" s="303">
        <f>Stock_year[[#This Row],[Closing Stock Ulukhola2]]</f>
        <v>0</v>
      </c>
      <c r="AK40" s="303">
        <f>Stock_year[[#This Row],[Vobanipur Opening3]]+Stock_year[[#This Row],[Ulukhola Opening3]]</f>
        <v>1780</v>
      </c>
      <c r="AL40" s="303">
        <f>VLOOKUP(Stock_year[[#This Row],[SKU ID]],SKU[[SKU ID]:[Bottle Size(Ltr)]],6,0)*Stock_year[[#This Row],[Opening Stock (Piece)3]]</f>
        <v>2136</v>
      </c>
      <c r="AM40" s="303">
        <v>0</v>
      </c>
      <c r="AN40" s="303"/>
      <c r="AO40" s="303"/>
      <c r="AP40" s="303">
        <f>Stock_year[[#This Row],[Vobanipur Opening3]]+Stock_year[[#This Row],[New Arrival (vobanipur)3]]+Stock_year[[#This Row],[Ulukhola to Vobanipur Transfer3]]</f>
        <v>1780</v>
      </c>
      <c r="AQ40" s="303">
        <f>Stock_year[[#This Row],[Ulukhola Opening3]]-Stock_year[[#This Row],[Ulukhola to Vobanipur Transfer3]]+Stock_year[[#This Row],[New Arrival(ulukhola)3]]</f>
        <v>0</v>
      </c>
      <c r="AR40" s="303">
        <f>Stock_year[[#This Row],[Vobanipur Total3]]+Stock_year[[#This Row],[Ulukhola Total3]]</f>
        <v>1780</v>
      </c>
      <c r="AS40" s="303">
        <f>SUMIFS(Primary_Order[Total Qty],Primary_Order[Date],"&gt;="&amp;AI$1,Primary_Order[Date],"&lt;="&amp;EOMONTH(AI$1,0),Primary_Order[Product ID],Stock_year[[#This Row],[SKU ID]],Primary_Order[Status],'Stock Report'!$A$1)</f>
        <v>960</v>
      </c>
      <c r="AT40" s="303">
        <f>Stock_year[[#This Row],[Vobanipur Total3]]-Stock_year[[#This Row],[Sold Qty(Piece)3]]</f>
        <v>820</v>
      </c>
      <c r="AU40" s="303">
        <f>Stock_year[[#This Row],[Ulukhola Total3]]</f>
        <v>0</v>
      </c>
      <c r="AV40" s="303">
        <f>VLOOKUP(Stock_year[[#This Row],[SKU ID]],SKU[],14,0)*(Stock_year[[#This Row],[Closing Stock Vobanipur3]]+Stock_year[[#This Row],[Closing Stock Ulukhola3]])</f>
        <v>385316.19218749995</v>
      </c>
      <c r="AW40" s="303">
        <f ca="1">Stock_year[[#This Row],[Closing Damage unit2]]</f>
        <v>45</v>
      </c>
      <c r="AX4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45</v>
      </c>
      <c r="AY40" s="32">
        <f>Stock_year[[#This Row],[Closing Stock Vobanipur3]]</f>
        <v>820</v>
      </c>
      <c r="AZ40" s="32">
        <f>Stock_year[[#This Row],[Closing Stock Ulukhola3]]</f>
        <v>0</v>
      </c>
      <c r="BA40" s="32">
        <f>Stock_year[[#This Row],[Vobanipur Opening4]]+Stock_year[[#This Row],[Ulukhola Opening4]]</f>
        <v>820</v>
      </c>
      <c r="BB40" s="32">
        <f>VLOOKUP(Stock_year[[#This Row],[SKU ID]],SKU[[SKU ID]:[Bottle Size(Ltr)]],6,0)*Stock_year[[#This Row],[Opening Stock (Piece)4]]</f>
        <v>984</v>
      </c>
      <c r="BC40" s="32">
        <v>0</v>
      </c>
      <c r="BD40" s="32"/>
      <c r="BE40" s="32"/>
      <c r="BF40" s="32">
        <f>Stock_year[[#This Row],[Vobanipur Opening4]]+Stock_year[[#This Row],[New Arrival (vobanipur)4]]+Stock_year[[#This Row],[Ulukhola to Vobanipur Transfer4]]</f>
        <v>820</v>
      </c>
      <c r="BG40" s="32">
        <f>Stock_year[[#This Row],[Ulukhola Opening4]]-Stock_year[[#This Row],[Ulukhola to Vobanipur Transfer4]]+Stock_year[[#This Row],[New Arrival(ulukhola)4]]</f>
        <v>0</v>
      </c>
      <c r="BH40" s="32">
        <f>Stock_year[[#This Row],[Vobanipur Total4]]+Stock_year[[#This Row],[Ulukhola Total4]]</f>
        <v>820</v>
      </c>
      <c r="BI40" s="32">
        <f>SUMIFS(Primary_Order[Total Qty],Primary_Order[Date],"&gt;="&amp;AY$1,Primary_Order[Date],"&lt;="&amp;EOMONTH(AY$1,0),Primary_Order[Product ID],Stock_year[[#This Row],[SKU ID]],Primary_Order[Status],'Stock Report'!$A$1)</f>
        <v>787</v>
      </c>
      <c r="BJ40" s="32">
        <f>Stock_year[[#This Row],[Vobanipur Total4]]-Stock_year[[#This Row],[Sold Qty(Piece)4]]</f>
        <v>33</v>
      </c>
      <c r="BK40" s="32">
        <f>Stock_year[[#This Row],[Ulukhola Total4]]</f>
        <v>0</v>
      </c>
      <c r="BL40" s="32">
        <f>VLOOKUP(Stock_year[[#This Row],[SKU ID]],SKU[],14,0)*(Stock_year[[#This Row],[Closing Stock Vobanipur4]]+Stock_year[[#This Row],[Closing Stock Ulukhola4]])</f>
        <v>15506.62724657012</v>
      </c>
      <c r="BM40" s="32">
        <f ca="1">Stock_year[[#This Row],[Closing Damage unit3]]</f>
        <v>45</v>
      </c>
      <c r="BN4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45</v>
      </c>
    </row>
    <row r="41" spans="1:66" x14ac:dyDescent="0.5">
      <c r="A41" t="s">
        <v>73</v>
      </c>
      <c r="B41" t="s">
        <v>800</v>
      </c>
      <c r="C41" s="329">
        <v>0</v>
      </c>
      <c r="D41" s="322">
        <f>589-11</f>
        <v>578</v>
      </c>
      <c r="E41" s="3">
        <f>Stock_year[[#This Row],[Vobanipur Opening]]+Stock_year[[#This Row],[Ulukhola Opening]]</f>
        <v>578</v>
      </c>
      <c r="F41" s="3">
        <f>VLOOKUP(Stock_year[[#This Row],[SKU ID]],SKU[[SKU ID]:[Bottle Size(Ltr)]],6,0)*Stock_year[[#This Row],[Opening Stock (Piece)]]</f>
        <v>578</v>
      </c>
      <c r="G41" s="322">
        <f>600-22</f>
        <v>578</v>
      </c>
      <c r="H41" s="3"/>
      <c r="I41" s="3"/>
      <c r="J41" s="3">
        <f>Stock_year[[#This Row],[Vobanipur Opening]]+Stock_year[[#This Row],[New Arrival (vobanipur)]]+Stock_year[[#This Row],[Ulukhola to Vobanipur Transfer]]</f>
        <v>578</v>
      </c>
      <c r="K41" s="3">
        <f>Stock_year[[#This Row],[Ulukhola Opening]]+Stock_year[[#This Row],[New Arrival(ulukhola)]]-Stock_year[[#This Row],[Ulukhola to Vobanipur Transfer]]</f>
        <v>0</v>
      </c>
      <c r="L41" s="3">
        <f>Stock_year[[#This Row],[Opening Stock (Piece)]]+Stock_year[[#This Row],[New Arrival(ulukhola)]]</f>
        <v>578</v>
      </c>
      <c r="M41" s="3">
        <f>SUMIFS(Primary_Order[Total Qty],Primary_Order[Date],"&gt;="&amp;C$1,Primary_Order[Date],"&lt;="&amp;EOMONTH(C$1,0),Primary_Order[Product ID],Stock_year[[#This Row],[SKU ID]],Primary_Order[Status],'Stock Report'!$A$1)</f>
        <v>520</v>
      </c>
      <c r="N41" s="3">
        <f>Stock_year[[#This Row],[Vobanipur Total]]-Stock_year[[#This Row],[Sold Qty(Piece)]]</f>
        <v>58</v>
      </c>
      <c r="O41" s="3">
        <f>Stock_year[[#This Row],[Ulukhola Opening]]-Stock_year[[#This Row],[Ulukhola to Vobanipur Transfer]]+Stock_year[[#This Row],[New Arrival(ulukhola)]]</f>
        <v>0</v>
      </c>
      <c r="P41" s="3">
        <f>Stock_year[[#This Row],[Ulukhola Total]]</f>
        <v>0</v>
      </c>
      <c r="Q41" s="3">
        <v>1735</v>
      </c>
      <c r="R4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1735</v>
      </c>
      <c r="S41" s="303">
        <f>Stock_year[[#This Row],[Closing Stock Vobanipur]]-58</f>
        <v>0</v>
      </c>
      <c r="T41" s="303">
        <f>Stock_year[[#This Row],[Closing Stock Ulukhola]]</f>
        <v>0</v>
      </c>
      <c r="U41" s="303">
        <f>Stock_year[[#This Row],[Vobanipur Opening2]]+Stock_year[[#This Row],[Ulukhola Opening2]]</f>
        <v>0</v>
      </c>
      <c r="V41" s="303">
        <f>VLOOKUP(Stock_year[[#This Row],[SKU ID]],SKU[[SKU ID]:[Bottle Size(Ltr)]],6,0)*Stock_year[[#This Row],[Opening Stock (Piece)2]]</f>
        <v>0</v>
      </c>
      <c r="W41" s="303">
        <v>0</v>
      </c>
      <c r="X41" s="303"/>
      <c r="Y41" s="303"/>
      <c r="Z41" s="303">
        <f>Stock_year[[#This Row],[Vobanipur Opening2]]+Stock_year[[#This Row],[Ulukhola to Vobanipur Transfer2]]+Stock_year[[#This Row],[New Arrival (vobanipur)2]]</f>
        <v>0</v>
      </c>
      <c r="AA41" s="303">
        <f>Stock_year[[#This Row],[Ulukhola Opening2]]-Stock_year[[#This Row],[Ulukhola to Vobanipur Transfer2]]+Stock_year[[#This Row],[New Arrival(ulukhola)2]]</f>
        <v>0</v>
      </c>
      <c r="AB41" s="303">
        <f>Stock_year[[#This Row],[Vobanipur Total2]]+Stock_year[[#This Row],[Ulukhola Total2]]</f>
        <v>0</v>
      </c>
      <c r="AC41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41" s="303">
        <f>Stock_year[[#This Row],[Vobanipur Total2]]-Stock_year[[#This Row],[Sold Qty(Piece)2]]</f>
        <v>0</v>
      </c>
      <c r="AE41" s="303">
        <f>Stock_year[[#This Row],[Ulukhola Opening2]]-Stock_year[[#This Row],[Ulukhola to Vobanipur Transfer2]]+Stock_year[[#This Row],[New Arrival(ulukhola)2]]</f>
        <v>0</v>
      </c>
      <c r="AF41" s="303">
        <f>VLOOKUP(Stock_year[[#This Row],[SKU ID]],SKU[],14,0)*(Stock_year[[#This Row],[Closing Stock Vobanipur2]]+Stock_year[[#This Row],[Closing Stock Ulukhola2]])</f>
        <v>0</v>
      </c>
      <c r="AG41" s="303">
        <f ca="1">OFFSET(Stock_year[[#This Row],[Total Closing Stock Value2]],0,-14)</f>
        <v>1735</v>
      </c>
      <c r="AH4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1735</v>
      </c>
      <c r="AI41" s="302">
        <f>Stock_year[[#This Row],[Closing Stock Vobanipur2]]</f>
        <v>0</v>
      </c>
      <c r="AJ41" s="303">
        <f>Stock_year[[#This Row],[Closing Stock Ulukhola2]]</f>
        <v>0</v>
      </c>
      <c r="AK41" s="303">
        <f>Stock_year[[#This Row],[Vobanipur Opening3]]+Stock_year[[#This Row],[Ulukhola Opening3]]</f>
        <v>0</v>
      </c>
      <c r="AL41" s="303">
        <f>VLOOKUP(Stock_year[[#This Row],[SKU ID]],SKU[[SKU ID]:[Bottle Size(Ltr)]],6,0)*Stock_year[[#This Row],[Opening Stock (Piece)3]]</f>
        <v>0</v>
      </c>
      <c r="AM41" s="303">
        <v>0</v>
      </c>
      <c r="AN41" s="303"/>
      <c r="AO41" s="303"/>
      <c r="AP41" s="303">
        <f>Stock_year[[#This Row],[Vobanipur Opening3]]+Stock_year[[#This Row],[New Arrival (vobanipur)3]]+Stock_year[[#This Row],[Ulukhola to Vobanipur Transfer3]]</f>
        <v>0</v>
      </c>
      <c r="AQ41" s="303">
        <f>Stock_year[[#This Row],[Ulukhola Opening3]]-Stock_year[[#This Row],[Ulukhola to Vobanipur Transfer3]]+Stock_year[[#This Row],[New Arrival(ulukhola)3]]</f>
        <v>0</v>
      </c>
      <c r="AR41" s="303">
        <f>Stock_year[[#This Row],[Vobanipur Total3]]+Stock_year[[#This Row],[Ulukhola Total3]]</f>
        <v>0</v>
      </c>
      <c r="AS41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1" s="303">
        <f>Stock_year[[#This Row],[Vobanipur Total3]]-Stock_year[[#This Row],[Sold Qty(Piece)3]]</f>
        <v>0</v>
      </c>
      <c r="AU41" s="303">
        <f>Stock_year[[#This Row],[Ulukhola Total3]]</f>
        <v>0</v>
      </c>
      <c r="AV41" s="303">
        <f>VLOOKUP(Stock_year[[#This Row],[SKU ID]],SKU[],14,0)*(Stock_year[[#This Row],[Closing Stock Vobanipur3]]+Stock_year[[#This Row],[Closing Stock Ulukhola3]])</f>
        <v>0</v>
      </c>
      <c r="AW41" s="303">
        <f ca="1">Stock_year[[#This Row],[Closing Damage unit2]]</f>
        <v>1735</v>
      </c>
      <c r="AX4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1735</v>
      </c>
      <c r="AY41" s="32">
        <f>Stock_year[[#This Row],[Closing Stock Vobanipur3]]</f>
        <v>0</v>
      </c>
      <c r="AZ41" s="32">
        <f>Stock_year[[#This Row],[Closing Stock Ulukhola3]]</f>
        <v>0</v>
      </c>
      <c r="BA41" s="32">
        <f>Stock_year[[#This Row],[Vobanipur Opening4]]+Stock_year[[#This Row],[Ulukhola Opening4]]</f>
        <v>0</v>
      </c>
      <c r="BB41" s="32">
        <f>VLOOKUP(Stock_year[[#This Row],[SKU ID]],SKU[[SKU ID]:[Bottle Size(Ltr)]],6,0)*Stock_year[[#This Row],[Opening Stock (Piece)4]]</f>
        <v>0</v>
      </c>
      <c r="BC41" s="32">
        <v>0</v>
      </c>
      <c r="BD41" s="32"/>
      <c r="BE41" s="32"/>
      <c r="BF41" s="32">
        <f>Stock_year[[#This Row],[Vobanipur Opening4]]+Stock_year[[#This Row],[New Arrival (vobanipur)4]]+Stock_year[[#This Row],[Ulukhola to Vobanipur Transfer4]]</f>
        <v>0</v>
      </c>
      <c r="BG41" s="32">
        <f>Stock_year[[#This Row],[Ulukhola Opening4]]-Stock_year[[#This Row],[Ulukhola to Vobanipur Transfer4]]+Stock_year[[#This Row],[New Arrival(ulukhola)4]]</f>
        <v>0</v>
      </c>
      <c r="BH41" s="32">
        <f>Stock_year[[#This Row],[Vobanipur Total4]]+Stock_year[[#This Row],[Ulukhola Total4]]</f>
        <v>0</v>
      </c>
      <c r="BI41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1" s="32">
        <f>Stock_year[[#This Row],[Vobanipur Total4]]-Stock_year[[#This Row],[Sold Qty(Piece)4]]</f>
        <v>0</v>
      </c>
      <c r="BK41" s="32">
        <f>Stock_year[[#This Row],[Ulukhola Total4]]</f>
        <v>0</v>
      </c>
      <c r="BL41" s="32">
        <f>VLOOKUP(Stock_year[[#This Row],[SKU ID]],SKU[],14,0)*(Stock_year[[#This Row],[Closing Stock Vobanipur4]]+Stock_year[[#This Row],[Closing Stock Ulukhola4]])</f>
        <v>0</v>
      </c>
      <c r="BM41" s="32">
        <f ca="1">Stock_year[[#This Row],[Closing Damage unit3]]</f>
        <v>1735</v>
      </c>
      <c r="BN4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1735</v>
      </c>
    </row>
    <row r="42" spans="1:66" x14ac:dyDescent="0.5">
      <c r="A42" t="s">
        <v>164</v>
      </c>
      <c r="B42" t="s">
        <v>801</v>
      </c>
      <c r="C42" s="329">
        <v>118</v>
      </c>
      <c r="D42" s="3">
        <v>0</v>
      </c>
      <c r="E42" s="3">
        <f>Stock_year[[#This Row],[Vobanipur Opening]]+Stock_year[[#This Row],[Ulukhola Opening]]</f>
        <v>118</v>
      </c>
      <c r="F42" s="3">
        <f>VLOOKUP(Stock_year[[#This Row],[SKU ID]],SKU[[SKU ID]:[Bottle Size(Ltr)]],6,0)*Stock_year[[#This Row],[Opening Stock (Piece)]]</f>
        <v>118</v>
      </c>
      <c r="G42" s="3">
        <v>0</v>
      </c>
      <c r="H42" s="3"/>
      <c r="I42" s="3"/>
      <c r="J42" s="3">
        <f>Stock_year[[#This Row],[Vobanipur Opening]]+Stock_year[[#This Row],[New Arrival (vobanipur)]]+Stock_year[[#This Row],[Ulukhola to Vobanipur Transfer]]</f>
        <v>118</v>
      </c>
      <c r="K42" s="3">
        <f>Stock_year[[#This Row],[Ulukhola Opening]]+Stock_year[[#This Row],[New Arrival(ulukhola)]]-Stock_year[[#This Row],[Ulukhola to Vobanipur Transfer]]</f>
        <v>0</v>
      </c>
      <c r="L42" s="3">
        <f>Stock_year[[#This Row],[Opening Stock (Piece)]]+Stock_year[[#This Row],[New Arrival(ulukhola)]]</f>
        <v>118</v>
      </c>
      <c r="M42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42" s="3">
        <f>Stock_year[[#This Row],[Vobanipur Total]]-Stock_year[[#This Row],[Sold Qty(Piece)]]</f>
        <v>118</v>
      </c>
      <c r="O42" s="3">
        <f>Stock_year[[#This Row],[Ulukhola Opening]]-Stock_year[[#This Row],[Ulukhola to Vobanipur Transfer]]+Stock_year[[#This Row],[New Arrival(ulukhola)]]</f>
        <v>0</v>
      </c>
      <c r="P42" s="3">
        <f>Stock_year[[#This Row],[Ulukhola Total]]</f>
        <v>0</v>
      </c>
      <c r="Q42" s="3">
        <v>2</v>
      </c>
      <c r="R4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42" s="303">
        <f>Stock_year[[#This Row],[Closing Stock Vobanipur]]</f>
        <v>118</v>
      </c>
      <c r="T42" s="303">
        <f>Stock_year[[#This Row],[Closing Stock Ulukhola]]</f>
        <v>0</v>
      </c>
      <c r="U42" s="303">
        <f>Stock_year[[#This Row],[Vobanipur Opening2]]+Stock_year[[#This Row],[Ulukhola Opening2]]</f>
        <v>118</v>
      </c>
      <c r="V42" s="303">
        <f>VLOOKUP(Stock_year[[#This Row],[SKU ID]],SKU[[SKU ID]:[Bottle Size(Ltr)]],6,0)*Stock_year[[#This Row],[Opening Stock (Piece)2]]</f>
        <v>118</v>
      </c>
      <c r="W42" s="303">
        <v>0</v>
      </c>
      <c r="X42" s="303"/>
      <c r="Y42" s="303"/>
      <c r="Z42" s="303">
        <f>Stock_year[[#This Row],[Vobanipur Opening2]]+Stock_year[[#This Row],[Ulukhola to Vobanipur Transfer2]]+Stock_year[[#This Row],[New Arrival (vobanipur)2]]</f>
        <v>118</v>
      </c>
      <c r="AA42" s="303">
        <f>Stock_year[[#This Row],[Ulukhola Opening2]]-Stock_year[[#This Row],[Ulukhola to Vobanipur Transfer2]]+Stock_year[[#This Row],[New Arrival(ulukhola)2]]</f>
        <v>0</v>
      </c>
      <c r="AB42" s="303">
        <f>Stock_year[[#This Row],[Vobanipur Total2]]+Stock_year[[#This Row],[Ulukhola Total2]]</f>
        <v>118</v>
      </c>
      <c r="AC42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42" s="303">
        <f>Stock_year[[#This Row],[Vobanipur Total2]]-Stock_year[[#This Row],[Sold Qty(Piece)2]]</f>
        <v>118</v>
      </c>
      <c r="AE42" s="303">
        <f>Stock_year[[#This Row],[Ulukhola Opening2]]-Stock_year[[#This Row],[Ulukhola to Vobanipur Transfer2]]+Stock_year[[#This Row],[New Arrival(ulukhola)2]]</f>
        <v>0</v>
      </c>
      <c r="AF42" s="303">
        <f>VLOOKUP(Stock_year[[#This Row],[SKU ID]],SKU[],14,0)*(Stock_year[[#This Row],[Closing Stock Vobanipur2]]+Stock_year[[#This Row],[Closing Stock Ulukhola2]])</f>
        <v>52839.22</v>
      </c>
      <c r="AG42" s="303">
        <f ca="1">OFFSET(Stock_year[[#This Row],[Total Closing Stock Value2]],0,-14)+58</f>
        <v>60</v>
      </c>
      <c r="AH42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60</v>
      </c>
      <c r="AI42" s="302">
        <f>Stock_year[[#This Row],[Closing Stock Vobanipur2]]</f>
        <v>118</v>
      </c>
      <c r="AJ42" s="303">
        <f>Stock_year[[#This Row],[Closing Stock Ulukhola2]]</f>
        <v>0</v>
      </c>
      <c r="AK42" s="303">
        <f>Stock_year[[#This Row],[Vobanipur Opening3]]+Stock_year[[#This Row],[Ulukhola Opening3]]</f>
        <v>118</v>
      </c>
      <c r="AL42" s="303">
        <f>VLOOKUP(Stock_year[[#This Row],[SKU ID]],SKU[[SKU ID]:[Bottle Size(Ltr)]],6,0)*Stock_year[[#This Row],[Opening Stock (Piece)3]]</f>
        <v>118</v>
      </c>
      <c r="AM42" s="303">
        <v>0</v>
      </c>
      <c r="AN42" s="303"/>
      <c r="AO42" s="303"/>
      <c r="AP42" s="303">
        <f>Stock_year[[#This Row],[Vobanipur Opening3]]+Stock_year[[#This Row],[New Arrival (vobanipur)3]]+Stock_year[[#This Row],[Ulukhola to Vobanipur Transfer3]]</f>
        <v>118</v>
      </c>
      <c r="AQ42" s="303">
        <f>Stock_year[[#This Row],[Ulukhola Opening3]]-Stock_year[[#This Row],[Ulukhola to Vobanipur Transfer3]]+Stock_year[[#This Row],[New Arrival(ulukhola)3]]</f>
        <v>0</v>
      </c>
      <c r="AR42" s="303">
        <f>Stock_year[[#This Row],[Vobanipur Total3]]+Stock_year[[#This Row],[Ulukhola Total3]]</f>
        <v>118</v>
      </c>
      <c r="AS42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2" s="303">
        <f>Stock_year[[#This Row],[Vobanipur Total3]]-Stock_year[[#This Row],[Sold Qty(Piece)3]]</f>
        <v>118</v>
      </c>
      <c r="AU42" s="303">
        <f>Stock_year[[#This Row],[Ulukhola Total3]]</f>
        <v>0</v>
      </c>
      <c r="AV42" s="303">
        <f>VLOOKUP(Stock_year[[#This Row],[SKU ID]],SKU[],14,0)*(Stock_year[[#This Row],[Closing Stock Vobanipur3]]+Stock_year[[#This Row],[Closing Stock Ulukhola3]])</f>
        <v>52839.22</v>
      </c>
      <c r="AW42" s="303">
        <f ca="1">Stock_year[[#This Row],[Closing Damage unit2]]</f>
        <v>60</v>
      </c>
      <c r="AX42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60</v>
      </c>
      <c r="AY42" s="32">
        <f>Stock_year[[#This Row],[Closing Stock Vobanipur3]]</f>
        <v>118</v>
      </c>
      <c r="AZ42" s="32">
        <f>Stock_year[[#This Row],[Closing Stock Ulukhola3]]</f>
        <v>0</v>
      </c>
      <c r="BA42" s="32">
        <f>Stock_year[[#This Row],[Vobanipur Opening4]]+Stock_year[[#This Row],[Ulukhola Opening4]]</f>
        <v>118</v>
      </c>
      <c r="BB42" s="32">
        <f>VLOOKUP(Stock_year[[#This Row],[SKU ID]],SKU[[SKU ID]:[Bottle Size(Ltr)]],6,0)*Stock_year[[#This Row],[Opening Stock (Piece)4]]</f>
        <v>118</v>
      </c>
      <c r="BC42" s="32">
        <v>0</v>
      </c>
      <c r="BD42" s="32"/>
      <c r="BE42" s="32"/>
      <c r="BF42" s="32">
        <f>Stock_year[[#This Row],[Vobanipur Opening4]]+Stock_year[[#This Row],[New Arrival (vobanipur)4]]+Stock_year[[#This Row],[Ulukhola to Vobanipur Transfer4]]</f>
        <v>118</v>
      </c>
      <c r="BG42" s="32">
        <f>Stock_year[[#This Row],[Ulukhola Opening4]]-Stock_year[[#This Row],[Ulukhola to Vobanipur Transfer4]]+Stock_year[[#This Row],[New Arrival(ulukhola)4]]</f>
        <v>0</v>
      </c>
      <c r="BH42" s="32">
        <f>Stock_year[[#This Row],[Vobanipur Total4]]+Stock_year[[#This Row],[Ulukhola Total4]]</f>
        <v>118</v>
      </c>
      <c r="BI42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2" s="32">
        <f>Stock_year[[#This Row],[Vobanipur Total4]]-Stock_year[[#This Row],[Sold Qty(Piece)4]]</f>
        <v>118</v>
      </c>
      <c r="BK42" s="32">
        <f>Stock_year[[#This Row],[Ulukhola Total4]]</f>
        <v>0</v>
      </c>
      <c r="BL42" s="32">
        <f>VLOOKUP(Stock_year[[#This Row],[SKU ID]],SKU[],14,0)*(Stock_year[[#This Row],[Closing Stock Vobanipur4]]+Stock_year[[#This Row],[Closing Stock Ulukhola4]])</f>
        <v>52839.22</v>
      </c>
      <c r="BM42" s="32">
        <f ca="1">Stock_year[[#This Row],[Closing Damage unit3]]</f>
        <v>60</v>
      </c>
      <c r="BN4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60</v>
      </c>
    </row>
    <row r="43" spans="1:66" x14ac:dyDescent="0.5">
      <c r="A43" t="s">
        <v>48</v>
      </c>
      <c r="B43" t="s">
        <v>802</v>
      </c>
      <c r="C43" s="329">
        <v>231</v>
      </c>
      <c r="D43" s="3">
        <v>0</v>
      </c>
      <c r="E43" s="3">
        <f>Stock_year[[#This Row],[Vobanipur Opening]]+Stock_year[[#This Row],[Ulukhola Opening]]</f>
        <v>231</v>
      </c>
      <c r="F43" s="3">
        <f>VLOOKUP(Stock_year[[#This Row],[SKU ID]],SKU[[SKU ID]:[Bottle Size(Ltr)]],6,0)*Stock_year[[#This Row],[Opening Stock (Piece)]]</f>
        <v>231</v>
      </c>
      <c r="G43" s="3">
        <v>0</v>
      </c>
      <c r="H43" s="3"/>
      <c r="I43" s="3"/>
      <c r="J43" s="3">
        <f>Stock_year[[#This Row],[Vobanipur Opening]]+Stock_year[[#This Row],[New Arrival (vobanipur)]]+Stock_year[[#This Row],[Ulukhola to Vobanipur Transfer]]</f>
        <v>231</v>
      </c>
      <c r="K43" s="3">
        <f>Stock_year[[#This Row],[Ulukhola Opening]]+Stock_year[[#This Row],[New Arrival(ulukhola)]]-Stock_year[[#This Row],[Ulukhola to Vobanipur Transfer]]</f>
        <v>0</v>
      </c>
      <c r="L43" s="3">
        <f>Stock_year[[#This Row],[Opening Stock (Piece)]]+Stock_year[[#This Row],[New Arrival(ulukhola)]]</f>
        <v>231</v>
      </c>
      <c r="M43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43" s="3">
        <f>Stock_year[[#This Row],[Vobanipur Total]]-Stock_year[[#This Row],[Sold Qty(Piece)]]</f>
        <v>231</v>
      </c>
      <c r="O43" s="3">
        <f>Stock_year[[#This Row],[Ulukhola Opening]]-Stock_year[[#This Row],[Ulukhola to Vobanipur Transfer]]+Stock_year[[#This Row],[New Arrival(ulukhola)]]</f>
        <v>0</v>
      </c>
      <c r="P43" s="3">
        <f>Stock_year[[#This Row],[Ulukhola Total]]</f>
        <v>0</v>
      </c>
      <c r="Q43" s="3">
        <v>265</v>
      </c>
      <c r="R43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265</v>
      </c>
      <c r="S43" s="303">
        <f>Stock_year[[#This Row],[Closing Stock Vobanipur]]</f>
        <v>231</v>
      </c>
      <c r="T43" s="303">
        <f>Stock_year[[#This Row],[Closing Stock Ulukhola]]</f>
        <v>0</v>
      </c>
      <c r="U43" s="303">
        <f>Stock_year[[#This Row],[Vobanipur Opening2]]+Stock_year[[#This Row],[Ulukhola Opening2]]</f>
        <v>231</v>
      </c>
      <c r="V43" s="303">
        <f>VLOOKUP(Stock_year[[#This Row],[SKU ID]],SKU[[SKU ID]:[Bottle Size(Ltr)]],6,0)*Stock_year[[#This Row],[Opening Stock (Piece)2]]</f>
        <v>231</v>
      </c>
      <c r="W43" s="303">
        <v>0</v>
      </c>
      <c r="X43" s="303"/>
      <c r="Y43" s="303"/>
      <c r="Z43" s="303">
        <f>Stock_year[[#This Row],[Vobanipur Opening2]]+Stock_year[[#This Row],[Ulukhola to Vobanipur Transfer2]]+Stock_year[[#This Row],[New Arrival (vobanipur)2]]</f>
        <v>231</v>
      </c>
      <c r="AA43" s="303">
        <f>Stock_year[[#This Row],[Ulukhola Opening2]]-Stock_year[[#This Row],[Ulukhola to Vobanipur Transfer2]]+Stock_year[[#This Row],[New Arrival(ulukhola)2]]</f>
        <v>0</v>
      </c>
      <c r="AB43" s="303">
        <f>Stock_year[[#This Row],[Vobanipur Total2]]+Stock_year[[#This Row],[Ulukhola Total2]]</f>
        <v>231</v>
      </c>
      <c r="AC43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43" s="303">
        <f>Stock_year[[#This Row],[Vobanipur Total2]]-Stock_year[[#This Row],[Sold Qty(Piece)2]]</f>
        <v>231</v>
      </c>
      <c r="AE43" s="303">
        <f>Stock_year[[#This Row],[Ulukhola Opening2]]-Stock_year[[#This Row],[Ulukhola to Vobanipur Transfer2]]+Stock_year[[#This Row],[New Arrival(ulukhola)2]]</f>
        <v>0</v>
      </c>
      <c r="AF43" s="303">
        <f>VLOOKUP(Stock_year[[#This Row],[SKU ID]],SKU[],14,0)*(Stock_year[[#This Row],[Closing Stock Vobanipur2]]+Stock_year[[#This Row],[Closing Stock Ulukhola2]])</f>
        <v>83060.67</v>
      </c>
      <c r="AG43" s="303">
        <f ca="1">OFFSET(Stock_year[[#This Row],[Total Closing Stock Value2]],0,-14)</f>
        <v>265</v>
      </c>
      <c r="AH43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265</v>
      </c>
      <c r="AI43" s="302">
        <f>Stock_year[[#This Row],[Closing Stock Vobanipur2]]</f>
        <v>231</v>
      </c>
      <c r="AJ43" s="303">
        <f>Stock_year[[#This Row],[Closing Stock Ulukhola2]]</f>
        <v>0</v>
      </c>
      <c r="AK43" s="303">
        <f>Stock_year[[#This Row],[Vobanipur Opening3]]+Stock_year[[#This Row],[Ulukhola Opening3]]</f>
        <v>231</v>
      </c>
      <c r="AL43" s="303">
        <f>VLOOKUP(Stock_year[[#This Row],[SKU ID]],SKU[[SKU ID]:[Bottle Size(Ltr)]],6,0)*Stock_year[[#This Row],[Opening Stock (Piece)3]]</f>
        <v>231</v>
      </c>
      <c r="AM43" s="303">
        <v>0</v>
      </c>
      <c r="AN43" s="303"/>
      <c r="AO43" s="303"/>
      <c r="AP43" s="303">
        <f>Stock_year[[#This Row],[Vobanipur Opening3]]+Stock_year[[#This Row],[New Arrival (vobanipur)3]]+Stock_year[[#This Row],[Ulukhola to Vobanipur Transfer3]]</f>
        <v>231</v>
      </c>
      <c r="AQ43" s="303">
        <f>Stock_year[[#This Row],[Ulukhola Opening3]]-Stock_year[[#This Row],[Ulukhola to Vobanipur Transfer3]]+Stock_year[[#This Row],[New Arrival(ulukhola)3]]</f>
        <v>0</v>
      </c>
      <c r="AR43" s="303">
        <f>Stock_year[[#This Row],[Vobanipur Total3]]+Stock_year[[#This Row],[Ulukhola Total3]]</f>
        <v>231</v>
      </c>
      <c r="AS43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3" s="303">
        <f>Stock_year[[#This Row],[Vobanipur Total3]]-Stock_year[[#This Row],[Sold Qty(Piece)3]]</f>
        <v>231</v>
      </c>
      <c r="AU43" s="303">
        <f>Stock_year[[#This Row],[Ulukhola Total3]]</f>
        <v>0</v>
      </c>
      <c r="AV43" s="303">
        <f>VLOOKUP(Stock_year[[#This Row],[SKU ID]],SKU[],14,0)*(Stock_year[[#This Row],[Closing Stock Vobanipur3]]+Stock_year[[#This Row],[Closing Stock Ulukhola3]])</f>
        <v>83060.67</v>
      </c>
      <c r="AW43" s="303">
        <f ca="1">Stock_year[[#This Row],[Closing Damage unit2]]</f>
        <v>265</v>
      </c>
      <c r="AX43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265</v>
      </c>
      <c r="AY43" s="32">
        <f>Stock_year[[#This Row],[Closing Stock Vobanipur3]]</f>
        <v>231</v>
      </c>
      <c r="AZ43" s="32">
        <f>Stock_year[[#This Row],[Closing Stock Ulukhola3]]</f>
        <v>0</v>
      </c>
      <c r="BA43" s="32">
        <f>Stock_year[[#This Row],[Vobanipur Opening4]]+Stock_year[[#This Row],[Ulukhola Opening4]]</f>
        <v>231</v>
      </c>
      <c r="BB43" s="32">
        <f>VLOOKUP(Stock_year[[#This Row],[SKU ID]],SKU[[SKU ID]:[Bottle Size(Ltr)]],6,0)*Stock_year[[#This Row],[Opening Stock (Piece)4]]</f>
        <v>231</v>
      </c>
      <c r="BC43" s="32">
        <v>0</v>
      </c>
      <c r="BD43" s="32"/>
      <c r="BE43" s="32"/>
      <c r="BF43" s="32">
        <f>Stock_year[[#This Row],[Vobanipur Opening4]]+Stock_year[[#This Row],[New Arrival (vobanipur)4]]+Stock_year[[#This Row],[Ulukhola to Vobanipur Transfer4]]</f>
        <v>231</v>
      </c>
      <c r="BG43" s="32">
        <f>Stock_year[[#This Row],[Ulukhola Opening4]]-Stock_year[[#This Row],[Ulukhola to Vobanipur Transfer4]]+Stock_year[[#This Row],[New Arrival(ulukhola)4]]</f>
        <v>0</v>
      </c>
      <c r="BH43" s="32">
        <f>Stock_year[[#This Row],[Vobanipur Total4]]+Stock_year[[#This Row],[Ulukhola Total4]]</f>
        <v>231</v>
      </c>
      <c r="BI43" s="32">
        <f>SUMIFS(Primary_Order[Total Qty],Primary_Order[Date],"&gt;="&amp;AY$1,Primary_Order[Date],"&lt;="&amp;EOMONTH(AY$1,0),Primary_Order[Product ID],Stock_year[[#This Row],[SKU ID]],Primary_Order[Status],'Stock Report'!$A$1)</f>
        <v>230</v>
      </c>
      <c r="BJ43" s="32">
        <f>Stock_year[[#This Row],[Vobanipur Total4]]-Stock_year[[#This Row],[Sold Qty(Piece)4]]</f>
        <v>1</v>
      </c>
      <c r="BK43" s="32">
        <f>Stock_year[[#This Row],[Ulukhola Total4]]</f>
        <v>0</v>
      </c>
      <c r="BL43" s="32">
        <f>VLOOKUP(Stock_year[[#This Row],[SKU ID]],SKU[],14,0)*(Stock_year[[#This Row],[Closing Stock Vobanipur4]]+Stock_year[[#This Row],[Closing Stock Ulukhola4]])</f>
        <v>359.57</v>
      </c>
      <c r="BM43" s="32">
        <f ca="1">Stock_year[[#This Row],[Closing Damage unit3]]</f>
        <v>265</v>
      </c>
      <c r="BN43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265</v>
      </c>
    </row>
    <row r="44" spans="1:66" x14ac:dyDescent="0.5">
      <c r="A44" t="s">
        <v>154</v>
      </c>
      <c r="B44" t="s">
        <v>803</v>
      </c>
      <c r="C44" s="331">
        <f>93-5</f>
        <v>88</v>
      </c>
      <c r="D44" s="3">
        <v>0</v>
      </c>
      <c r="E44" s="3">
        <f>Stock_year[[#This Row],[Vobanipur Opening]]+Stock_year[[#This Row],[Ulukhola Opening]]</f>
        <v>88</v>
      </c>
      <c r="F44" s="3">
        <f>VLOOKUP(Stock_year[[#This Row],[SKU ID]],SKU[[SKU ID]:[Bottle Size(Ltr)]],6,0)*Stock_year[[#This Row],[Opening Stock (Piece)]]</f>
        <v>88</v>
      </c>
      <c r="G44" s="3">
        <v>0</v>
      </c>
      <c r="H44" s="3"/>
      <c r="I44" s="3"/>
      <c r="J44" s="3">
        <f>Stock_year[[#This Row],[Vobanipur Opening]]+Stock_year[[#This Row],[New Arrival (vobanipur)]]+Stock_year[[#This Row],[Ulukhola to Vobanipur Transfer]]</f>
        <v>88</v>
      </c>
      <c r="K44" s="3">
        <f>Stock_year[[#This Row],[Ulukhola Opening]]+Stock_year[[#This Row],[New Arrival(ulukhola)]]-Stock_year[[#This Row],[Ulukhola to Vobanipur Transfer]]</f>
        <v>0</v>
      </c>
      <c r="L44" s="3">
        <f>Stock_year[[#This Row],[Opening Stock (Piece)]]+Stock_year[[#This Row],[New Arrival(ulukhola)]]</f>
        <v>88</v>
      </c>
      <c r="M44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44" s="3">
        <f>Stock_year[[#This Row],[Vobanipur Total]]-Stock_year[[#This Row],[Sold Qty(Piece)]]</f>
        <v>88</v>
      </c>
      <c r="O44" s="3">
        <f>Stock_year[[#This Row],[Ulukhola Opening]]-Stock_year[[#This Row],[Ulukhola to Vobanipur Transfer]]+Stock_year[[#This Row],[New Arrival(ulukhola)]]</f>
        <v>0</v>
      </c>
      <c r="P44" s="3">
        <f>Stock_year[[#This Row],[Ulukhola Total]]</f>
        <v>0</v>
      </c>
      <c r="Q44" s="3">
        <v>2</v>
      </c>
      <c r="R4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44" s="303">
        <f>Stock_year[[#This Row],[Closing Stock Vobanipur]]</f>
        <v>88</v>
      </c>
      <c r="T44" s="303">
        <f>Stock_year[[#This Row],[Closing Stock Ulukhola]]</f>
        <v>0</v>
      </c>
      <c r="U44" s="303">
        <f>Stock_year[[#This Row],[Vobanipur Opening2]]+Stock_year[[#This Row],[Ulukhola Opening2]]</f>
        <v>88</v>
      </c>
      <c r="V44" s="303">
        <f>VLOOKUP(Stock_year[[#This Row],[SKU ID]],SKU[[SKU ID]:[Bottle Size(Ltr)]],6,0)*Stock_year[[#This Row],[Opening Stock (Piece)2]]</f>
        <v>88</v>
      </c>
      <c r="W44" s="303">
        <v>0</v>
      </c>
      <c r="X44" s="303"/>
      <c r="Y44" s="303"/>
      <c r="Z44" s="303">
        <f>Stock_year[[#This Row],[Vobanipur Opening2]]+Stock_year[[#This Row],[Ulukhola to Vobanipur Transfer2]]+Stock_year[[#This Row],[New Arrival (vobanipur)2]]</f>
        <v>88</v>
      </c>
      <c r="AA44" s="303">
        <f>Stock_year[[#This Row],[Ulukhola Opening2]]-Stock_year[[#This Row],[Ulukhola to Vobanipur Transfer2]]+Stock_year[[#This Row],[New Arrival(ulukhola)2]]</f>
        <v>0</v>
      </c>
      <c r="AB44" s="303">
        <f>Stock_year[[#This Row],[Vobanipur Total2]]+Stock_year[[#This Row],[Ulukhola Total2]]</f>
        <v>88</v>
      </c>
      <c r="AC44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44" s="303">
        <f>Stock_year[[#This Row],[Vobanipur Total2]]-Stock_year[[#This Row],[Sold Qty(Piece)2]]</f>
        <v>88</v>
      </c>
      <c r="AE44" s="303">
        <f>Stock_year[[#This Row],[Ulukhola Opening2]]-Stock_year[[#This Row],[Ulukhola to Vobanipur Transfer2]]+Stock_year[[#This Row],[New Arrival(ulukhola)2]]</f>
        <v>0</v>
      </c>
      <c r="AF44" s="303">
        <f>VLOOKUP(Stock_year[[#This Row],[SKU ID]],SKU[],14,0)*(Stock_year[[#This Row],[Closing Stock Vobanipur2]]+Stock_year[[#This Row],[Closing Stock Ulukhola2]])</f>
        <v>32450</v>
      </c>
      <c r="AG44" s="303">
        <f ca="1">OFFSET(Stock_year[[#This Row],[Total Closing Stock Value2]],0,-14)</f>
        <v>2</v>
      </c>
      <c r="AH4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44" s="302">
        <f>Stock_year[[#This Row],[Closing Stock Vobanipur2]]</f>
        <v>88</v>
      </c>
      <c r="AJ44" s="303">
        <f>Stock_year[[#This Row],[Closing Stock Ulukhola2]]</f>
        <v>0</v>
      </c>
      <c r="AK44" s="303">
        <f>Stock_year[[#This Row],[Vobanipur Opening3]]+Stock_year[[#This Row],[Ulukhola Opening3]]</f>
        <v>88</v>
      </c>
      <c r="AL44" s="303">
        <f>VLOOKUP(Stock_year[[#This Row],[SKU ID]],SKU[[SKU ID]:[Bottle Size(Ltr)]],6,0)*Stock_year[[#This Row],[Opening Stock (Piece)3]]</f>
        <v>88</v>
      </c>
      <c r="AM44" s="303">
        <v>0</v>
      </c>
      <c r="AN44" s="303"/>
      <c r="AO44" s="303"/>
      <c r="AP44" s="303">
        <f>Stock_year[[#This Row],[Vobanipur Opening3]]+Stock_year[[#This Row],[New Arrival (vobanipur)3]]+Stock_year[[#This Row],[Ulukhola to Vobanipur Transfer3]]</f>
        <v>88</v>
      </c>
      <c r="AQ44" s="303">
        <f>Stock_year[[#This Row],[Ulukhola Opening3]]-Stock_year[[#This Row],[Ulukhola to Vobanipur Transfer3]]+Stock_year[[#This Row],[New Arrival(ulukhola)3]]</f>
        <v>0</v>
      </c>
      <c r="AR44" s="303">
        <f>Stock_year[[#This Row],[Vobanipur Total3]]+Stock_year[[#This Row],[Ulukhola Total3]]</f>
        <v>88</v>
      </c>
      <c r="AS44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4" s="303">
        <f>Stock_year[[#This Row],[Vobanipur Total3]]-Stock_year[[#This Row],[Sold Qty(Piece)3]]</f>
        <v>88</v>
      </c>
      <c r="AU44" s="303">
        <f>Stock_year[[#This Row],[Ulukhola Total3]]</f>
        <v>0</v>
      </c>
      <c r="AV44" s="303">
        <f>VLOOKUP(Stock_year[[#This Row],[SKU ID]],SKU[],14,0)*(Stock_year[[#This Row],[Closing Stock Vobanipur3]]+Stock_year[[#This Row],[Closing Stock Ulukhola3]])</f>
        <v>32450</v>
      </c>
      <c r="AW44" s="303">
        <f ca="1">Stock_year[[#This Row],[Closing Damage unit2]]</f>
        <v>2</v>
      </c>
      <c r="AX4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44" s="32">
        <f>Stock_year[[#This Row],[Closing Stock Vobanipur3]]</f>
        <v>88</v>
      </c>
      <c r="AZ44" s="32">
        <f>Stock_year[[#This Row],[Closing Stock Ulukhola3]]</f>
        <v>0</v>
      </c>
      <c r="BA44" s="32">
        <f>Stock_year[[#This Row],[Vobanipur Opening4]]+Stock_year[[#This Row],[Ulukhola Opening4]]</f>
        <v>88</v>
      </c>
      <c r="BB44" s="32">
        <f>VLOOKUP(Stock_year[[#This Row],[SKU ID]],SKU[[SKU ID]:[Bottle Size(Ltr)]],6,0)*Stock_year[[#This Row],[Opening Stock (Piece)4]]</f>
        <v>88</v>
      </c>
      <c r="BC44" s="32">
        <v>0</v>
      </c>
      <c r="BD44" s="32"/>
      <c r="BE44" s="32"/>
      <c r="BF44" s="32">
        <f>Stock_year[[#This Row],[Vobanipur Opening4]]+Stock_year[[#This Row],[New Arrival (vobanipur)4]]+Stock_year[[#This Row],[Ulukhola to Vobanipur Transfer4]]</f>
        <v>88</v>
      </c>
      <c r="BG44" s="32">
        <f>Stock_year[[#This Row],[Ulukhola Opening4]]-Stock_year[[#This Row],[Ulukhola to Vobanipur Transfer4]]+Stock_year[[#This Row],[New Arrival(ulukhola)4]]</f>
        <v>0</v>
      </c>
      <c r="BH44" s="32">
        <f>Stock_year[[#This Row],[Vobanipur Total4]]+Stock_year[[#This Row],[Ulukhola Total4]]</f>
        <v>88</v>
      </c>
      <c r="BI44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4" s="32">
        <f>Stock_year[[#This Row],[Vobanipur Total4]]-Stock_year[[#This Row],[Sold Qty(Piece)4]]</f>
        <v>88</v>
      </c>
      <c r="BK44" s="32">
        <f>Stock_year[[#This Row],[Ulukhola Total4]]</f>
        <v>0</v>
      </c>
      <c r="BL44" s="32">
        <f>VLOOKUP(Stock_year[[#This Row],[SKU ID]],SKU[],14,0)*(Stock_year[[#This Row],[Closing Stock Vobanipur4]]+Stock_year[[#This Row],[Closing Stock Ulukhola4]])</f>
        <v>32450</v>
      </c>
      <c r="BM44" s="32">
        <f ca="1">Stock_year[[#This Row],[Closing Damage unit3]]</f>
        <v>2</v>
      </c>
      <c r="BN4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45" spans="1:66" x14ac:dyDescent="0.5">
      <c r="A45" t="s">
        <v>179</v>
      </c>
      <c r="B45" t="s">
        <v>804</v>
      </c>
      <c r="C45" s="329">
        <v>194</v>
      </c>
      <c r="D45" s="3">
        <v>0</v>
      </c>
      <c r="E45" s="3">
        <f>Stock_year[[#This Row],[Vobanipur Opening]]+Stock_year[[#This Row],[Ulukhola Opening]]</f>
        <v>194</v>
      </c>
      <c r="F45" s="3">
        <f>VLOOKUP(Stock_year[[#This Row],[SKU ID]],SKU[[SKU ID]:[Bottle Size(Ltr)]],6,0)*Stock_year[[#This Row],[Opening Stock (Piece)]]</f>
        <v>2134</v>
      </c>
      <c r="G45" s="3">
        <v>0</v>
      </c>
      <c r="H45" s="3"/>
      <c r="I45" s="3"/>
      <c r="J45" s="3">
        <f>Stock_year[[#This Row],[Vobanipur Opening]]+Stock_year[[#This Row],[New Arrival (vobanipur)]]+Stock_year[[#This Row],[Ulukhola to Vobanipur Transfer]]</f>
        <v>194</v>
      </c>
      <c r="K45" s="3">
        <f>Stock_year[[#This Row],[Ulukhola Opening]]+Stock_year[[#This Row],[New Arrival(ulukhola)]]-Stock_year[[#This Row],[Ulukhola to Vobanipur Transfer]]</f>
        <v>0</v>
      </c>
      <c r="L45" s="3">
        <f>Stock_year[[#This Row],[Opening Stock (Piece)]]+Stock_year[[#This Row],[New Arrival(ulukhola)]]</f>
        <v>194</v>
      </c>
      <c r="M45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45" s="3">
        <f>Stock_year[[#This Row],[Vobanipur Total]]-Stock_year[[#This Row],[Sold Qty(Piece)]]</f>
        <v>194</v>
      </c>
      <c r="O45" s="3">
        <f>Stock_year[[#This Row],[Ulukhola Opening]]-Stock_year[[#This Row],[Ulukhola to Vobanipur Transfer]]+Stock_year[[#This Row],[New Arrival(ulukhola)]]</f>
        <v>0</v>
      </c>
      <c r="P45" s="3">
        <f>Stock_year[[#This Row],[Ulukhola Total]]</f>
        <v>0</v>
      </c>
      <c r="Q45" s="3">
        <v>1</v>
      </c>
      <c r="R4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</v>
      </c>
      <c r="S45" s="303">
        <f>Stock_year[[#This Row],[Closing Stock Vobanipur]]</f>
        <v>194</v>
      </c>
      <c r="T45" s="303">
        <f>Stock_year[[#This Row],[Closing Stock Ulukhola]]</f>
        <v>0</v>
      </c>
      <c r="U45" s="303">
        <f>Stock_year[[#This Row],[Vobanipur Opening2]]+Stock_year[[#This Row],[Ulukhola Opening2]]</f>
        <v>194</v>
      </c>
      <c r="V45" s="303">
        <f>VLOOKUP(Stock_year[[#This Row],[SKU ID]],SKU[[SKU ID]:[Bottle Size(Ltr)]],6,0)*Stock_year[[#This Row],[Opening Stock (Piece)2]]</f>
        <v>2134</v>
      </c>
      <c r="W45" s="303">
        <v>0</v>
      </c>
      <c r="X45" s="303"/>
      <c r="Y45" s="303"/>
      <c r="Z45" s="303">
        <f>Stock_year[[#This Row],[Vobanipur Opening2]]+Stock_year[[#This Row],[Ulukhola to Vobanipur Transfer2]]+Stock_year[[#This Row],[New Arrival (vobanipur)2]]</f>
        <v>194</v>
      </c>
      <c r="AA45" s="303">
        <f>Stock_year[[#This Row],[Ulukhola Opening2]]-Stock_year[[#This Row],[Ulukhola to Vobanipur Transfer2]]+Stock_year[[#This Row],[New Arrival(ulukhola)2]]</f>
        <v>0</v>
      </c>
      <c r="AB45" s="303">
        <f>Stock_year[[#This Row],[Vobanipur Total2]]+Stock_year[[#This Row],[Ulukhola Total2]]</f>
        <v>194</v>
      </c>
      <c r="AC45" s="303">
        <f>SUMIFS(Primary_Order[Total Qty],Primary_Order[Date],"&gt;="&amp;S$1,Primary_Order[Date],"&lt;="&amp;EOMONTH(S$1,0),Primary_Order[Product ID],Stock_year[[#This Row],[SKU ID]],Primary_Order[Status],'Stock Report'!$A$1)</f>
        <v>194</v>
      </c>
      <c r="AD45" s="303">
        <f>Stock_year[[#This Row],[Vobanipur Total2]]-Stock_year[[#This Row],[Sold Qty(Piece)2]]</f>
        <v>0</v>
      </c>
      <c r="AE45" s="303">
        <f>Stock_year[[#This Row],[Ulukhola Opening2]]-Stock_year[[#This Row],[Ulukhola to Vobanipur Transfer2]]+Stock_year[[#This Row],[New Arrival(ulukhola)2]]</f>
        <v>0</v>
      </c>
      <c r="AF45" s="303">
        <f>VLOOKUP(Stock_year[[#This Row],[SKU ID]],SKU[],14,0)*(Stock_year[[#This Row],[Closing Stock Vobanipur2]]+Stock_year[[#This Row],[Closing Stock Ulukhola2]])</f>
        <v>0</v>
      </c>
      <c r="AG45" s="303">
        <f ca="1">OFFSET(Stock_year[[#This Row],[Total Closing Stock Value2]],0,-14)</f>
        <v>1</v>
      </c>
      <c r="AH4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</v>
      </c>
      <c r="AI45" s="302">
        <f>Stock_year[[#This Row],[Closing Stock Vobanipur2]]</f>
        <v>0</v>
      </c>
      <c r="AJ45" s="303">
        <f>Stock_year[[#This Row],[Closing Stock Ulukhola2]]</f>
        <v>0</v>
      </c>
      <c r="AK45" s="303">
        <f>Stock_year[[#This Row],[Vobanipur Opening3]]+Stock_year[[#This Row],[Ulukhola Opening3]]</f>
        <v>0</v>
      </c>
      <c r="AL45" s="303">
        <f>VLOOKUP(Stock_year[[#This Row],[SKU ID]],SKU[[SKU ID]:[Bottle Size(Ltr)]],6,0)*Stock_year[[#This Row],[Opening Stock (Piece)3]]</f>
        <v>0</v>
      </c>
      <c r="AM45" s="303">
        <v>0</v>
      </c>
      <c r="AN45" s="303"/>
      <c r="AO45" s="303"/>
      <c r="AP45" s="303">
        <f>Stock_year[[#This Row],[Vobanipur Opening3]]+Stock_year[[#This Row],[New Arrival (vobanipur)3]]+Stock_year[[#This Row],[Ulukhola to Vobanipur Transfer3]]</f>
        <v>0</v>
      </c>
      <c r="AQ45" s="303">
        <f>Stock_year[[#This Row],[Ulukhola Opening3]]-Stock_year[[#This Row],[Ulukhola to Vobanipur Transfer3]]+Stock_year[[#This Row],[New Arrival(ulukhola)3]]</f>
        <v>0</v>
      </c>
      <c r="AR45" s="303">
        <f>Stock_year[[#This Row],[Vobanipur Total3]]+Stock_year[[#This Row],[Ulukhola Total3]]</f>
        <v>0</v>
      </c>
      <c r="AS45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5" s="303">
        <f>Stock_year[[#This Row],[Vobanipur Total3]]-Stock_year[[#This Row],[Sold Qty(Piece)3]]</f>
        <v>0</v>
      </c>
      <c r="AU45" s="303">
        <f>Stock_year[[#This Row],[Ulukhola Total3]]</f>
        <v>0</v>
      </c>
      <c r="AV45" s="303">
        <f>VLOOKUP(Stock_year[[#This Row],[SKU ID]],SKU[],14,0)*(Stock_year[[#This Row],[Closing Stock Vobanipur3]]+Stock_year[[#This Row],[Closing Stock Ulukhola3]])</f>
        <v>0</v>
      </c>
      <c r="AW45" s="303">
        <f ca="1">Stock_year[[#This Row],[Closing Damage unit2]]</f>
        <v>1</v>
      </c>
      <c r="AX4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</v>
      </c>
      <c r="AY45" s="32">
        <f>Stock_year[[#This Row],[Closing Stock Vobanipur3]]</f>
        <v>0</v>
      </c>
      <c r="AZ45" s="32">
        <f>Stock_year[[#This Row],[Closing Stock Ulukhola3]]</f>
        <v>0</v>
      </c>
      <c r="BA45" s="32">
        <f>Stock_year[[#This Row],[Vobanipur Opening4]]+Stock_year[[#This Row],[Ulukhola Opening4]]</f>
        <v>0</v>
      </c>
      <c r="BB45" s="32">
        <f>VLOOKUP(Stock_year[[#This Row],[SKU ID]],SKU[[SKU ID]:[Bottle Size(Ltr)]],6,0)*Stock_year[[#This Row],[Opening Stock (Piece)4]]</f>
        <v>0</v>
      </c>
      <c r="BC45" s="32">
        <v>0</v>
      </c>
      <c r="BD45" s="32"/>
      <c r="BE45" s="32"/>
      <c r="BF45" s="32">
        <f>Stock_year[[#This Row],[Vobanipur Opening4]]+Stock_year[[#This Row],[New Arrival (vobanipur)4]]+Stock_year[[#This Row],[Ulukhola to Vobanipur Transfer4]]</f>
        <v>0</v>
      </c>
      <c r="BG45" s="32">
        <f>Stock_year[[#This Row],[Ulukhola Opening4]]-Stock_year[[#This Row],[Ulukhola to Vobanipur Transfer4]]+Stock_year[[#This Row],[New Arrival(ulukhola)4]]</f>
        <v>0</v>
      </c>
      <c r="BH45" s="32">
        <f>Stock_year[[#This Row],[Vobanipur Total4]]+Stock_year[[#This Row],[Ulukhola Total4]]</f>
        <v>0</v>
      </c>
      <c r="BI45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5" s="32">
        <f>Stock_year[[#This Row],[Vobanipur Total4]]-Stock_year[[#This Row],[Sold Qty(Piece)4]]</f>
        <v>0</v>
      </c>
      <c r="BK45" s="32">
        <f>Stock_year[[#This Row],[Ulukhola Total4]]</f>
        <v>0</v>
      </c>
      <c r="BL45" s="32">
        <f>VLOOKUP(Stock_year[[#This Row],[SKU ID]],SKU[],14,0)*(Stock_year[[#This Row],[Closing Stock Vobanipur4]]+Stock_year[[#This Row],[Closing Stock Ulukhola4]])</f>
        <v>0</v>
      </c>
      <c r="BM45" s="32">
        <f ca="1">Stock_year[[#This Row],[Closing Damage unit3]]</f>
        <v>1</v>
      </c>
      <c r="BN4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</v>
      </c>
    </row>
    <row r="46" spans="1:66" x14ac:dyDescent="0.5">
      <c r="A46" t="s">
        <v>113</v>
      </c>
      <c r="B46" t="s">
        <v>805</v>
      </c>
      <c r="C46" s="329">
        <v>97</v>
      </c>
      <c r="D46" s="3">
        <v>0</v>
      </c>
      <c r="E46" s="3">
        <f>Stock_year[[#This Row],[Vobanipur Opening]]+Stock_year[[#This Row],[Ulukhola Opening]]</f>
        <v>97</v>
      </c>
      <c r="F46" s="3">
        <f>VLOOKUP(Stock_year[[#This Row],[SKU ID]],SKU[[SKU ID]:[Bottle Size(Ltr)]],6,0)*Stock_year[[#This Row],[Opening Stock (Piece)]]</f>
        <v>1455</v>
      </c>
      <c r="G46" s="3">
        <v>0</v>
      </c>
      <c r="H46" s="3"/>
      <c r="I46" s="3"/>
      <c r="J46" s="3">
        <f>Stock_year[[#This Row],[Vobanipur Opening]]+Stock_year[[#This Row],[New Arrival (vobanipur)]]+Stock_year[[#This Row],[Ulukhola to Vobanipur Transfer]]</f>
        <v>97</v>
      </c>
      <c r="K46" s="3">
        <f>Stock_year[[#This Row],[Ulukhola Opening]]+Stock_year[[#This Row],[New Arrival(ulukhola)]]-Stock_year[[#This Row],[Ulukhola to Vobanipur Transfer]]</f>
        <v>0</v>
      </c>
      <c r="L46" s="3">
        <f>Stock_year[[#This Row],[Opening Stock (Piece)]]+Stock_year[[#This Row],[New Arrival(ulukhola)]]</f>
        <v>97</v>
      </c>
      <c r="M46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46" s="3">
        <f>Stock_year[[#This Row],[Vobanipur Total]]-Stock_year[[#This Row],[Sold Qty(Piece)]]</f>
        <v>97</v>
      </c>
      <c r="O46" s="3">
        <f>Stock_year[[#This Row],[Ulukhola Opening]]-Stock_year[[#This Row],[Ulukhola to Vobanipur Transfer]]+Stock_year[[#This Row],[New Arrival(ulukhola)]]</f>
        <v>0</v>
      </c>
      <c r="P46" s="3">
        <f>Stock_year[[#This Row],[Ulukhola Total]]</f>
        <v>0</v>
      </c>
      <c r="Q46" s="3">
        <v>0</v>
      </c>
      <c r="R4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46" s="303">
        <f>Stock_year[[#This Row],[Closing Stock Vobanipur]]</f>
        <v>97</v>
      </c>
      <c r="T46" s="303">
        <f>Stock_year[[#This Row],[Closing Stock Ulukhola]]</f>
        <v>0</v>
      </c>
      <c r="U46" s="303">
        <f>Stock_year[[#This Row],[Vobanipur Opening2]]+Stock_year[[#This Row],[Ulukhola Opening2]]</f>
        <v>97</v>
      </c>
      <c r="V46" s="303">
        <f>VLOOKUP(Stock_year[[#This Row],[SKU ID]],SKU[[SKU ID]:[Bottle Size(Ltr)]],6,0)*Stock_year[[#This Row],[Opening Stock (Piece)2]]</f>
        <v>1455</v>
      </c>
      <c r="W46" s="303">
        <v>0</v>
      </c>
      <c r="X46" s="303"/>
      <c r="Y46" s="303"/>
      <c r="Z46" s="303">
        <f>Stock_year[[#This Row],[Vobanipur Opening2]]+Stock_year[[#This Row],[Ulukhola to Vobanipur Transfer2]]+Stock_year[[#This Row],[New Arrival (vobanipur)2]]</f>
        <v>97</v>
      </c>
      <c r="AA46" s="303">
        <f>Stock_year[[#This Row],[Ulukhola Opening2]]-Stock_year[[#This Row],[Ulukhola to Vobanipur Transfer2]]+Stock_year[[#This Row],[New Arrival(ulukhola)2]]</f>
        <v>0</v>
      </c>
      <c r="AB46" s="303">
        <f>Stock_year[[#This Row],[Vobanipur Total2]]+Stock_year[[#This Row],[Ulukhola Total2]]</f>
        <v>97</v>
      </c>
      <c r="AC46" s="303">
        <f>SUMIFS(Primary_Order[Total Qty],Primary_Order[Date],"&gt;="&amp;S$1,Primary_Order[Date],"&lt;="&amp;EOMONTH(S$1,0),Primary_Order[Product ID],Stock_year[[#This Row],[SKU ID]],Primary_Order[Status],'Stock Report'!$A$1)</f>
        <v>97</v>
      </c>
      <c r="AD46" s="303">
        <f>Stock_year[[#This Row],[Vobanipur Total2]]-Stock_year[[#This Row],[Sold Qty(Piece)2]]</f>
        <v>0</v>
      </c>
      <c r="AE46" s="303">
        <f>Stock_year[[#This Row],[Ulukhola Opening2]]-Stock_year[[#This Row],[Ulukhola to Vobanipur Transfer2]]+Stock_year[[#This Row],[New Arrival(ulukhola)2]]</f>
        <v>0</v>
      </c>
      <c r="AF46" s="303">
        <f>VLOOKUP(Stock_year[[#This Row],[SKU ID]],SKU[],14,0)*(Stock_year[[#This Row],[Closing Stock Vobanipur2]]+Stock_year[[#This Row],[Closing Stock Ulukhola2]])</f>
        <v>0</v>
      </c>
      <c r="AG46" s="303">
        <f ca="1">OFFSET(Stock_year[[#This Row],[Total Closing Stock Value2]],0,-14)</f>
        <v>0</v>
      </c>
      <c r="AH4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46" s="302">
        <f>Stock_year[[#This Row],[Closing Stock Vobanipur2]]</f>
        <v>0</v>
      </c>
      <c r="AJ46" s="303">
        <f>Stock_year[[#This Row],[Closing Stock Ulukhola2]]</f>
        <v>0</v>
      </c>
      <c r="AK46" s="303">
        <f>Stock_year[[#This Row],[Vobanipur Opening3]]+Stock_year[[#This Row],[Ulukhola Opening3]]</f>
        <v>0</v>
      </c>
      <c r="AL46" s="303">
        <f>VLOOKUP(Stock_year[[#This Row],[SKU ID]],SKU[[SKU ID]:[Bottle Size(Ltr)]],6,0)*Stock_year[[#This Row],[Opening Stock (Piece)3]]</f>
        <v>0</v>
      </c>
      <c r="AM46" s="303">
        <v>0</v>
      </c>
      <c r="AN46" s="303"/>
      <c r="AO46" s="303"/>
      <c r="AP46" s="303">
        <f>Stock_year[[#This Row],[Vobanipur Opening3]]+Stock_year[[#This Row],[New Arrival (vobanipur)3]]+Stock_year[[#This Row],[Ulukhola to Vobanipur Transfer3]]</f>
        <v>0</v>
      </c>
      <c r="AQ46" s="303">
        <f>Stock_year[[#This Row],[Ulukhola Opening3]]-Stock_year[[#This Row],[Ulukhola to Vobanipur Transfer3]]+Stock_year[[#This Row],[New Arrival(ulukhola)3]]</f>
        <v>0</v>
      </c>
      <c r="AR46" s="303">
        <f>Stock_year[[#This Row],[Vobanipur Total3]]+Stock_year[[#This Row],[Ulukhola Total3]]</f>
        <v>0</v>
      </c>
      <c r="AS46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6" s="303">
        <f>Stock_year[[#This Row],[Vobanipur Total3]]-Stock_year[[#This Row],[Sold Qty(Piece)3]]</f>
        <v>0</v>
      </c>
      <c r="AU46" s="303">
        <f>Stock_year[[#This Row],[Ulukhola Total3]]</f>
        <v>0</v>
      </c>
      <c r="AV46" s="303">
        <f>VLOOKUP(Stock_year[[#This Row],[SKU ID]],SKU[],14,0)*(Stock_year[[#This Row],[Closing Stock Vobanipur3]]+Stock_year[[#This Row],[Closing Stock Ulukhola3]])</f>
        <v>0</v>
      </c>
      <c r="AW46" s="303">
        <f ca="1">Stock_year[[#This Row],[Closing Damage unit2]]</f>
        <v>0</v>
      </c>
      <c r="AX4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46" s="32">
        <f>Stock_year[[#This Row],[Closing Stock Vobanipur3]]</f>
        <v>0</v>
      </c>
      <c r="AZ46" s="32">
        <f>Stock_year[[#This Row],[Closing Stock Ulukhola3]]</f>
        <v>0</v>
      </c>
      <c r="BA46" s="32">
        <f>Stock_year[[#This Row],[Vobanipur Opening4]]+Stock_year[[#This Row],[Ulukhola Opening4]]</f>
        <v>0</v>
      </c>
      <c r="BB46" s="32">
        <f>VLOOKUP(Stock_year[[#This Row],[SKU ID]],SKU[[SKU ID]:[Bottle Size(Ltr)]],6,0)*Stock_year[[#This Row],[Opening Stock (Piece)4]]</f>
        <v>0</v>
      </c>
      <c r="BC46" s="32">
        <v>0</v>
      </c>
      <c r="BD46" s="32"/>
      <c r="BE46" s="32"/>
      <c r="BF46" s="32">
        <f>Stock_year[[#This Row],[Vobanipur Opening4]]+Stock_year[[#This Row],[New Arrival (vobanipur)4]]+Stock_year[[#This Row],[Ulukhola to Vobanipur Transfer4]]</f>
        <v>0</v>
      </c>
      <c r="BG46" s="32">
        <f>Stock_year[[#This Row],[Ulukhola Opening4]]-Stock_year[[#This Row],[Ulukhola to Vobanipur Transfer4]]+Stock_year[[#This Row],[New Arrival(ulukhola)4]]</f>
        <v>0</v>
      </c>
      <c r="BH46" s="32">
        <f>Stock_year[[#This Row],[Vobanipur Total4]]+Stock_year[[#This Row],[Ulukhola Total4]]</f>
        <v>0</v>
      </c>
      <c r="BI46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6" s="32">
        <f>Stock_year[[#This Row],[Vobanipur Total4]]-Stock_year[[#This Row],[Sold Qty(Piece)4]]</f>
        <v>0</v>
      </c>
      <c r="BK46" s="32">
        <f>Stock_year[[#This Row],[Ulukhola Total4]]</f>
        <v>0</v>
      </c>
      <c r="BL46" s="32">
        <f>VLOOKUP(Stock_year[[#This Row],[SKU ID]],SKU[],14,0)*(Stock_year[[#This Row],[Closing Stock Vobanipur4]]+Stock_year[[#This Row],[Closing Stock Ulukhola4]])</f>
        <v>0</v>
      </c>
      <c r="BM46" s="32">
        <f ca="1">Stock_year[[#This Row],[Closing Damage unit3]]</f>
        <v>0</v>
      </c>
      <c r="BN4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47" spans="1:66" x14ac:dyDescent="0.5">
      <c r="A47" t="s">
        <v>157</v>
      </c>
      <c r="B47" t="s">
        <v>806</v>
      </c>
      <c r="C47" s="329">
        <v>356</v>
      </c>
      <c r="D47" s="3">
        <v>1088</v>
      </c>
      <c r="E47" s="3">
        <f>Stock_year[[#This Row],[Vobanipur Opening]]+Stock_year[[#This Row],[Ulukhola Opening]]</f>
        <v>1444</v>
      </c>
      <c r="F47" s="3">
        <f>VLOOKUP(Stock_year[[#This Row],[SKU ID]],SKU[[SKU ID]:[Bottle Size(Ltr)]],6,0)*Stock_year[[#This Row],[Opening Stock (Piece)]]</f>
        <v>5776</v>
      </c>
      <c r="G47" s="3">
        <v>0</v>
      </c>
      <c r="H47" s="3"/>
      <c r="I47" s="3"/>
      <c r="J47" s="3">
        <f>Stock_year[[#This Row],[Vobanipur Opening]]+Stock_year[[#This Row],[New Arrival (vobanipur)]]+Stock_year[[#This Row],[Ulukhola to Vobanipur Transfer]]</f>
        <v>356</v>
      </c>
      <c r="K47" s="3">
        <f>Stock_year[[#This Row],[Ulukhola Opening]]+Stock_year[[#This Row],[New Arrival(ulukhola)]]-Stock_year[[#This Row],[Ulukhola to Vobanipur Transfer]]</f>
        <v>1088</v>
      </c>
      <c r="L47" s="3">
        <f>Stock_year[[#This Row],[Opening Stock (Piece)]]+Stock_year[[#This Row],[New Arrival(ulukhola)]]</f>
        <v>1444</v>
      </c>
      <c r="M47" s="3">
        <f>SUMIFS(Primary_Order[Total Qty],Primary_Order[Date],"&gt;="&amp;C$1,Primary_Order[Date],"&lt;="&amp;EOMONTH(C$1,0),Primary_Order[Product ID],Stock_year[[#This Row],[SKU ID]],Primary_Order[Status],'Stock Report'!$A$1)</f>
        <v>280</v>
      </c>
      <c r="N47" s="3">
        <f>Stock_year[[#This Row],[Vobanipur Total]]-Stock_year[[#This Row],[Sold Qty(Piece)]]</f>
        <v>76</v>
      </c>
      <c r="O47" s="3">
        <f>Stock_year[[#This Row],[Ulukhola Opening]]-Stock_year[[#This Row],[Ulukhola to Vobanipur Transfer]]+Stock_year[[#This Row],[New Arrival(ulukhola)]]</f>
        <v>1088</v>
      </c>
      <c r="P47" s="3">
        <f>Stock_year[[#This Row],[Ulukhola Total]]</f>
        <v>1088</v>
      </c>
      <c r="Q47" s="3">
        <v>2</v>
      </c>
      <c r="R4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47" s="303">
        <f>Stock_year[[#This Row],[Closing Stock Vobanipur]]</f>
        <v>76</v>
      </c>
      <c r="T47" s="303">
        <f>Stock_year[[#This Row],[Closing Stock Ulukhola]]</f>
        <v>1088</v>
      </c>
      <c r="U47" s="303">
        <f>Stock_year[[#This Row],[Vobanipur Opening2]]+Stock_year[[#This Row],[Ulukhola Opening2]]</f>
        <v>1164</v>
      </c>
      <c r="V47" s="303">
        <f>VLOOKUP(Stock_year[[#This Row],[SKU ID]],SKU[[SKU ID]:[Bottle Size(Ltr)]],6,0)*Stock_year[[#This Row],[Opening Stock (Piece)2]]</f>
        <v>4656</v>
      </c>
      <c r="W47" s="303">
        <v>0</v>
      </c>
      <c r="X47" s="303"/>
      <c r="Y47" s="303"/>
      <c r="Z47" s="303">
        <f>Stock_year[[#This Row],[Vobanipur Opening2]]+Stock_year[[#This Row],[Ulukhola to Vobanipur Transfer2]]+Stock_year[[#This Row],[New Arrival (vobanipur)2]]</f>
        <v>76</v>
      </c>
      <c r="AA47" s="303">
        <f>Stock_year[[#This Row],[Ulukhola Opening2]]-Stock_year[[#This Row],[Ulukhola to Vobanipur Transfer2]]+Stock_year[[#This Row],[New Arrival(ulukhola)2]]</f>
        <v>1088</v>
      </c>
      <c r="AB47" s="303">
        <f>Stock_year[[#This Row],[Vobanipur Total2]]+Stock_year[[#This Row],[Ulukhola Total2]]</f>
        <v>1164</v>
      </c>
      <c r="AC47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47" s="303">
        <f>Stock_year[[#This Row],[Vobanipur Total2]]-Stock_year[[#This Row],[Sold Qty(Piece)2]]</f>
        <v>76</v>
      </c>
      <c r="AE47" s="303">
        <f>Stock_year[[#This Row],[Ulukhola Opening2]]-Stock_year[[#This Row],[Ulukhola to Vobanipur Transfer2]]+Stock_year[[#This Row],[New Arrival(ulukhola)2]]</f>
        <v>1088</v>
      </c>
      <c r="AF47" s="303">
        <f>VLOOKUP(Stock_year[[#This Row],[SKU ID]],SKU[],14,0)*(Stock_year[[#This Row],[Closing Stock Vobanipur2]]+Stock_year[[#This Row],[Closing Stock Ulukhola2]])</f>
        <v>2202602.2799999998</v>
      </c>
      <c r="AG47" s="303">
        <f ca="1">OFFSET(Stock_year[[#This Row],[Total Closing Stock Value2]],0,-14)</f>
        <v>2</v>
      </c>
      <c r="AH4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47" s="302">
        <f>Stock_year[[#This Row],[Closing Stock Vobanipur2]]</f>
        <v>76</v>
      </c>
      <c r="AJ47" s="303">
        <f>Stock_year[[#This Row],[Closing Stock Ulukhola2]]</f>
        <v>1088</v>
      </c>
      <c r="AK47" s="303">
        <f>Stock_year[[#This Row],[Vobanipur Opening3]]+Stock_year[[#This Row],[Ulukhola Opening3]]</f>
        <v>1164</v>
      </c>
      <c r="AL47" s="303">
        <f>VLOOKUP(Stock_year[[#This Row],[SKU ID]],SKU[[SKU ID]:[Bottle Size(Ltr)]],6,0)*Stock_year[[#This Row],[Opening Stock (Piece)3]]</f>
        <v>4656</v>
      </c>
      <c r="AM47" s="303">
        <v>60</v>
      </c>
      <c r="AN47" s="303"/>
      <c r="AO47" s="303"/>
      <c r="AP47" s="303">
        <f>Stock_year[[#This Row],[Vobanipur Opening3]]+Stock_year[[#This Row],[New Arrival (vobanipur)3]]+Stock_year[[#This Row],[Ulukhola to Vobanipur Transfer3]]</f>
        <v>136</v>
      </c>
      <c r="AQ47" s="303">
        <f>Stock_year[[#This Row],[Ulukhola Opening3]]-Stock_year[[#This Row],[Ulukhola to Vobanipur Transfer3]]+Stock_year[[#This Row],[New Arrival(ulukhola)3]]</f>
        <v>1028</v>
      </c>
      <c r="AR47" s="303">
        <f>Stock_year[[#This Row],[Vobanipur Total3]]+Stock_year[[#This Row],[Ulukhola Total3]]</f>
        <v>1164</v>
      </c>
      <c r="AS47" s="303">
        <f>SUMIFS(Primary_Order[Total Qty],Primary_Order[Date],"&gt;="&amp;AI$1,Primary_Order[Date],"&lt;="&amp;EOMONTH(AI$1,0),Primary_Order[Product ID],Stock_year[[#This Row],[SKU ID]],Primary_Order[Status],'Stock Report'!$A$1)</f>
        <v>312</v>
      </c>
      <c r="AT47" s="303">
        <f>Stock_year[[#This Row],[Vobanipur Total3]]-Stock_year[[#This Row],[Sold Qty(Piece)3]]</f>
        <v>-176</v>
      </c>
      <c r="AU47" s="303">
        <f>Stock_year[[#This Row],[Ulukhola Total3]]</f>
        <v>1028</v>
      </c>
      <c r="AV47" s="303">
        <f>VLOOKUP(Stock_year[[#This Row],[SKU ID]],SKU[],14,0)*(Stock_year[[#This Row],[Closing Stock Vobanipur3]]+Stock_year[[#This Row],[Closing Stock Ulukhola3]])</f>
        <v>1612214.04</v>
      </c>
      <c r="AW47" s="303">
        <f ca="1">Stock_year[[#This Row],[Closing Damage unit2]]</f>
        <v>2</v>
      </c>
      <c r="AX4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47" s="32">
        <f>Stock_year[[#This Row],[Closing Stock Vobanipur3]]</f>
        <v>-176</v>
      </c>
      <c r="AZ47" s="32">
        <f>Stock_year[[#This Row],[Closing Stock Ulukhola3]]</f>
        <v>1028</v>
      </c>
      <c r="BA47" s="32">
        <f>Stock_year[[#This Row],[Vobanipur Opening4]]+Stock_year[[#This Row],[Ulukhola Opening4]]</f>
        <v>852</v>
      </c>
      <c r="BB47" s="32">
        <f>VLOOKUP(Stock_year[[#This Row],[SKU ID]],SKU[[SKU ID]:[Bottle Size(Ltr)]],6,0)*Stock_year[[#This Row],[Opening Stock (Piece)4]]</f>
        <v>3408</v>
      </c>
      <c r="BC47" s="366">
        <v>388</v>
      </c>
      <c r="BD47" s="32"/>
      <c r="BE47" s="32"/>
      <c r="BF47" s="32">
        <f>Stock_year[[#This Row],[Vobanipur Opening4]]+Stock_year[[#This Row],[New Arrival (vobanipur)4]]+Stock_year[[#This Row],[Ulukhola to Vobanipur Transfer4]]</f>
        <v>212</v>
      </c>
      <c r="BG47" s="32">
        <f>Stock_year[[#This Row],[Ulukhola Opening4]]-Stock_year[[#This Row],[Ulukhola to Vobanipur Transfer4]]+Stock_year[[#This Row],[New Arrival(ulukhola)4]]</f>
        <v>640</v>
      </c>
      <c r="BH47" s="32">
        <f>Stock_year[[#This Row],[Vobanipur Total4]]+Stock_year[[#This Row],[Ulukhola Total4]]</f>
        <v>852</v>
      </c>
      <c r="BI47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7" s="32">
        <f>Stock_year[[#This Row],[Vobanipur Total4]]-Stock_year[[#This Row],[Sold Qty(Piece)4]]</f>
        <v>212</v>
      </c>
      <c r="BK47" s="32">
        <f>Stock_year[[#This Row],[Ulukhola Total4]]</f>
        <v>640</v>
      </c>
      <c r="BL47" s="32">
        <f>VLOOKUP(Stock_year[[#This Row],[SKU ID]],SKU[],14,0)*(Stock_year[[#This Row],[Closing Stock Vobanipur4]]+Stock_year[[#This Row],[Closing Stock Ulukhola4]])</f>
        <v>1612214.04</v>
      </c>
      <c r="BM47" s="32">
        <f ca="1">Stock_year[[#This Row],[Closing Damage unit3]]</f>
        <v>2</v>
      </c>
      <c r="BN4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48" spans="1:66" x14ac:dyDescent="0.5">
      <c r="A48" t="s">
        <v>43</v>
      </c>
      <c r="B48" t="s">
        <v>807</v>
      </c>
      <c r="C48" s="329">
        <f>422</f>
        <v>422</v>
      </c>
      <c r="D48" s="322">
        <f>1400-20</f>
        <v>1380</v>
      </c>
      <c r="E48" s="3">
        <f>Stock_year[[#This Row],[Vobanipur Opening]]+Stock_year[[#This Row],[Ulukhola Opening]]</f>
        <v>1802</v>
      </c>
      <c r="F48" s="3">
        <f>VLOOKUP(Stock_year[[#This Row],[SKU ID]],SKU[[SKU ID]:[Bottle Size(Ltr)]],6,0)*Stock_year[[#This Row],[Opening Stock (Piece)]]</f>
        <v>2162.4</v>
      </c>
      <c r="G48" s="3">
        <v>1000</v>
      </c>
      <c r="H48" s="3"/>
      <c r="I48" s="3"/>
      <c r="J48" s="3">
        <f>Stock_year[[#This Row],[Vobanipur Opening]]+Stock_year[[#This Row],[New Arrival (vobanipur)]]+Stock_year[[#This Row],[Ulukhola to Vobanipur Transfer]]</f>
        <v>1422</v>
      </c>
      <c r="K48" s="3">
        <f>Stock_year[[#This Row],[Ulukhola Opening]]+Stock_year[[#This Row],[New Arrival(ulukhola)]]-Stock_year[[#This Row],[Ulukhola to Vobanipur Transfer]]</f>
        <v>380</v>
      </c>
      <c r="L48" s="3">
        <f>Stock_year[[#This Row],[Opening Stock (Piece)]]+Stock_year[[#This Row],[New Arrival(ulukhola)]]</f>
        <v>1802</v>
      </c>
      <c r="M48" s="3">
        <f>SUMIFS(Primary_Order[Total Qty],Primary_Order[Date],"&gt;="&amp;C$1,Primary_Order[Date],"&lt;="&amp;EOMONTH(C$1,0),Primary_Order[Product ID],Stock_year[[#This Row],[SKU ID]],Primary_Order[Status],'Stock Report'!$A$1)</f>
        <v>520</v>
      </c>
      <c r="N48" s="3">
        <f>Stock_year[[#This Row],[Vobanipur Total]]-Stock_year[[#This Row],[Sold Qty(Piece)]]</f>
        <v>902</v>
      </c>
      <c r="O48" s="3">
        <f>Stock_year[[#This Row],[Ulukhola Opening]]-Stock_year[[#This Row],[Ulukhola to Vobanipur Transfer]]+Stock_year[[#This Row],[New Arrival(ulukhola)]]</f>
        <v>380</v>
      </c>
      <c r="P48" s="3">
        <f>Stock_year[[#This Row],[Ulukhola Total]]</f>
        <v>380</v>
      </c>
      <c r="Q48" s="3">
        <v>256</v>
      </c>
      <c r="R4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256</v>
      </c>
      <c r="S48" s="303">
        <f>Stock_year[[#This Row],[Closing Stock Vobanipur]]</f>
        <v>902</v>
      </c>
      <c r="T48" s="303">
        <f>Stock_year[[#This Row],[Closing Stock Ulukhola]]</f>
        <v>380</v>
      </c>
      <c r="U48" s="303">
        <f>Stock_year[[#This Row],[Vobanipur Opening2]]+Stock_year[[#This Row],[Ulukhola Opening2]]</f>
        <v>1282</v>
      </c>
      <c r="V48" s="303">
        <f>VLOOKUP(Stock_year[[#This Row],[SKU ID]],SKU[[SKU ID]:[Bottle Size(Ltr)]],6,0)*Stock_year[[#This Row],[Opening Stock (Piece)2]]</f>
        <v>1538.3999999999999</v>
      </c>
      <c r="W48" s="303">
        <v>380</v>
      </c>
      <c r="X48" s="303"/>
      <c r="Y48" s="303"/>
      <c r="Z48" s="303">
        <f>Stock_year[[#This Row],[Vobanipur Opening2]]+Stock_year[[#This Row],[Ulukhola to Vobanipur Transfer2]]+Stock_year[[#This Row],[New Arrival (vobanipur)2]]</f>
        <v>1282</v>
      </c>
      <c r="AA48" s="303">
        <f>Stock_year[[#This Row],[Ulukhola Opening2]]-Stock_year[[#This Row],[Ulukhola to Vobanipur Transfer2]]+Stock_year[[#This Row],[New Arrival(ulukhola)2]]</f>
        <v>0</v>
      </c>
      <c r="AB48" s="303">
        <f>Stock_year[[#This Row],[Vobanipur Total2]]+Stock_year[[#This Row],[Ulukhola Total2]]</f>
        <v>1282</v>
      </c>
      <c r="AC48" s="303">
        <f>SUMIFS(Primary_Order[Total Qty],Primary_Order[Date],"&gt;="&amp;S$1,Primary_Order[Date],"&lt;="&amp;EOMONTH(S$1,0),Primary_Order[Product ID],Stock_year[[#This Row],[SKU ID]],Primary_Order[Status],'Stock Report'!$A$1)</f>
        <v>480</v>
      </c>
      <c r="AD48" s="303">
        <f>Stock_year[[#This Row],[Vobanipur Total2]]-Stock_year[[#This Row],[Sold Qty(Piece)2]]</f>
        <v>802</v>
      </c>
      <c r="AE48" s="303">
        <f>Stock_year[[#This Row],[Ulukhola Opening2]]-Stock_year[[#This Row],[Ulukhola to Vobanipur Transfer2]]+Stock_year[[#This Row],[New Arrival(ulukhola)2]]</f>
        <v>0</v>
      </c>
      <c r="AF48" s="303">
        <f>VLOOKUP(Stock_year[[#This Row],[SKU ID]],SKU[],14,0)*(Stock_year[[#This Row],[Closing Stock Vobanipur2]]+Stock_year[[#This Row],[Closing Stock Ulukhola2]])</f>
        <v>623394.6</v>
      </c>
      <c r="AG48" s="303">
        <f ca="1">OFFSET(Stock_year[[#This Row],[Total Closing Stock Value2]],0,-14)</f>
        <v>256</v>
      </c>
      <c r="AH4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256</v>
      </c>
      <c r="AI48" s="302">
        <f>Stock_year[[#This Row],[Closing Stock Vobanipur2]]</f>
        <v>802</v>
      </c>
      <c r="AJ48" s="303">
        <f>Stock_year[[#This Row],[Closing Stock Ulukhola2]]</f>
        <v>0</v>
      </c>
      <c r="AK48" s="303">
        <f>Stock_year[[#This Row],[Vobanipur Opening3]]+Stock_year[[#This Row],[Ulukhola Opening3]]</f>
        <v>802</v>
      </c>
      <c r="AL48" s="303">
        <f>VLOOKUP(Stock_year[[#This Row],[SKU ID]],SKU[[SKU ID]:[Bottle Size(Ltr)]],6,0)*Stock_year[[#This Row],[Opening Stock (Piece)3]]</f>
        <v>962.4</v>
      </c>
      <c r="AM48" s="303">
        <v>0</v>
      </c>
      <c r="AN48" s="303"/>
      <c r="AO48" s="303"/>
      <c r="AP48" s="303">
        <f>Stock_year[[#This Row],[Vobanipur Opening3]]+Stock_year[[#This Row],[New Arrival (vobanipur)3]]+Stock_year[[#This Row],[Ulukhola to Vobanipur Transfer3]]</f>
        <v>802</v>
      </c>
      <c r="AQ48" s="303">
        <f>Stock_year[[#This Row],[Ulukhola Opening3]]-Stock_year[[#This Row],[Ulukhola to Vobanipur Transfer3]]+Stock_year[[#This Row],[New Arrival(ulukhola)3]]</f>
        <v>0</v>
      </c>
      <c r="AR48" s="303">
        <f>Stock_year[[#This Row],[Vobanipur Total3]]+Stock_year[[#This Row],[Ulukhola Total3]]</f>
        <v>802</v>
      </c>
      <c r="AS48" s="303">
        <f>SUMIFS(Primary_Order[Total Qty],Primary_Order[Date],"&gt;="&amp;AI$1,Primary_Order[Date],"&lt;="&amp;EOMONTH(AI$1,0),Primary_Order[Product ID],Stock_year[[#This Row],[SKU ID]],Primary_Order[Status],'Stock Report'!$A$1)</f>
        <v>280</v>
      </c>
      <c r="AT48" s="303">
        <f>Stock_year[[#This Row],[Vobanipur Total3]]-Stock_year[[#This Row],[Sold Qty(Piece)3]]</f>
        <v>522</v>
      </c>
      <c r="AU48" s="303">
        <f>Stock_year[[#This Row],[Ulukhola Total3]]</f>
        <v>0</v>
      </c>
      <c r="AV48" s="303">
        <f>VLOOKUP(Stock_year[[#This Row],[SKU ID]],SKU[],14,0)*(Stock_year[[#This Row],[Closing Stock Vobanipur3]]+Stock_year[[#This Row],[Closing Stock Ulukhola3]])</f>
        <v>405750.6</v>
      </c>
      <c r="AW48" s="303">
        <f ca="1">Stock_year[[#This Row],[Closing Damage unit2]]</f>
        <v>256</v>
      </c>
      <c r="AX4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256</v>
      </c>
      <c r="AY48" s="32">
        <f>Stock_year[[#This Row],[Closing Stock Vobanipur3]]</f>
        <v>522</v>
      </c>
      <c r="AZ48" s="32">
        <f>Stock_year[[#This Row],[Closing Stock Ulukhola3]]</f>
        <v>0</v>
      </c>
      <c r="BA48" s="32">
        <f>Stock_year[[#This Row],[Vobanipur Opening4]]+Stock_year[[#This Row],[Ulukhola Opening4]]</f>
        <v>522</v>
      </c>
      <c r="BB48" s="32">
        <f>VLOOKUP(Stock_year[[#This Row],[SKU ID]],SKU[[SKU ID]:[Bottle Size(Ltr)]],6,0)*Stock_year[[#This Row],[Opening Stock (Piece)4]]</f>
        <v>626.4</v>
      </c>
      <c r="BC48" s="32">
        <v>0</v>
      </c>
      <c r="BD48" s="32"/>
      <c r="BE48" s="32"/>
      <c r="BF48" s="32">
        <f>Stock_year[[#This Row],[Vobanipur Opening4]]+Stock_year[[#This Row],[New Arrival (vobanipur)4]]+Stock_year[[#This Row],[Ulukhola to Vobanipur Transfer4]]</f>
        <v>522</v>
      </c>
      <c r="BG48" s="32">
        <f>Stock_year[[#This Row],[Ulukhola Opening4]]-Stock_year[[#This Row],[Ulukhola to Vobanipur Transfer4]]+Stock_year[[#This Row],[New Arrival(ulukhola)4]]</f>
        <v>0</v>
      </c>
      <c r="BH48" s="32">
        <f>Stock_year[[#This Row],[Vobanipur Total4]]+Stock_year[[#This Row],[Ulukhola Total4]]</f>
        <v>522</v>
      </c>
      <c r="BI48" s="32">
        <f>SUMIFS(Primary_Order[Total Qty],Primary_Order[Date],"&gt;="&amp;AY$1,Primary_Order[Date],"&lt;="&amp;EOMONTH(AY$1,0),Primary_Order[Product ID],Stock_year[[#This Row],[SKU ID]],Primary_Order[Status],'Stock Report'!$A$1)</f>
        <v>516</v>
      </c>
      <c r="BJ48" s="32">
        <f>Stock_year[[#This Row],[Vobanipur Total4]]-Stock_year[[#This Row],[Sold Qty(Piece)4]]</f>
        <v>6</v>
      </c>
      <c r="BK48" s="32">
        <f>Stock_year[[#This Row],[Ulukhola Total4]]</f>
        <v>0</v>
      </c>
      <c r="BL48" s="32">
        <f>VLOOKUP(Stock_year[[#This Row],[SKU ID]],SKU[],14,0)*(Stock_year[[#This Row],[Closing Stock Vobanipur4]]+Stock_year[[#This Row],[Closing Stock Ulukhola4]])</f>
        <v>4663.7999999999993</v>
      </c>
      <c r="BM48" s="32">
        <f ca="1">Stock_year[[#This Row],[Closing Damage unit3]]</f>
        <v>256</v>
      </c>
      <c r="BN4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256</v>
      </c>
    </row>
    <row r="49" spans="1:66" x14ac:dyDescent="0.5">
      <c r="A49" t="s">
        <v>180</v>
      </c>
      <c r="B49" t="s">
        <v>808</v>
      </c>
      <c r="C49" s="331">
        <f>92+2</f>
        <v>94</v>
      </c>
      <c r="D49" s="3">
        <v>0</v>
      </c>
      <c r="E49" s="3">
        <f>Stock_year[[#This Row],[Vobanipur Opening]]+Stock_year[[#This Row],[Ulukhola Opening]]</f>
        <v>94</v>
      </c>
      <c r="F49" s="3">
        <f>VLOOKUP(Stock_year[[#This Row],[SKU ID]],SKU[[SKU ID]:[Bottle Size(Ltr)]],6,0)*Stock_year[[#This Row],[Opening Stock (Piece)]]</f>
        <v>94</v>
      </c>
      <c r="G49" s="3">
        <v>0</v>
      </c>
      <c r="H49" s="3"/>
      <c r="I49" s="3"/>
      <c r="J49" s="3">
        <f>Stock_year[[#This Row],[Vobanipur Opening]]+Stock_year[[#This Row],[New Arrival (vobanipur)]]+Stock_year[[#This Row],[Ulukhola to Vobanipur Transfer]]</f>
        <v>94</v>
      </c>
      <c r="K49" s="3">
        <f>Stock_year[[#This Row],[Ulukhola Opening]]+Stock_year[[#This Row],[New Arrival(ulukhola)]]-Stock_year[[#This Row],[Ulukhola to Vobanipur Transfer]]</f>
        <v>0</v>
      </c>
      <c r="L49" s="3">
        <f>Stock_year[[#This Row],[Opening Stock (Piece)]]+Stock_year[[#This Row],[New Arrival(ulukhola)]]</f>
        <v>94</v>
      </c>
      <c r="M49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49" s="3">
        <f>Stock_year[[#This Row],[Vobanipur Total]]-Stock_year[[#This Row],[Sold Qty(Piece)]]</f>
        <v>94</v>
      </c>
      <c r="O49" s="3">
        <f>Stock_year[[#This Row],[Ulukhola Opening]]-Stock_year[[#This Row],[Ulukhola to Vobanipur Transfer]]+Stock_year[[#This Row],[New Arrival(ulukhola)]]</f>
        <v>0</v>
      </c>
      <c r="P49" s="3">
        <f>Stock_year[[#This Row],[Ulukhola Total]]</f>
        <v>0</v>
      </c>
      <c r="Q49" s="3">
        <v>0</v>
      </c>
      <c r="R4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49" s="303">
        <f>Stock_year[[#This Row],[Closing Stock Vobanipur]]</f>
        <v>94</v>
      </c>
      <c r="T49" s="303">
        <f>Stock_year[[#This Row],[Closing Stock Ulukhola]]</f>
        <v>0</v>
      </c>
      <c r="U49" s="303">
        <f>Stock_year[[#This Row],[Vobanipur Opening2]]+Stock_year[[#This Row],[Ulukhola Opening2]]</f>
        <v>94</v>
      </c>
      <c r="V49" s="303">
        <f>VLOOKUP(Stock_year[[#This Row],[SKU ID]],SKU[[SKU ID]:[Bottle Size(Ltr)]],6,0)*Stock_year[[#This Row],[Opening Stock (Piece)2]]</f>
        <v>94</v>
      </c>
      <c r="W49" s="303">
        <v>0</v>
      </c>
      <c r="X49" s="303"/>
      <c r="Y49" s="303"/>
      <c r="Z49" s="303">
        <f>Stock_year[[#This Row],[Vobanipur Opening2]]+Stock_year[[#This Row],[Ulukhola to Vobanipur Transfer2]]+Stock_year[[#This Row],[New Arrival (vobanipur)2]]</f>
        <v>94</v>
      </c>
      <c r="AA49" s="303">
        <f>Stock_year[[#This Row],[Ulukhola Opening2]]-Stock_year[[#This Row],[Ulukhola to Vobanipur Transfer2]]+Stock_year[[#This Row],[New Arrival(ulukhola)2]]</f>
        <v>0</v>
      </c>
      <c r="AB49" s="303">
        <f>Stock_year[[#This Row],[Vobanipur Total2]]+Stock_year[[#This Row],[Ulukhola Total2]]</f>
        <v>94</v>
      </c>
      <c r="AC49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49" s="303">
        <f>Stock_year[[#This Row],[Vobanipur Total2]]-Stock_year[[#This Row],[Sold Qty(Piece)2]]</f>
        <v>94</v>
      </c>
      <c r="AE49" s="303">
        <f>Stock_year[[#This Row],[Ulukhola Opening2]]-Stock_year[[#This Row],[Ulukhola to Vobanipur Transfer2]]+Stock_year[[#This Row],[New Arrival(ulukhola)2]]</f>
        <v>0</v>
      </c>
      <c r="AF49" s="303">
        <f>VLOOKUP(Stock_year[[#This Row],[SKU ID]],SKU[],14,0)*(Stock_year[[#This Row],[Closing Stock Vobanipur2]]+Stock_year[[#This Row],[Closing Stock Ulukhola2]])</f>
        <v>112087.48000000001</v>
      </c>
      <c r="AG49" s="303">
        <f ca="1">OFFSET(Stock_year[[#This Row],[Total Closing Stock Value2]],0,-14)</f>
        <v>0</v>
      </c>
      <c r="AH4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49" s="302">
        <f>Stock_year[[#This Row],[Closing Stock Vobanipur2]]</f>
        <v>94</v>
      </c>
      <c r="AJ49" s="303">
        <f>Stock_year[[#This Row],[Closing Stock Ulukhola2]]</f>
        <v>0</v>
      </c>
      <c r="AK49" s="303">
        <f>Stock_year[[#This Row],[Vobanipur Opening3]]+Stock_year[[#This Row],[Ulukhola Opening3]]</f>
        <v>94</v>
      </c>
      <c r="AL49" s="303">
        <f>VLOOKUP(Stock_year[[#This Row],[SKU ID]],SKU[[SKU ID]:[Bottle Size(Ltr)]],6,0)*Stock_year[[#This Row],[Opening Stock (Piece)3]]</f>
        <v>94</v>
      </c>
      <c r="AM49" s="303">
        <v>0</v>
      </c>
      <c r="AN49" s="303"/>
      <c r="AO49" s="303"/>
      <c r="AP49" s="303">
        <f>Stock_year[[#This Row],[Vobanipur Opening3]]+Stock_year[[#This Row],[New Arrival (vobanipur)3]]+Stock_year[[#This Row],[Ulukhola to Vobanipur Transfer3]]</f>
        <v>94</v>
      </c>
      <c r="AQ49" s="303">
        <f>Stock_year[[#This Row],[Ulukhola Opening3]]-Stock_year[[#This Row],[Ulukhola to Vobanipur Transfer3]]+Stock_year[[#This Row],[New Arrival(ulukhola)3]]</f>
        <v>0</v>
      </c>
      <c r="AR49" s="303">
        <f>Stock_year[[#This Row],[Vobanipur Total3]]+Stock_year[[#This Row],[Ulukhola Total3]]</f>
        <v>94</v>
      </c>
      <c r="AS49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49" s="303">
        <f>Stock_year[[#This Row],[Vobanipur Total3]]-Stock_year[[#This Row],[Sold Qty(Piece)3]]</f>
        <v>94</v>
      </c>
      <c r="AU49" s="303">
        <f>Stock_year[[#This Row],[Ulukhola Total3]]</f>
        <v>0</v>
      </c>
      <c r="AV49" s="303">
        <f>VLOOKUP(Stock_year[[#This Row],[SKU ID]],SKU[],14,0)*(Stock_year[[#This Row],[Closing Stock Vobanipur3]]+Stock_year[[#This Row],[Closing Stock Ulukhola3]])</f>
        <v>112087.48000000001</v>
      </c>
      <c r="AW49" s="303">
        <f ca="1">Stock_year[[#This Row],[Closing Damage unit2]]</f>
        <v>0</v>
      </c>
      <c r="AX4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49" s="32">
        <f>Stock_year[[#This Row],[Closing Stock Vobanipur3]]</f>
        <v>94</v>
      </c>
      <c r="AZ49" s="32">
        <f>Stock_year[[#This Row],[Closing Stock Ulukhola3]]</f>
        <v>0</v>
      </c>
      <c r="BA49" s="32">
        <f>Stock_year[[#This Row],[Vobanipur Opening4]]+Stock_year[[#This Row],[Ulukhola Opening4]]</f>
        <v>94</v>
      </c>
      <c r="BB49" s="32">
        <f>VLOOKUP(Stock_year[[#This Row],[SKU ID]],SKU[[SKU ID]:[Bottle Size(Ltr)]],6,0)*Stock_year[[#This Row],[Opening Stock (Piece)4]]</f>
        <v>94</v>
      </c>
      <c r="BC49" s="32">
        <v>0</v>
      </c>
      <c r="BD49" s="32"/>
      <c r="BE49" s="32"/>
      <c r="BF49" s="32">
        <f>Stock_year[[#This Row],[Vobanipur Opening4]]+Stock_year[[#This Row],[New Arrival (vobanipur)4]]+Stock_year[[#This Row],[Ulukhola to Vobanipur Transfer4]]</f>
        <v>94</v>
      </c>
      <c r="BG49" s="32">
        <f>Stock_year[[#This Row],[Ulukhola Opening4]]-Stock_year[[#This Row],[Ulukhola to Vobanipur Transfer4]]+Stock_year[[#This Row],[New Arrival(ulukhola)4]]</f>
        <v>0</v>
      </c>
      <c r="BH49" s="32">
        <f>Stock_year[[#This Row],[Vobanipur Total4]]+Stock_year[[#This Row],[Ulukhola Total4]]</f>
        <v>94</v>
      </c>
      <c r="BI49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49" s="32">
        <f>Stock_year[[#This Row],[Vobanipur Total4]]-Stock_year[[#This Row],[Sold Qty(Piece)4]]</f>
        <v>94</v>
      </c>
      <c r="BK49" s="32">
        <f>Stock_year[[#This Row],[Ulukhola Total4]]</f>
        <v>0</v>
      </c>
      <c r="BL49" s="32">
        <f>VLOOKUP(Stock_year[[#This Row],[SKU ID]],SKU[],14,0)*(Stock_year[[#This Row],[Closing Stock Vobanipur4]]+Stock_year[[#This Row],[Closing Stock Ulukhola4]])</f>
        <v>112087.48000000001</v>
      </c>
      <c r="BM49" s="32">
        <f ca="1">Stock_year[[#This Row],[Closing Damage unit3]]</f>
        <v>0</v>
      </c>
      <c r="BN4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50" spans="1:66" x14ac:dyDescent="0.5">
      <c r="A50" t="s">
        <v>258</v>
      </c>
      <c r="B50" t="s">
        <v>809</v>
      </c>
      <c r="C50" s="331">
        <f>93+3</f>
        <v>96</v>
      </c>
      <c r="D50" s="3">
        <v>0</v>
      </c>
      <c r="E50" s="3">
        <f>Stock_year[[#This Row],[Vobanipur Opening]]+Stock_year[[#This Row],[Ulukhola Opening]]</f>
        <v>96</v>
      </c>
      <c r="F50" s="3">
        <f>VLOOKUP(Stock_year[[#This Row],[SKU ID]],SKU[[SKU ID]:[Bottle Size(Ltr)]],6,0)*Stock_year[[#This Row],[Opening Stock (Piece)]]</f>
        <v>96</v>
      </c>
      <c r="G50" s="3">
        <v>0</v>
      </c>
      <c r="H50" s="3"/>
      <c r="I50" s="3"/>
      <c r="J50" s="3">
        <f>Stock_year[[#This Row],[Vobanipur Opening]]+Stock_year[[#This Row],[New Arrival (vobanipur)]]+Stock_year[[#This Row],[Ulukhola to Vobanipur Transfer]]</f>
        <v>96</v>
      </c>
      <c r="K50" s="3">
        <f>Stock_year[[#This Row],[Ulukhola Opening]]+Stock_year[[#This Row],[New Arrival(ulukhola)]]-Stock_year[[#This Row],[Ulukhola to Vobanipur Transfer]]</f>
        <v>0</v>
      </c>
      <c r="L50" s="3">
        <f>Stock_year[[#This Row],[Opening Stock (Piece)]]+Stock_year[[#This Row],[New Arrival(ulukhola)]]</f>
        <v>96</v>
      </c>
      <c r="M50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0" s="3">
        <f>Stock_year[[#This Row],[Vobanipur Total]]-Stock_year[[#This Row],[Sold Qty(Piece)]]</f>
        <v>96</v>
      </c>
      <c r="O50" s="3">
        <f>Stock_year[[#This Row],[Ulukhola Opening]]-Stock_year[[#This Row],[Ulukhola to Vobanipur Transfer]]+Stock_year[[#This Row],[New Arrival(ulukhola)]]</f>
        <v>0</v>
      </c>
      <c r="P50" s="3">
        <f>Stock_year[[#This Row],[Ulukhola Total]]</f>
        <v>0</v>
      </c>
      <c r="Q50" s="3">
        <v>0</v>
      </c>
      <c r="R5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50" s="303">
        <f>Stock_year[[#This Row],[Closing Stock Vobanipur]]</f>
        <v>96</v>
      </c>
      <c r="T50" s="303">
        <f>Stock_year[[#This Row],[Closing Stock Ulukhola]]</f>
        <v>0</v>
      </c>
      <c r="U50" s="303">
        <f>Stock_year[[#This Row],[Vobanipur Opening2]]+Stock_year[[#This Row],[Ulukhola Opening2]]</f>
        <v>96</v>
      </c>
      <c r="V50" s="303">
        <f>VLOOKUP(Stock_year[[#This Row],[SKU ID]],SKU[[SKU ID]:[Bottle Size(Ltr)]],6,0)*Stock_year[[#This Row],[Opening Stock (Piece)2]]</f>
        <v>96</v>
      </c>
      <c r="W50" s="303">
        <v>0</v>
      </c>
      <c r="X50" s="303"/>
      <c r="Y50" s="303"/>
      <c r="Z50" s="303">
        <f>Stock_year[[#This Row],[Vobanipur Opening2]]+Stock_year[[#This Row],[Ulukhola to Vobanipur Transfer2]]+Stock_year[[#This Row],[New Arrival (vobanipur)2]]</f>
        <v>96</v>
      </c>
      <c r="AA50" s="303">
        <f>Stock_year[[#This Row],[Ulukhola Opening2]]-Stock_year[[#This Row],[Ulukhola to Vobanipur Transfer2]]+Stock_year[[#This Row],[New Arrival(ulukhola)2]]</f>
        <v>0</v>
      </c>
      <c r="AB50" s="303">
        <f>Stock_year[[#This Row],[Vobanipur Total2]]+Stock_year[[#This Row],[Ulukhola Total2]]</f>
        <v>96</v>
      </c>
      <c r="AC50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50" s="303">
        <f>Stock_year[[#This Row],[Vobanipur Total2]]-Stock_year[[#This Row],[Sold Qty(Piece)2]]</f>
        <v>96</v>
      </c>
      <c r="AE50" s="303">
        <f>Stock_year[[#This Row],[Ulukhola Opening2]]-Stock_year[[#This Row],[Ulukhola to Vobanipur Transfer2]]+Stock_year[[#This Row],[New Arrival(ulukhola)2]]</f>
        <v>0</v>
      </c>
      <c r="AF50" s="303">
        <f>VLOOKUP(Stock_year[[#This Row],[SKU ID]],SKU[],14,0)*(Stock_year[[#This Row],[Closing Stock Vobanipur2]]+Stock_year[[#This Row],[Closing Stock Ulukhola2]])</f>
        <v>117344.63999999998</v>
      </c>
      <c r="AG50" s="303">
        <f ca="1">OFFSET(Stock_year[[#This Row],[Total Closing Stock Value2]],0,-14)</f>
        <v>0</v>
      </c>
      <c r="AH5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50" s="302">
        <f>Stock_year[[#This Row],[Closing Stock Vobanipur2]]</f>
        <v>96</v>
      </c>
      <c r="AJ50" s="303">
        <f>Stock_year[[#This Row],[Closing Stock Ulukhola2]]</f>
        <v>0</v>
      </c>
      <c r="AK50" s="303">
        <f>Stock_year[[#This Row],[Vobanipur Opening3]]+Stock_year[[#This Row],[Ulukhola Opening3]]</f>
        <v>96</v>
      </c>
      <c r="AL50" s="303">
        <f>VLOOKUP(Stock_year[[#This Row],[SKU ID]],SKU[[SKU ID]:[Bottle Size(Ltr)]],6,0)*Stock_year[[#This Row],[Opening Stock (Piece)3]]</f>
        <v>96</v>
      </c>
      <c r="AM50" s="303">
        <v>0</v>
      </c>
      <c r="AN50" s="303"/>
      <c r="AO50" s="303"/>
      <c r="AP50" s="303">
        <f>Stock_year[[#This Row],[Vobanipur Opening3]]+Stock_year[[#This Row],[New Arrival (vobanipur)3]]+Stock_year[[#This Row],[Ulukhola to Vobanipur Transfer3]]</f>
        <v>96</v>
      </c>
      <c r="AQ50" s="303">
        <f>Stock_year[[#This Row],[Ulukhola Opening3]]-Stock_year[[#This Row],[Ulukhola to Vobanipur Transfer3]]+Stock_year[[#This Row],[New Arrival(ulukhola)3]]</f>
        <v>0</v>
      </c>
      <c r="AR50" s="303">
        <f>Stock_year[[#This Row],[Vobanipur Total3]]+Stock_year[[#This Row],[Ulukhola Total3]]</f>
        <v>96</v>
      </c>
      <c r="AS50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0" s="303">
        <f>Stock_year[[#This Row],[Vobanipur Total3]]-Stock_year[[#This Row],[Sold Qty(Piece)3]]</f>
        <v>96</v>
      </c>
      <c r="AU50" s="303">
        <f>Stock_year[[#This Row],[Ulukhola Total3]]</f>
        <v>0</v>
      </c>
      <c r="AV50" s="303">
        <f>VLOOKUP(Stock_year[[#This Row],[SKU ID]],SKU[],14,0)*(Stock_year[[#This Row],[Closing Stock Vobanipur3]]+Stock_year[[#This Row],[Closing Stock Ulukhola3]])</f>
        <v>117344.63999999998</v>
      </c>
      <c r="AW50" s="303">
        <f ca="1">Stock_year[[#This Row],[Closing Damage unit2]]</f>
        <v>0</v>
      </c>
      <c r="AX5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50" s="32">
        <f>Stock_year[[#This Row],[Closing Stock Vobanipur3]]</f>
        <v>96</v>
      </c>
      <c r="AZ50" s="32">
        <f>Stock_year[[#This Row],[Closing Stock Ulukhola3]]</f>
        <v>0</v>
      </c>
      <c r="BA50" s="32">
        <f>Stock_year[[#This Row],[Vobanipur Opening4]]+Stock_year[[#This Row],[Ulukhola Opening4]]</f>
        <v>96</v>
      </c>
      <c r="BB50" s="32">
        <f>VLOOKUP(Stock_year[[#This Row],[SKU ID]],SKU[[SKU ID]:[Bottle Size(Ltr)]],6,0)*Stock_year[[#This Row],[Opening Stock (Piece)4]]</f>
        <v>96</v>
      </c>
      <c r="BC50" s="32">
        <v>0</v>
      </c>
      <c r="BD50" s="32"/>
      <c r="BE50" s="32"/>
      <c r="BF50" s="32">
        <f>Stock_year[[#This Row],[Vobanipur Opening4]]+Stock_year[[#This Row],[New Arrival (vobanipur)4]]+Stock_year[[#This Row],[Ulukhola to Vobanipur Transfer4]]</f>
        <v>96</v>
      </c>
      <c r="BG50" s="32">
        <f>Stock_year[[#This Row],[Ulukhola Opening4]]-Stock_year[[#This Row],[Ulukhola to Vobanipur Transfer4]]+Stock_year[[#This Row],[New Arrival(ulukhola)4]]</f>
        <v>0</v>
      </c>
      <c r="BH50" s="32">
        <f>Stock_year[[#This Row],[Vobanipur Total4]]+Stock_year[[#This Row],[Ulukhola Total4]]</f>
        <v>96</v>
      </c>
      <c r="BI50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0" s="32">
        <f>Stock_year[[#This Row],[Vobanipur Total4]]-Stock_year[[#This Row],[Sold Qty(Piece)4]]</f>
        <v>96</v>
      </c>
      <c r="BK50" s="32">
        <f>Stock_year[[#This Row],[Ulukhola Total4]]</f>
        <v>0</v>
      </c>
      <c r="BL50" s="32">
        <f>VLOOKUP(Stock_year[[#This Row],[SKU ID]],SKU[],14,0)*(Stock_year[[#This Row],[Closing Stock Vobanipur4]]+Stock_year[[#This Row],[Closing Stock Ulukhola4]])</f>
        <v>117344.63999999998</v>
      </c>
      <c r="BM50" s="32">
        <f ca="1">Stock_year[[#This Row],[Closing Damage unit3]]</f>
        <v>0</v>
      </c>
      <c r="BN5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51" spans="1:66" x14ac:dyDescent="0.5">
      <c r="A51" t="s">
        <v>168</v>
      </c>
      <c r="B51" t="s">
        <v>810</v>
      </c>
      <c r="C51" s="329">
        <f>-342</f>
        <v>-342</v>
      </c>
      <c r="D51" s="3">
        <f>58+342</f>
        <v>400</v>
      </c>
      <c r="E51" s="3">
        <f>Stock_year[[#This Row],[Vobanipur Opening]]+Stock_year[[#This Row],[Ulukhola Opening]]</f>
        <v>58</v>
      </c>
      <c r="F51" s="3">
        <f>VLOOKUP(Stock_year[[#This Row],[SKU ID]],SKU[[SKU ID]:[Bottle Size(Ltr)]],6,0)*Stock_year[[#This Row],[Opening Stock (Piece)]]</f>
        <v>29</v>
      </c>
      <c r="G51" s="3">
        <v>0</v>
      </c>
      <c r="H51" s="3"/>
      <c r="I51" s="3"/>
      <c r="J51" s="3">
        <f>Stock_year[[#This Row],[Vobanipur Opening]]+Stock_year[[#This Row],[New Arrival (vobanipur)]]+Stock_year[[#This Row],[Ulukhola to Vobanipur Transfer]]</f>
        <v>-342</v>
      </c>
      <c r="K51" s="3">
        <f>Stock_year[[#This Row],[Ulukhola Opening]]+Stock_year[[#This Row],[New Arrival(ulukhola)]]-Stock_year[[#This Row],[Ulukhola to Vobanipur Transfer]]</f>
        <v>400</v>
      </c>
      <c r="L51" s="3">
        <f>Stock_year[[#This Row],[Opening Stock (Piece)]]+Stock_year[[#This Row],[New Arrival(ulukhola)]]</f>
        <v>58</v>
      </c>
      <c r="M51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1" s="3">
        <f>Stock_year[[#This Row],[Vobanipur Total]]-Stock_year[[#This Row],[Sold Qty(Piece)]]</f>
        <v>-342</v>
      </c>
      <c r="O51" s="3">
        <f>Stock_year[[#This Row],[Ulukhola Opening]]-Stock_year[[#This Row],[Ulukhola to Vobanipur Transfer]]+Stock_year[[#This Row],[New Arrival(ulukhola)]]</f>
        <v>400</v>
      </c>
      <c r="P51" s="3">
        <f>Stock_year[[#This Row],[Ulukhola Total]]</f>
        <v>400</v>
      </c>
      <c r="Q51" s="3">
        <v>1</v>
      </c>
      <c r="R5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</v>
      </c>
      <c r="S51" s="303">
        <f>Stock_year[[#This Row],[Closing Stock Vobanipur]]</f>
        <v>-342</v>
      </c>
      <c r="T51" s="303">
        <f>Stock_year[[#This Row],[Closing Stock Ulukhola]]</f>
        <v>400</v>
      </c>
      <c r="U51" s="303">
        <f>Stock_year[[#This Row],[Vobanipur Opening2]]+Stock_year[[#This Row],[Ulukhola Opening2]]</f>
        <v>58</v>
      </c>
      <c r="V51" s="303">
        <f>VLOOKUP(Stock_year[[#This Row],[SKU ID]],SKU[[SKU ID]:[Bottle Size(Ltr)]],6,0)*Stock_year[[#This Row],[Opening Stock (Piece)2]]</f>
        <v>29</v>
      </c>
      <c r="W51" s="310">
        <f>400</f>
        <v>400</v>
      </c>
      <c r="X51" s="303"/>
      <c r="Y51" s="303"/>
      <c r="Z51" s="303">
        <f>Stock_year[[#This Row],[Vobanipur Opening2]]+Stock_year[[#This Row],[Ulukhola to Vobanipur Transfer2]]+Stock_year[[#This Row],[New Arrival (vobanipur)2]]</f>
        <v>58</v>
      </c>
      <c r="AA51" s="303">
        <f>Stock_year[[#This Row],[Ulukhola Opening2]]-Stock_year[[#This Row],[Ulukhola to Vobanipur Transfer2]]+Stock_year[[#This Row],[New Arrival(ulukhola)2]]</f>
        <v>0</v>
      </c>
      <c r="AB51" s="303">
        <f>Stock_year[[#This Row],[Vobanipur Total2]]+Stock_year[[#This Row],[Ulukhola Total2]]</f>
        <v>58</v>
      </c>
      <c r="AC51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51" s="303">
        <f>Stock_year[[#This Row],[Vobanipur Total2]]-Stock_year[[#This Row],[Sold Qty(Piece)2]]</f>
        <v>58</v>
      </c>
      <c r="AE51" s="303">
        <f>Stock_year[[#This Row],[Ulukhola Opening2]]-Stock_year[[#This Row],[Ulukhola to Vobanipur Transfer2]]+Stock_year[[#This Row],[New Arrival(ulukhola)2]]</f>
        <v>0</v>
      </c>
      <c r="AF51" s="303">
        <f>VLOOKUP(Stock_year[[#This Row],[SKU ID]],SKU[],14,0)*(Stock_year[[#This Row],[Closing Stock Vobanipur2]]+Stock_year[[#This Row],[Closing Stock Ulukhola2]])</f>
        <v>16526.52</v>
      </c>
      <c r="AG51" s="303">
        <f ca="1">OFFSET(Stock_year[[#This Row],[Total Closing Stock Value2]],0,-14)</f>
        <v>1</v>
      </c>
      <c r="AH5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</v>
      </c>
      <c r="AI51" s="302">
        <f>Stock_year[[#This Row],[Closing Stock Vobanipur2]]</f>
        <v>58</v>
      </c>
      <c r="AJ51" s="303">
        <f>Stock_year[[#This Row],[Closing Stock Ulukhola2]]</f>
        <v>0</v>
      </c>
      <c r="AK51" s="303">
        <f>Stock_year[[#This Row],[Vobanipur Opening3]]+Stock_year[[#This Row],[Ulukhola Opening3]]</f>
        <v>58</v>
      </c>
      <c r="AL51" s="303">
        <f>VLOOKUP(Stock_year[[#This Row],[SKU ID]],SKU[[SKU ID]:[Bottle Size(Ltr)]],6,0)*Stock_year[[#This Row],[Opening Stock (Piece)3]]</f>
        <v>29</v>
      </c>
      <c r="AM51" s="303">
        <v>0</v>
      </c>
      <c r="AN51" s="303"/>
      <c r="AO51" s="303"/>
      <c r="AP51" s="303">
        <f>Stock_year[[#This Row],[Vobanipur Opening3]]+Stock_year[[#This Row],[New Arrival (vobanipur)3]]+Stock_year[[#This Row],[Ulukhola to Vobanipur Transfer3]]</f>
        <v>58</v>
      </c>
      <c r="AQ51" s="303">
        <f>Stock_year[[#This Row],[Ulukhola Opening3]]-Stock_year[[#This Row],[Ulukhola to Vobanipur Transfer3]]+Stock_year[[#This Row],[New Arrival(ulukhola)3]]</f>
        <v>0</v>
      </c>
      <c r="AR51" s="303">
        <f>Stock_year[[#This Row],[Vobanipur Total3]]+Stock_year[[#This Row],[Ulukhola Total3]]</f>
        <v>58</v>
      </c>
      <c r="AS51" s="303">
        <f>SUMIFS(Primary_Order[Total Qty],Primary_Order[Date],"&gt;="&amp;AI$1,Primary_Order[Date],"&lt;="&amp;EOMONTH(AI$1,0),Primary_Order[Product ID],Stock_year[[#This Row],[SKU ID]],Primary_Order[Status],'Stock Report'!$A$1)</f>
        <v>58</v>
      </c>
      <c r="AT51" s="303">
        <f>Stock_year[[#This Row],[Vobanipur Total3]]-Stock_year[[#This Row],[Sold Qty(Piece)3]]</f>
        <v>0</v>
      </c>
      <c r="AU51" s="303">
        <f>Stock_year[[#This Row],[Ulukhola Total3]]</f>
        <v>0</v>
      </c>
      <c r="AV51" s="303">
        <f>VLOOKUP(Stock_year[[#This Row],[SKU ID]],SKU[],14,0)*(Stock_year[[#This Row],[Closing Stock Vobanipur3]]+Stock_year[[#This Row],[Closing Stock Ulukhola3]])</f>
        <v>0</v>
      </c>
      <c r="AW51" s="303">
        <f ca="1">Stock_year[[#This Row],[Closing Damage unit2]]</f>
        <v>1</v>
      </c>
      <c r="AX5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</v>
      </c>
      <c r="AY51" s="32">
        <f>Stock_year[[#This Row],[Closing Stock Vobanipur3]]</f>
        <v>0</v>
      </c>
      <c r="AZ51" s="32">
        <f>Stock_year[[#This Row],[Closing Stock Ulukhola3]]</f>
        <v>0</v>
      </c>
      <c r="BA51" s="32">
        <f>Stock_year[[#This Row],[Vobanipur Opening4]]+Stock_year[[#This Row],[Ulukhola Opening4]]</f>
        <v>0</v>
      </c>
      <c r="BB51" s="32">
        <f>VLOOKUP(Stock_year[[#This Row],[SKU ID]],SKU[[SKU ID]:[Bottle Size(Ltr)]],6,0)*Stock_year[[#This Row],[Opening Stock (Piece)4]]</f>
        <v>0</v>
      </c>
      <c r="BC51" s="32">
        <v>0</v>
      </c>
      <c r="BD51" s="32"/>
      <c r="BE51" s="32"/>
      <c r="BF51" s="32">
        <f>Stock_year[[#This Row],[Vobanipur Opening4]]+Stock_year[[#This Row],[New Arrival (vobanipur)4]]+Stock_year[[#This Row],[Ulukhola to Vobanipur Transfer4]]</f>
        <v>0</v>
      </c>
      <c r="BG51" s="32">
        <f>Stock_year[[#This Row],[Ulukhola Opening4]]-Stock_year[[#This Row],[Ulukhola to Vobanipur Transfer4]]+Stock_year[[#This Row],[New Arrival(ulukhola)4]]</f>
        <v>0</v>
      </c>
      <c r="BH51" s="32">
        <f>Stock_year[[#This Row],[Vobanipur Total4]]+Stock_year[[#This Row],[Ulukhola Total4]]</f>
        <v>0</v>
      </c>
      <c r="BI51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1" s="32">
        <f>Stock_year[[#This Row],[Vobanipur Total4]]-Stock_year[[#This Row],[Sold Qty(Piece)4]]</f>
        <v>0</v>
      </c>
      <c r="BK51" s="32">
        <f>Stock_year[[#This Row],[Ulukhola Total4]]</f>
        <v>0</v>
      </c>
      <c r="BL51" s="32">
        <f>VLOOKUP(Stock_year[[#This Row],[SKU ID]],SKU[],14,0)*(Stock_year[[#This Row],[Closing Stock Vobanipur4]]+Stock_year[[#This Row],[Closing Stock Ulukhola4]])</f>
        <v>0</v>
      </c>
      <c r="BM51" s="32">
        <f ca="1">Stock_year[[#This Row],[Closing Damage unit3]]</f>
        <v>1</v>
      </c>
      <c r="BN5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</v>
      </c>
    </row>
    <row r="52" spans="1:66" x14ac:dyDescent="0.5">
      <c r="A52" t="s">
        <v>131</v>
      </c>
      <c r="B52" t="s">
        <v>811</v>
      </c>
      <c r="C52" s="329">
        <v>184</v>
      </c>
      <c r="D52" s="3">
        <v>1068</v>
      </c>
      <c r="E52" s="3">
        <f>Stock_year[[#This Row],[Vobanipur Opening]]+Stock_year[[#This Row],[Ulukhola Opening]]</f>
        <v>1252</v>
      </c>
      <c r="F52" s="3">
        <f>VLOOKUP(Stock_year[[#This Row],[SKU ID]],SKU[[SKU ID]:[Bottle Size(Ltr)]],6,0)*Stock_year[[#This Row],[Opening Stock (Piece)]]</f>
        <v>5008</v>
      </c>
      <c r="G52" s="3">
        <v>0</v>
      </c>
      <c r="H52" s="3"/>
      <c r="I52" s="3"/>
      <c r="J52" s="3">
        <f>Stock_year[[#This Row],[Vobanipur Opening]]+Stock_year[[#This Row],[New Arrival (vobanipur)]]+Stock_year[[#This Row],[Ulukhola to Vobanipur Transfer]]</f>
        <v>184</v>
      </c>
      <c r="K52" s="3">
        <f>Stock_year[[#This Row],[Ulukhola Opening]]+Stock_year[[#This Row],[New Arrival(ulukhola)]]-Stock_year[[#This Row],[Ulukhola to Vobanipur Transfer]]</f>
        <v>1068</v>
      </c>
      <c r="L52" s="3">
        <f>Stock_year[[#This Row],[Opening Stock (Piece)]]+Stock_year[[#This Row],[New Arrival(ulukhola)]]</f>
        <v>1252</v>
      </c>
      <c r="M52" s="3">
        <f>SUMIFS(Primary_Order[Total Qty],Primary_Order[Date],"&gt;="&amp;C$1,Primary_Order[Date],"&lt;="&amp;EOMONTH(C$1,0),Primary_Order[Product ID],Stock_year[[#This Row],[SKU ID]],Primary_Order[Status],'Stock Report'!$A$1)</f>
        <v>55</v>
      </c>
      <c r="N52" s="3">
        <f>Stock_year[[#This Row],[Vobanipur Total]]-Stock_year[[#This Row],[Sold Qty(Piece)]]</f>
        <v>129</v>
      </c>
      <c r="O52" s="3">
        <f>Stock_year[[#This Row],[Ulukhola Opening]]-Stock_year[[#This Row],[Ulukhola to Vobanipur Transfer]]+Stock_year[[#This Row],[New Arrival(ulukhola)]]</f>
        <v>1068</v>
      </c>
      <c r="P52" s="3">
        <f>Stock_year[[#This Row],[Ulukhola Total]]</f>
        <v>1068</v>
      </c>
      <c r="Q52" s="3">
        <v>1</v>
      </c>
      <c r="R5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</v>
      </c>
      <c r="S52" s="303">
        <f>Stock_year[[#This Row],[Closing Stock Vobanipur]]</f>
        <v>129</v>
      </c>
      <c r="T52" s="303">
        <f>Stock_year[[#This Row],[Closing Stock Ulukhola]]</f>
        <v>1068</v>
      </c>
      <c r="U52" s="303">
        <f>Stock_year[[#This Row],[Vobanipur Opening2]]+Stock_year[[#This Row],[Ulukhola Opening2]]</f>
        <v>1197</v>
      </c>
      <c r="V52" s="303">
        <f>VLOOKUP(Stock_year[[#This Row],[SKU ID]],SKU[[SKU ID]:[Bottle Size(Ltr)]],6,0)*Stock_year[[#This Row],[Opening Stock (Piece)2]]</f>
        <v>4788</v>
      </c>
      <c r="W52" s="303">
        <v>0</v>
      </c>
      <c r="X52" s="303"/>
      <c r="Y52" s="303"/>
      <c r="Z52" s="303">
        <f>Stock_year[[#This Row],[Vobanipur Opening2]]+Stock_year[[#This Row],[Ulukhola to Vobanipur Transfer2]]+Stock_year[[#This Row],[New Arrival (vobanipur)2]]</f>
        <v>129</v>
      </c>
      <c r="AA52" s="303">
        <f>Stock_year[[#This Row],[Ulukhola Opening2]]-Stock_year[[#This Row],[Ulukhola to Vobanipur Transfer2]]+Stock_year[[#This Row],[New Arrival(ulukhola)2]]</f>
        <v>1068</v>
      </c>
      <c r="AB52" s="303">
        <f>Stock_year[[#This Row],[Vobanipur Total2]]+Stock_year[[#This Row],[Ulukhola Total2]]</f>
        <v>1197</v>
      </c>
      <c r="AC52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52" s="303">
        <f>Stock_year[[#This Row],[Vobanipur Total2]]-Stock_year[[#This Row],[Sold Qty(Piece)2]]</f>
        <v>129</v>
      </c>
      <c r="AE52" s="303">
        <f>Stock_year[[#This Row],[Ulukhola Opening2]]-Stock_year[[#This Row],[Ulukhola to Vobanipur Transfer2]]+Stock_year[[#This Row],[New Arrival(ulukhola)2]]</f>
        <v>1068</v>
      </c>
      <c r="AF52" s="303">
        <f>VLOOKUP(Stock_year[[#This Row],[SKU ID]],SKU[],14,0)*(Stock_year[[#This Row],[Closing Stock Vobanipur2]]+Stock_year[[#This Row],[Closing Stock Ulukhola2]])</f>
        <v>2781253.44</v>
      </c>
      <c r="AG52" s="303">
        <f ca="1">OFFSET(Stock_year[[#This Row],[Total Closing Stock Value2]],0,-14)</f>
        <v>1</v>
      </c>
      <c r="AH52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</v>
      </c>
      <c r="AI52" s="302">
        <f>Stock_year[[#This Row],[Closing Stock Vobanipur2]]</f>
        <v>129</v>
      </c>
      <c r="AJ52" s="303">
        <f>Stock_year[[#This Row],[Closing Stock Ulukhola2]]</f>
        <v>1068</v>
      </c>
      <c r="AK52" s="303">
        <f>Stock_year[[#This Row],[Vobanipur Opening3]]+Stock_year[[#This Row],[Ulukhola Opening3]]</f>
        <v>1197</v>
      </c>
      <c r="AL52" s="303">
        <f>VLOOKUP(Stock_year[[#This Row],[SKU ID]],SKU[[SKU ID]:[Bottle Size(Ltr)]],6,0)*Stock_year[[#This Row],[Opening Stock (Piece)3]]</f>
        <v>4788</v>
      </c>
      <c r="AM52" s="303">
        <v>0</v>
      </c>
      <c r="AN52" s="303"/>
      <c r="AO52" s="303"/>
      <c r="AP52" s="303">
        <f>Stock_year[[#This Row],[Vobanipur Opening3]]+Stock_year[[#This Row],[New Arrival (vobanipur)3]]+Stock_year[[#This Row],[Ulukhola to Vobanipur Transfer3]]</f>
        <v>129</v>
      </c>
      <c r="AQ52" s="303">
        <f>Stock_year[[#This Row],[Ulukhola Opening3]]-Stock_year[[#This Row],[Ulukhola to Vobanipur Transfer3]]+Stock_year[[#This Row],[New Arrival(ulukhola)3]]</f>
        <v>1068</v>
      </c>
      <c r="AR52" s="303">
        <f>Stock_year[[#This Row],[Vobanipur Total3]]+Stock_year[[#This Row],[Ulukhola Total3]]</f>
        <v>1197</v>
      </c>
      <c r="AS52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2" s="303">
        <f>Stock_year[[#This Row],[Vobanipur Total3]]-Stock_year[[#This Row],[Sold Qty(Piece)3]]</f>
        <v>129</v>
      </c>
      <c r="AU52" s="303">
        <f>Stock_year[[#This Row],[Ulukhola Total3]]</f>
        <v>1068</v>
      </c>
      <c r="AV52" s="303">
        <f>VLOOKUP(Stock_year[[#This Row],[SKU ID]],SKU[],14,0)*(Stock_year[[#This Row],[Closing Stock Vobanipur3]]+Stock_year[[#This Row],[Closing Stock Ulukhola3]])</f>
        <v>2781253.44</v>
      </c>
      <c r="AW52" s="303">
        <f ca="1">Stock_year[[#This Row],[Closing Damage unit2]]</f>
        <v>1</v>
      </c>
      <c r="AX52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</v>
      </c>
      <c r="AY52" s="32">
        <f>Stock_year[[#This Row],[Closing Stock Vobanipur3]]</f>
        <v>129</v>
      </c>
      <c r="AZ52" s="32">
        <f>Stock_year[[#This Row],[Closing Stock Ulukhola3]]</f>
        <v>1068</v>
      </c>
      <c r="BA52" s="32">
        <f>Stock_year[[#This Row],[Vobanipur Opening4]]+Stock_year[[#This Row],[Ulukhola Opening4]]</f>
        <v>1197</v>
      </c>
      <c r="BB52" s="32">
        <f>VLOOKUP(Stock_year[[#This Row],[SKU ID]],SKU[[SKU ID]:[Bottle Size(Ltr)]],6,0)*Stock_year[[#This Row],[Opening Stock (Piece)4]]</f>
        <v>4788</v>
      </c>
      <c r="BC52" s="366">
        <v>388</v>
      </c>
      <c r="BD52" s="32"/>
      <c r="BE52" s="32"/>
      <c r="BF52" s="32">
        <f>Stock_year[[#This Row],[Vobanipur Opening4]]+Stock_year[[#This Row],[New Arrival (vobanipur)4]]+Stock_year[[#This Row],[Ulukhola to Vobanipur Transfer4]]</f>
        <v>517</v>
      </c>
      <c r="BG52" s="32">
        <f>Stock_year[[#This Row],[Ulukhola Opening4]]-Stock_year[[#This Row],[Ulukhola to Vobanipur Transfer4]]+Stock_year[[#This Row],[New Arrival(ulukhola)4]]</f>
        <v>680</v>
      </c>
      <c r="BH52" s="32">
        <f>Stock_year[[#This Row],[Vobanipur Total4]]+Stock_year[[#This Row],[Ulukhola Total4]]</f>
        <v>1197</v>
      </c>
      <c r="BI52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2" s="32">
        <f>Stock_year[[#This Row],[Vobanipur Total4]]-Stock_year[[#This Row],[Sold Qty(Piece)4]]</f>
        <v>517</v>
      </c>
      <c r="BK52" s="32">
        <f>Stock_year[[#This Row],[Ulukhola Total4]]</f>
        <v>680</v>
      </c>
      <c r="BL52" s="32">
        <f>VLOOKUP(Stock_year[[#This Row],[SKU ID]],SKU[],14,0)*(Stock_year[[#This Row],[Closing Stock Vobanipur4]]+Stock_year[[#This Row],[Closing Stock Ulukhola4]])</f>
        <v>2781253.44</v>
      </c>
      <c r="BM52" s="32">
        <f ca="1">Stock_year[[#This Row],[Closing Damage unit3]]</f>
        <v>1</v>
      </c>
      <c r="BN5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</v>
      </c>
    </row>
    <row r="53" spans="1:66" x14ac:dyDescent="0.5">
      <c r="A53" t="s">
        <v>161</v>
      </c>
      <c r="B53" t="s">
        <v>812</v>
      </c>
      <c r="C53" s="329">
        <v>925</v>
      </c>
      <c r="D53" s="3">
        <v>0</v>
      </c>
      <c r="E53" s="3">
        <f>Stock_year[[#This Row],[Vobanipur Opening]]+Stock_year[[#This Row],[Ulukhola Opening]]</f>
        <v>925</v>
      </c>
      <c r="F53" s="3">
        <f>VLOOKUP(Stock_year[[#This Row],[SKU ID]],SKU[[SKU ID]:[Bottle Size(Ltr)]],6,0)*Stock_year[[#This Row],[Opening Stock (Piece)]]</f>
        <v>925</v>
      </c>
      <c r="G53" s="3">
        <v>0</v>
      </c>
      <c r="H53" s="3"/>
      <c r="I53" s="3"/>
      <c r="J53" s="3">
        <f>Stock_year[[#This Row],[Vobanipur Opening]]+Stock_year[[#This Row],[New Arrival (vobanipur)]]+Stock_year[[#This Row],[Ulukhola to Vobanipur Transfer]]</f>
        <v>925</v>
      </c>
      <c r="K53" s="3">
        <f>Stock_year[[#This Row],[Ulukhola Opening]]+Stock_year[[#This Row],[New Arrival(ulukhola)]]-Stock_year[[#This Row],[Ulukhola to Vobanipur Transfer]]</f>
        <v>0</v>
      </c>
      <c r="L53" s="3">
        <f>Stock_year[[#This Row],[Opening Stock (Piece)]]+Stock_year[[#This Row],[New Arrival(ulukhola)]]</f>
        <v>925</v>
      </c>
      <c r="M53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3" s="3">
        <f>Stock_year[[#This Row],[Vobanipur Total]]-Stock_year[[#This Row],[Sold Qty(Piece)]]</f>
        <v>925</v>
      </c>
      <c r="O53" s="3">
        <f>Stock_year[[#This Row],[Ulukhola Opening]]-Stock_year[[#This Row],[Ulukhola to Vobanipur Transfer]]+Stock_year[[#This Row],[New Arrival(ulukhola)]]</f>
        <v>0</v>
      </c>
      <c r="P53" s="3">
        <f>Stock_year[[#This Row],[Ulukhola Total]]</f>
        <v>0</v>
      </c>
      <c r="Q53" s="3">
        <v>2</v>
      </c>
      <c r="R53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</v>
      </c>
      <c r="S53" s="303">
        <f>Stock_year[[#This Row],[Closing Stock Vobanipur]]</f>
        <v>925</v>
      </c>
      <c r="T53" s="303">
        <f>Stock_year[[#This Row],[Closing Stock Ulukhola]]</f>
        <v>0</v>
      </c>
      <c r="U53" s="303">
        <f>Stock_year[[#This Row],[Vobanipur Opening2]]+Stock_year[[#This Row],[Ulukhola Opening2]]</f>
        <v>925</v>
      </c>
      <c r="V53" s="303">
        <f>VLOOKUP(Stock_year[[#This Row],[SKU ID]],SKU[[SKU ID]:[Bottle Size(Ltr)]],6,0)*Stock_year[[#This Row],[Opening Stock (Piece)2]]</f>
        <v>925</v>
      </c>
      <c r="W53" s="303">
        <v>0</v>
      </c>
      <c r="X53" s="303"/>
      <c r="Y53" s="303"/>
      <c r="Z53" s="303">
        <f>Stock_year[[#This Row],[Vobanipur Opening2]]+Stock_year[[#This Row],[Ulukhola to Vobanipur Transfer2]]+Stock_year[[#This Row],[New Arrival (vobanipur)2]]</f>
        <v>925</v>
      </c>
      <c r="AA53" s="303">
        <f>Stock_year[[#This Row],[Ulukhola Opening2]]-Stock_year[[#This Row],[Ulukhola to Vobanipur Transfer2]]+Stock_year[[#This Row],[New Arrival(ulukhola)2]]</f>
        <v>0</v>
      </c>
      <c r="AB53" s="303">
        <f>Stock_year[[#This Row],[Vobanipur Total2]]+Stock_year[[#This Row],[Ulukhola Total2]]</f>
        <v>925</v>
      </c>
      <c r="AC53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53" s="303">
        <f>Stock_year[[#This Row],[Vobanipur Total2]]-Stock_year[[#This Row],[Sold Qty(Piece)2]]</f>
        <v>925</v>
      </c>
      <c r="AE53" s="303">
        <f>Stock_year[[#This Row],[Ulukhola Opening2]]-Stock_year[[#This Row],[Ulukhola to Vobanipur Transfer2]]+Stock_year[[#This Row],[New Arrival(ulukhola)2]]</f>
        <v>0</v>
      </c>
      <c r="AF53" s="303">
        <f>VLOOKUP(Stock_year[[#This Row],[SKU ID]],SKU[],14,0)*(Stock_year[[#This Row],[Closing Stock Vobanipur2]]+Stock_year[[#This Row],[Closing Stock Ulukhola2]])</f>
        <v>370092.5</v>
      </c>
      <c r="AG53" s="303">
        <f ca="1">OFFSET(Stock_year[[#This Row],[Total Closing Stock Value2]],0,-14)</f>
        <v>2</v>
      </c>
      <c r="AH53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</v>
      </c>
      <c r="AI53" s="302">
        <f>Stock_year[[#This Row],[Closing Stock Vobanipur2]]</f>
        <v>925</v>
      </c>
      <c r="AJ53" s="303">
        <f>Stock_year[[#This Row],[Closing Stock Ulukhola2]]</f>
        <v>0</v>
      </c>
      <c r="AK53" s="303">
        <f>Stock_year[[#This Row],[Vobanipur Opening3]]+Stock_year[[#This Row],[Ulukhola Opening3]]</f>
        <v>925</v>
      </c>
      <c r="AL53" s="303">
        <f>VLOOKUP(Stock_year[[#This Row],[SKU ID]],SKU[[SKU ID]:[Bottle Size(Ltr)]],6,0)*Stock_year[[#This Row],[Opening Stock (Piece)3]]</f>
        <v>925</v>
      </c>
      <c r="AM53" s="303">
        <v>0</v>
      </c>
      <c r="AN53" s="303"/>
      <c r="AO53" s="303"/>
      <c r="AP53" s="303">
        <f>Stock_year[[#This Row],[Vobanipur Opening3]]+Stock_year[[#This Row],[New Arrival (vobanipur)3]]+Stock_year[[#This Row],[Ulukhola to Vobanipur Transfer3]]</f>
        <v>925</v>
      </c>
      <c r="AQ53" s="303">
        <f>Stock_year[[#This Row],[Ulukhola Opening3]]-Stock_year[[#This Row],[Ulukhola to Vobanipur Transfer3]]+Stock_year[[#This Row],[New Arrival(ulukhola)3]]</f>
        <v>0</v>
      </c>
      <c r="AR53" s="303">
        <f>Stock_year[[#This Row],[Vobanipur Total3]]+Stock_year[[#This Row],[Ulukhola Total3]]</f>
        <v>925</v>
      </c>
      <c r="AS53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3" s="303">
        <f>Stock_year[[#This Row],[Vobanipur Total3]]-Stock_year[[#This Row],[Sold Qty(Piece)3]]</f>
        <v>925</v>
      </c>
      <c r="AU53" s="303">
        <f>Stock_year[[#This Row],[Ulukhola Total3]]</f>
        <v>0</v>
      </c>
      <c r="AV53" s="303">
        <f>VLOOKUP(Stock_year[[#This Row],[SKU ID]],SKU[],14,0)*(Stock_year[[#This Row],[Closing Stock Vobanipur3]]+Stock_year[[#This Row],[Closing Stock Ulukhola3]])</f>
        <v>370092.5</v>
      </c>
      <c r="AW53" s="303">
        <f ca="1">Stock_year[[#This Row],[Closing Damage unit2]]</f>
        <v>2</v>
      </c>
      <c r="AX53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</v>
      </c>
      <c r="AY53" s="32">
        <f>Stock_year[[#This Row],[Closing Stock Vobanipur3]]</f>
        <v>925</v>
      </c>
      <c r="AZ53" s="32">
        <f>Stock_year[[#This Row],[Closing Stock Ulukhola3]]</f>
        <v>0</v>
      </c>
      <c r="BA53" s="32">
        <f>Stock_year[[#This Row],[Vobanipur Opening4]]+Stock_year[[#This Row],[Ulukhola Opening4]]</f>
        <v>925</v>
      </c>
      <c r="BB53" s="32">
        <f>VLOOKUP(Stock_year[[#This Row],[SKU ID]],SKU[[SKU ID]:[Bottle Size(Ltr)]],6,0)*Stock_year[[#This Row],[Opening Stock (Piece)4]]</f>
        <v>925</v>
      </c>
      <c r="BC53" s="32">
        <v>0</v>
      </c>
      <c r="BD53" s="32"/>
      <c r="BE53" s="32"/>
      <c r="BF53" s="32">
        <f>Stock_year[[#This Row],[Vobanipur Opening4]]+Stock_year[[#This Row],[New Arrival (vobanipur)4]]+Stock_year[[#This Row],[Ulukhola to Vobanipur Transfer4]]</f>
        <v>925</v>
      </c>
      <c r="BG53" s="32">
        <f>Stock_year[[#This Row],[Ulukhola Opening4]]-Stock_year[[#This Row],[Ulukhola to Vobanipur Transfer4]]+Stock_year[[#This Row],[New Arrival(ulukhola)4]]</f>
        <v>0</v>
      </c>
      <c r="BH53" s="32">
        <f>Stock_year[[#This Row],[Vobanipur Total4]]+Stock_year[[#This Row],[Ulukhola Total4]]</f>
        <v>925</v>
      </c>
      <c r="BI53" s="32">
        <f>SUMIFS(Primary_Order[Total Qty],Primary_Order[Date],"&gt;="&amp;AY$1,Primary_Order[Date],"&lt;="&amp;EOMONTH(AY$1,0),Primary_Order[Product ID],Stock_year[[#This Row],[SKU ID]],Primary_Order[Status],'Stock Report'!$A$1)</f>
        <v>760</v>
      </c>
      <c r="BJ53" s="32">
        <f>Stock_year[[#This Row],[Vobanipur Total4]]-Stock_year[[#This Row],[Sold Qty(Piece)4]]</f>
        <v>165</v>
      </c>
      <c r="BK53" s="32">
        <f>Stock_year[[#This Row],[Ulukhola Total4]]</f>
        <v>0</v>
      </c>
      <c r="BL53" s="32">
        <f>VLOOKUP(Stock_year[[#This Row],[SKU ID]],SKU[],14,0)*(Stock_year[[#This Row],[Closing Stock Vobanipur4]]+Stock_year[[#This Row],[Closing Stock Ulukhola4]])</f>
        <v>66016.5</v>
      </c>
      <c r="BM53" s="32">
        <f ca="1">Stock_year[[#This Row],[Closing Damage unit3]]</f>
        <v>2</v>
      </c>
      <c r="BN53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</v>
      </c>
    </row>
    <row r="54" spans="1:66" x14ac:dyDescent="0.5">
      <c r="A54" t="s">
        <v>166</v>
      </c>
      <c r="B54" t="s">
        <v>813</v>
      </c>
      <c r="C54" s="331">
        <f>201+12</f>
        <v>213</v>
      </c>
      <c r="D54" s="3">
        <v>0</v>
      </c>
      <c r="E54" s="3">
        <f>Stock_year[[#This Row],[Vobanipur Opening]]+Stock_year[[#This Row],[Ulukhola Opening]]</f>
        <v>213</v>
      </c>
      <c r="F54" s="3">
        <f>VLOOKUP(Stock_year[[#This Row],[SKU ID]],SKU[[SKU ID]:[Bottle Size(Ltr)]],6,0)*Stock_year[[#This Row],[Opening Stock (Piece)]]</f>
        <v>213</v>
      </c>
      <c r="G54" s="3">
        <v>0</v>
      </c>
      <c r="H54" s="3"/>
      <c r="I54" s="3"/>
      <c r="J54" s="3">
        <f>Stock_year[[#This Row],[Vobanipur Opening]]+Stock_year[[#This Row],[New Arrival (vobanipur)]]+Stock_year[[#This Row],[Ulukhola to Vobanipur Transfer]]</f>
        <v>213</v>
      </c>
      <c r="K54" s="3">
        <f>Stock_year[[#This Row],[Ulukhola Opening]]+Stock_year[[#This Row],[New Arrival(ulukhola)]]-Stock_year[[#This Row],[Ulukhola to Vobanipur Transfer]]</f>
        <v>0</v>
      </c>
      <c r="L54" s="3">
        <f>Stock_year[[#This Row],[Opening Stock (Piece)]]+Stock_year[[#This Row],[New Arrival(ulukhola)]]</f>
        <v>213</v>
      </c>
      <c r="M54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4" s="3">
        <f>Stock_year[[#This Row],[Vobanipur Total]]-Stock_year[[#This Row],[Sold Qty(Piece)]]</f>
        <v>213</v>
      </c>
      <c r="O54" s="3">
        <f>Stock_year[[#This Row],[Ulukhola Opening]]-Stock_year[[#This Row],[Ulukhola to Vobanipur Transfer]]+Stock_year[[#This Row],[New Arrival(ulukhola)]]</f>
        <v>0</v>
      </c>
      <c r="P54" s="3">
        <f>Stock_year[[#This Row],[Ulukhola Total]]</f>
        <v>0</v>
      </c>
      <c r="Q54" s="3">
        <v>150</v>
      </c>
      <c r="R5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150</v>
      </c>
      <c r="S54" s="303">
        <f>Stock_year[[#This Row],[Closing Stock Vobanipur]]</f>
        <v>213</v>
      </c>
      <c r="T54" s="303">
        <f>Stock_year[[#This Row],[Closing Stock Ulukhola]]</f>
        <v>0</v>
      </c>
      <c r="U54" s="303">
        <f>Stock_year[[#This Row],[Vobanipur Opening2]]+Stock_year[[#This Row],[Ulukhola Opening2]]</f>
        <v>213</v>
      </c>
      <c r="V54" s="303">
        <f>VLOOKUP(Stock_year[[#This Row],[SKU ID]],SKU[[SKU ID]:[Bottle Size(Ltr)]],6,0)*Stock_year[[#This Row],[Opening Stock (Piece)2]]</f>
        <v>213</v>
      </c>
      <c r="W54" s="303">
        <v>0</v>
      </c>
      <c r="X54" s="303"/>
      <c r="Y54" s="303"/>
      <c r="Z54" s="303">
        <f>Stock_year[[#This Row],[Vobanipur Opening2]]+Stock_year[[#This Row],[Ulukhola to Vobanipur Transfer2]]+Stock_year[[#This Row],[New Arrival (vobanipur)2]]</f>
        <v>213</v>
      </c>
      <c r="AA54" s="303">
        <f>Stock_year[[#This Row],[Ulukhola Opening2]]-Stock_year[[#This Row],[Ulukhola to Vobanipur Transfer2]]+Stock_year[[#This Row],[New Arrival(ulukhola)2]]</f>
        <v>0</v>
      </c>
      <c r="AB54" s="303">
        <f>Stock_year[[#This Row],[Vobanipur Total2]]+Stock_year[[#This Row],[Ulukhola Total2]]</f>
        <v>213</v>
      </c>
      <c r="AC54" s="303">
        <f>SUMIFS(Primary_Order[Total Qty],Primary_Order[Date],"&gt;="&amp;S$1,Primary_Order[Date],"&lt;="&amp;EOMONTH(S$1,0),Primary_Order[Product ID],Stock_year[[#This Row],[SKU ID]],Primary_Order[Status],'Stock Report'!$A$1)</f>
        <v>213</v>
      </c>
      <c r="AD54" s="303">
        <f>Stock_year[[#This Row],[Vobanipur Total2]]-Stock_year[[#This Row],[Sold Qty(Piece)2]]</f>
        <v>0</v>
      </c>
      <c r="AE54" s="303">
        <f>Stock_year[[#This Row],[Ulukhola Opening2]]-Stock_year[[#This Row],[Ulukhola to Vobanipur Transfer2]]+Stock_year[[#This Row],[New Arrival(ulukhola)2]]</f>
        <v>0</v>
      </c>
      <c r="AF54" s="303">
        <f>VLOOKUP(Stock_year[[#This Row],[SKU ID]],SKU[],14,0)*(Stock_year[[#This Row],[Closing Stock Vobanipur2]]+Stock_year[[#This Row],[Closing Stock Ulukhola2]])</f>
        <v>0</v>
      </c>
      <c r="AG54" s="303">
        <f ca="1">OFFSET(Stock_year[[#This Row],[Total Closing Stock Value2]],0,-14)</f>
        <v>150</v>
      </c>
      <c r="AH5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150</v>
      </c>
      <c r="AI54" s="302">
        <f>Stock_year[[#This Row],[Closing Stock Vobanipur2]]</f>
        <v>0</v>
      </c>
      <c r="AJ54" s="303">
        <f>Stock_year[[#This Row],[Closing Stock Ulukhola2]]</f>
        <v>0</v>
      </c>
      <c r="AK54" s="303">
        <f>Stock_year[[#This Row],[Vobanipur Opening3]]+Stock_year[[#This Row],[Ulukhola Opening3]]</f>
        <v>0</v>
      </c>
      <c r="AL54" s="303">
        <f>VLOOKUP(Stock_year[[#This Row],[SKU ID]],SKU[[SKU ID]:[Bottle Size(Ltr)]],6,0)*Stock_year[[#This Row],[Opening Stock (Piece)3]]</f>
        <v>0</v>
      </c>
      <c r="AM54" s="303">
        <v>0</v>
      </c>
      <c r="AN54" s="303"/>
      <c r="AO54" s="303"/>
      <c r="AP54" s="303">
        <f>Stock_year[[#This Row],[Vobanipur Opening3]]+Stock_year[[#This Row],[New Arrival (vobanipur)3]]+Stock_year[[#This Row],[Ulukhola to Vobanipur Transfer3]]</f>
        <v>0</v>
      </c>
      <c r="AQ54" s="303">
        <f>Stock_year[[#This Row],[Ulukhola Opening3]]-Stock_year[[#This Row],[Ulukhola to Vobanipur Transfer3]]+Stock_year[[#This Row],[New Arrival(ulukhola)3]]</f>
        <v>0</v>
      </c>
      <c r="AR54" s="303">
        <f>Stock_year[[#This Row],[Vobanipur Total3]]+Stock_year[[#This Row],[Ulukhola Total3]]</f>
        <v>0</v>
      </c>
      <c r="AS54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4" s="303">
        <f>Stock_year[[#This Row],[Vobanipur Total3]]-Stock_year[[#This Row],[Sold Qty(Piece)3]]</f>
        <v>0</v>
      </c>
      <c r="AU54" s="303">
        <f>Stock_year[[#This Row],[Ulukhola Total3]]</f>
        <v>0</v>
      </c>
      <c r="AV54" s="303">
        <f>VLOOKUP(Stock_year[[#This Row],[SKU ID]],SKU[],14,0)*(Stock_year[[#This Row],[Closing Stock Vobanipur3]]+Stock_year[[#This Row],[Closing Stock Ulukhola3]])</f>
        <v>0</v>
      </c>
      <c r="AW54" s="303">
        <f ca="1">Stock_year[[#This Row],[Closing Damage unit2]]</f>
        <v>150</v>
      </c>
      <c r="AX5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150</v>
      </c>
      <c r="AY54" s="32">
        <f>Stock_year[[#This Row],[Closing Stock Vobanipur3]]</f>
        <v>0</v>
      </c>
      <c r="AZ54" s="32">
        <f>Stock_year[[#This Row],[Closing Stock Ulukhola3]]</f>
        <v>0</v>
      </c>
      <c r="BA54" s="32">
        <f>Stock_year[[#This Row],[Vobanipur Opening4]]+Stock_year[[#This Row],[Ulukhola Opening4]]</f>
        <v>0</v>
      </c>
      <c r="BB54" s="32">
        <f>VLOOKUP(Stock_year[[#This Row],[SKU ID]],SKU[[SKU ID]:[Bottle Size(Ltr)]],6,0)*Stock_year[[#This Row],[Opening Stock (Piece)4]]</f>
        <v>0</v>
      </c>
      <c r="BC54" s="32">
        <v>0</v>
      </c>
      <c r="BD54" s="32"/>
      <c r="BE54" s="32"/>
      <c r="BF54" s="32">
        <f>Stock_year[[#This Row],[Vobanipur Opening4]]+Stock_year[[#This Row],[New Arrival (vobanipur)4]]+Stock_year[[#This Row],[Ulukhola to Vobanipur Transfer4]]</f>
        <v>0</v>
      </c>
      <c r="BG54" s="32">
        <f>Stock_year[[#This Row],[Ulukhola Opening4]]-Stock_year[[#This Row],[Ulukhola to Vobanipur Transfer4]]+Stock_year[[#This Row],[New Arrival(ulukhola)4]]</f>
        <v>0</v>
      </c>
      <c r="BH54" s="32">
        <f>Stock_year[[#This Row],[Vobanipur Total4]]+Stock_year[[#This Row],[Ulukhola Total4]]</f>
        <v>0</v>
      </c>
      <c r="BI54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4" s="32">
        <f>Stock_year[[#This Row],[Vobanipur Total4]]-Stock_year[[#This Row],[Sold Qty(Piece)4]]</f>
        <v>0</v>
      </c>
      <c r="BK54" s="32">
        <f>Stock_year[[#This Row],[Ulukhola Total4]]</f>
        <v>0</v>
      </c>
      <c r="BL54" s="32">
        <f>VLOOKUP(Stock_year[[#This Row],[SKU ID]],SKU[],14,0)*(Stock_year[[#This Row],[Closing Stock Vobanipur4]]+Stock_year[[#This Row],[Closing Stock Ulukhola4]])</f>
        <v>0</v>
      </c>
      <c r="BM54" s="32">
        <f ca="1">Stock_year[[#This Row],[Closing Damage unit3]]</f>
        <v>150</v>
      </c>
      <c r="BN5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150</v>
      </c>
    </row>
    <row r="55" spans="1:66" x14ac:dyDescent="0.5">
      <c r="A55" t="s">
        <v>177</v>
      </c>
      <c r="B55" t="s">
        <v>814</v>
      </c>
      <c r="C55" s="329">
        <v>4862</v>
      </c>
      <c r="D55" s="3">
        <v>0</v>
      </c>
      <c r="E55" s="3">
        <f>Stock_year[[#This Row],[Vobanipur Opening]]+Stock_year[[#This Row],[Ulukhola Opening]]</f>
        <v>4862</v>
      </c>
      <c r="F55" s="3">
        <f>VLOOKUP(Stock_year[[#This Row],[SKU ID]],SKU[[SKU ID]:[Bottle Size(Ltr)]],6,0)*Stock_year[[#This Row],[Opening Stock (Piece)]]</f>
        <v>4862</v>
      </c>
      <c r="G55" s="3">
        <v>0</v>
      </c>
      <c r="H55" s="3"/>
      <c r="I55" s="3"/>
      <c r="J55" s="3">
        <f>Stock_year[[#This Row],[Vobanipur Opening]]+Stock_year[[#This Row],[New Arrival (vobanipur)]]+Stock_year[[#This Row],[Ulukhola to Vobanipur Transfer]]</f>
        <v>4862</v>
      </c>
      <c r="K55" s="3">
        <f>Stock_year[[#This Row],[Ulukhola Opening]]+Stock_year[[#This Row],[New Arrival(ulukhola)]]-Stock_year[[#This Row],[Ulukhola to Vobanipur Transfer]]</f>
        <v>0</v>
      </c>
      <c r="L55" s="3">
        <f>Stock_year[[#This Row],[Opening Stock (Piece)]]+Stock_year[[#This Row],[New Arrival(ulukhola)]]</f>
        <v>4862</v>
      </c>
      <c r="M55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5" s="3">
        <f>Stock_year[[#This Row],[Vobanipur Total]]-Stock_year[[#This Row],[Sold Qty(Piece)]]</f>
        <v>4862</v>
      </c>
      <c r="O55" s="3">
        <f>Stock_year[[#This Row],[Ulukhola Opening]]-Stock_year[[#This Row],[Ulukhola to Vobanipur Transfer]]+Stock_year[[#This Row],[New Arrival(ulukhola)]]</f>
        <v>0</v>
      </c>
      <c r="P55" s="3">
        <f>Stock_year[[#This Row],[Ulukhola Total]]</f>
        <v>0</v>
      </c>
      <c r="Q55" s="3">
        <v>0</v>
      </c>
      <c r="R5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55" s="303">
        <f>Stock_year[[#This Row],[Closing Stock Vobanipur]]</f>
        <v>4862</v>
      </c>
      <c r="T55" s="303">
        <f>Stock_year[[#This Row],[Closing Stock Ulukhola]]</f>
        <v>0</v>
      </c>
      <c r="U55" s="303">
        <f>Stock_year[[#This Row],[Vobanipur Opening2]]+Stock_year[[#This Row],[Ulukhola Opening2]]</f>
        <v>4862</v>
      </c>
      <c r="V55" s="303">
        <f>VLOOKUP(Stock_year[[#This Row],[SKU ID]],SKU[[SKU ID]:[Bottle Size(Ltr)]],6,0)*Stock_year[[#This Row],[Opening Stock (Piece)2]]</f>
        <v>4862</v>
      </c>
      <c r="W55" s="303">
        <v>0</v>
      </c>
      <c r="X55" s="303"/>
      <c r="Y55" s="303"/>
      <c r="Z55" s="303">
        <f>Stock_year[[#This Row],[Vobanipur Opening2]]+Stock_year[[#This Row],[Ulukhola to Vobanipur Transfer2]]+Stock_year[[#This Row],[New Arrival (vobanipur)2]]</f>
        <v>4862</v>
      </c>
      <c r="AA55" s="303">
        <f>Stock_year[[#This Row],[Ulukhola Opening2]]-Stock_year[[#This Row],[Ulukhola to Vobanipur Transfer2]]+Stock_year[[#This Row],[New Arrival(ulukhola)2]]</f>
        <v>0</v>
      </c>
      <c r="AB55" s="303">
        <f>Stock_year[[#This Row],[Vobanipur Total2]]+Stock_year[[#This Row],[Ulukhola Total2]]</f>
        <v>4862</v>
      </c>
      <c r="AC55" s="303">
        <f>SUMIFS(Primary_Order[Total Qty],Primary_Order[Date],"&gt;="&amp;S$1,Primary_Order[Date],"&lt;="&amp;EOMONTH(S$1,0),Primary_Order[Product ID],Stock_year[[#This Row],[SKU ID]],Primary_Order[Status],'Stock Report'!$A$1)</f>
        <v>4</v>
      </c>
      <c r="AD55" s="303">
        <f>Stock_year[[#This Row],[Vobanipur Total2]]-Stock_year[[#This Row],[Sold Qty(Piece)2]]</f>
        <v>4858</v>
      </c>
      <c r="AE55" s="303">
        <f>Stock_year[[#This Row],[Ulukhola Opening2]]-Stock_year[[#This Row],[Ulukhola to Vobanipur Transfer2]]+Stock_year[[#This Row],[New Arrival(ulukhola)2]]</f>
        <v>0</v>
      </c>
      <c r="AF55" s="303">
        <f>VLOOKUP(Stock_year[[#This Row],[SKU ID]],SKU[],14,0)*(Stock_year[[#This Row],[Closing Stock Vobanipur2]]+Stock_year[[#This Row],[Closing Stock Ulukhola2]])</f>
        <v>1795565.3800000001</v>
      </c>
      <c r="AG55" s="303">
        <f ca="1">OFFSET(Stock_year[[#This Row],[Total Closing Stock Value2]],0,-14)</f>
        <v>0</v>
      </c>
      <c r="AH5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55" s="302">
        <f>Stock_year[[#This Row],[Closing Stock Vobanipur2]]</f>
        <v>4858</v>
      </c>
      <c r="AJ55" s="303">
        <f>Stock_year[[#This Row],[Closing Stock Ulukhola2]]</f>
        <v>0</v>
      </c>
      <c r="AK55" s="303">
        <f>Stock_year[[#This Row],[Vobanipur Opening3]]+Stock_year[[#This Row],[Ulukhola Opening3]]</f>
        <v>4858</v>
      </c>
      <c r="AL55" s="303">
        <f>VLOOKUP(Stock_year[[#This Row],[SKU ID]],SKU[[SKU ID]:[Bottle Size(Ltr)]],6,0)*Stock_year[[#This Row],[Opening Stock (Piece)3]]</f>
        <v>4858</v>
      </c>
      <c r="AM55" s="303">
        <v>0</v>
      </c>
      <c r="AN55" s="303"/>
      <c r="AO55" s="303"/>
      <c r="AP55" s="303">
        <f>Stock_year[[#This Row],[Vobanipur Opening3]]+Stock_year[[#This Row],[New Arrival (vobanipur)3]]+Stock_year[[#This Row],[Ulukhola to Vobanipur Transfer3]]</f>
        <v>4858</v>
      </c>
      <c r="AQ55" s="303">
        <f>Stock_year[[#This Row],[Ulukhola Opening3]]-Stock_year[[#This Row],[Ulukhola to Vobanipur Transfer3]]+Stock_year[[#This Row],[New Arrival(ulukhola)3]]</f>
        <v>0</v>
      </c>
      <c r="AR55" s="303">
        <f>Stock_year[[#This Row],[Vobanipur Total3]]+Stock_year[[#This Row],[Ulukhola Total3]]</f>
        <v>4858</v>
      </c>
      <c r="AS55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5" s="303">
        <f>Stock_year[[#This Row],[Vobanipur Total3]]-Stock_year[[#This Row],[Sold Qty(Piece)3]]</f>
        <v>4858</v>
      </c>
      <c r="AU55" s="303">
        <f>Stock_year[[#This Row],[Ulukhola Total3]]</f>
        <v>0</v>
      </c>
      <c r="AV55" s="303">
        <f>VLOOKUP(Stock_year[[#This Row],[SKU ID]],SKU[],14,0)*(Stock_year[[#This Row],[Closing Stock Vobanipur3]]+Stock_year[[#This Row],[Closing Stock Ulukhola3]])</f>
        <v>1795565.3800000001</v>
      </c>
      <c r="AW55" s="303">
        <f ca="1">Stock_year[[#This Row],[Closing Damage unit2]]</f>
        <v>0</v>
      </c>
      <c r="AX5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55" s="32">
        <f>Stock_year[[#This Row],[Closing Stock Vobanipur3]]</f>
        <v>4858</v>
      </c>
      <c r="AZ55" s="32">
        <f>Stock_year[[#This Row],[Closing Stock Ulukhola3]]</f>
        <v>0</v>
      </c>
      <c r="BA55" s="32">
        <f>Stock_year[[#This Row],[Vobanipur Opening4]]+Stock_year[[#This Row],[Ulukhola Opening4]]</f>
        <v>4858</v>
      </c>
      <c r="BB55" s="32">
        <f>VLOOKUP(Stock_year[[#This Row],[SKU ID]],SKU[[SKU ID]:[Bottle Size(Ltr)]],6,0)*Stock_year[[#This Row],[Opening Stock (Piece)4]]</f>
        <v>4858</v>
      </c>
      <c r="BC55" s="32">
        <v>0</v>
      </c>
      <c r="BD55" s="32"/>
      <c r="BE55" s="32"/>
      <c r="BF55" s="32">
        <f>Stock_year[[#This Row],[Vobanipur Opening4]]+Stock_year[[#This Row],[New Arrival (vobanipur)4]]+Stock_year[[#This Row],[Ulukhola to Vobanipur Transfer4]]</f>
        <v>4858</v>
      </c>
      <c r="BG55" s="32">
        <f>Stock_year[[#This Row],[Ulukhola Opening4]]-Stock_year[[#This Row],[Ulukhola to Vobanipur Transfer4]]+Stock_year[[#This Row],[New Arrival(ulukhola)4]]</f>
        <v>0</v>
      </c>
      <c r="BH55" s="32">
        <f>Stock_year[[#This Row],[Vobanipur Total4]]+Stock_year[[#This Row],[Ulukhola Total4]]</f>
        <v>4858</v>
      </c>
      <c r="BI55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5" s="32">
        <f>Stock_year[[#This Row],[Vobanipur Total4]]-Stock_year[[#This Row],[Sold Qty(Piece)4]]</f>
        <v>4858</v>
      </c>
      <c r="BK55" s="32">
        <f>Stock_year[[#This Row],[Ulukhola Total4]]</f>
        <v>0</v>
      </c>
      <c r="BL55" s="32">
        <f>VLOOKUP(Stock_year[[#This Row],[SKU ID]],SKU[],14,0)*(Stock_year[[#This Row],[Closing Stock Vobanipur4]]+Stock_year[[#This Row],[Closing Stock Ulukhola4]])</f>
        <v>1795565.3800000001</v>
      </c>
      <c r="BM55" s="32">
        <f ca="1">Stock_year[[#This Row],[Closing Damage unit3]]</f>
        <v>0</v>
      </c>
      <c r="BN5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56" spans="1:66" x14ac:dyDescent="0.5">
      <c r="A56" t="s">
        <v>185</v>
      </c>
      <c r="B56" t="s">
        <v>815</v>
      </c>
      <c r="C56" s="329">
        <v>50</v>
      </c>
      <c r="D56" s="3">
        <v>384</v>
      </c>
      <c r="E56" s="3">
        <f>Stock_year[[#This Row],[Vobanipur Opening]]+Stock_year[[#This Row],[Ulukhola Opening]]</f>
        <v>434</v>
      </c>
      <c r="F56" s="3">
        <f>VLOOKUP(Stock_year[[#This Row],[SKU ID]],SKU[[SKU ID]:[Bottle Size(Ltr)]],6,0)*Stock_year[[#This Row],[Opening Stock (Piece)]]</f>
        <v>4774</v>
      </c>
      <c r="G56" s="3">
        <v>0</v>
      </c>
      <c r="H56" s="3"/>
      <c r="I56" s="3"/>
      <c r="J56" s="3">
        <f>Stock_year[[#This Row],[Vobanipur Opening]]+Stock_year[[#This Row],[New Arrival (vobanipur)]]+Stock_year[[#This Row],[Ulukhola to Vobanipur Transfer]]</f>
        <v>50</v>
      </c>
      <c r="K56" s="3">
        <f>Stock_year[[#This Row],[Ulukhola Opening]]+Stock_year[[#This Row],[New Arrival(ulukhola)]]-Stock_year[[#This Row],[Ulukhola to Vobanipur Transfer]]</f>
        <v>384</v>
      </c>
      <c r="L56" s="3">
        <f>Stock_year[[#This Row],[Opening Stock (Piece)]]+Stock_year[[#This Row],[New Arrival(ulukhola)]]</f>
        <v>434</v>
      </c>
      <c r="M56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6" s="3">
        <f>Stock_year[[#This Row],[Vobanipur Total]]-Stock_year[[#This Row],[Sold Qty(Piece)]]</f>
        <v>50</v>
      </c>
      <c r="O56" s="3">
        <f>Stock_year[[#This Row],[Ulukhola Opening]]-Stock_year[[#This Row],[Ulukhola to Vobanipur Transfer]]+Stock_year[[#This Row],[New Arrival(ulukhola)]]</f>
        <v>384</v>
      </c>
      <c r="P56" s="3">
        <f>Stock_year[[#This Row],[Ulukhola Total]]</f>
        <v>384</v>
      </c>
      <c r="Q56" s="3">
        <v>0</v>
      </c>
      <c r="R5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56" s="303">
        <f>Stock_year[[#This Row],[Closing Stock Vobanipur]]</f>
        <v>50</v>
      </c>
      <c r="T56" s="303">
        <f>Stock_year[[#This Row],[Closing Stock Ulukhola]]</f>
        <v>384</v>
      </c>
      <c r="U56" s="303">
        <f>Stock_year[[#This Row],[Vobanipur Opening2]]+Stock_year[[#This Row],[Ulukhola Opening2]]</f>
        <v>434</v>
      </c>
      <c r="V56" s="303">
        <f>VLOOKUP(Stock_year[[#This Row],[SKU ID]],SKU[[SKU ID]:[Bottle Size(Ltr)]],6,0)*Stock_year[[#This Row],[Opening Stock (Piece)2]]</f>
        <v>4774</v>
      </c>
      <c r="W56" s="303">
        <v>0</v>
      </c>
      <c r="X56" s="303"/>
      <c r="Y56" s="303"/>
      <c r="Z56" s="303">
        <f>Stock_year[[#This Row],[Vobanipur Opening2]]+Stock_year[[#This Row],[Ulukhola to Vobanipur Transfer2]]+Stock_year[[#This Row],[New Arrival (vobanipur)2]]</f>
        <v>50</v>
      </c>
      <c r="AA56" s="303">
        <f>Stock_year[[#This Row],[Ulukhola Opening2]]-Stock_year[[#This Row],[Ulukhola to Vobanipur Transfer2]]+Stock_year[[#This Row],[New Arrival(ulukhola)2]]</f>
        <v>384</v>
      </c>
      <c r="AB56" s="303">
        <f>Stock_year[[#This Row],[Vobanipur Total2]]+Stock_year[[#This Row],[Ulukhola Total2]]</f>
        <v>434</v>
      </c>
      <c r="AC56" s="303">
        <f>SUMIFS(Primary_Order[Total Qty],Primary_Order[Date],"&gt;="&amp;S$1,Primary_Order[Date],"&lt;="&amp;EOMONTH(S$1,0),Primary_Order[Product ID],Stock_year[[#This Row],[SKU ID]],Primary_Order[Status],'Stock Report'!$A$1)</f>
        <v>2</v>
      </c>
      <c r="AD56" s="303">
        <f>Stock_year[[#This Row],[Vobanipur Total2]]-Stock_year[[#This Row],[Sold Qty(Piece)2]]</f>
        <v>48</v>
      </c>
      <c r="AE56" s="303">
        <f>Stock_year[[#This Row],[Ulukhola Opening2]]-Stock_year[[#This Row],[Ulukhola to Vobanipur Transfer2]]+Stock_year[[#This Row],[New Arrival(ulukhola)2]]</f>
        <v>384</v>
      </c>
      <c r="AF56" s="303">
        <f>VLOOKUP(Stock_year[[#This Row],[SKU ID]],SKU[],14,0)*(Stock_year[[#This Row],[Closing Stock Vobanipur2]]+Stock_year[[#This Row],[Closing Stock Ulukhola2]])</f>
        <v>1682022.24</v>
      </c>
      <c r="AG56" s="303">
        <f ca="1">OFFSET(Stock_year[[#This Row],[Total Closing Stock Value2]],0,-14)</f>
        <v>0</v>
      </c>
      <c r="AH5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56" s="302">
        <f>Stock_year[[#This Row],[Closing Stock Vobanipur2]]</f>
        <v>48</v>
      </c>
      <c r="AJ56" s="303">
        <f>Stock_year[[#This Row],[Closing Stock Ulukhola2]]</f>
        <v>384</v>
      </c>
      <c r="AK56" s="303">
        <f>Stock_year[[#This Row],[Vobanipur Opening3]]+Stock_year[[#This Row],[Ulukhola Opening3]]</f>
        <v>432</v>
      </c>
      <c r="AL56" s="303">
        <f>VLOOKUP(Stock_year[[#This Row],[SKU ID]],SKU[[SKU ID]:[Bottle Size(Ltr)]],6,0)*Stock_year[[#This Row],[Opening Stock (Piece)3]]</f>
        <v>4752</v>
      </c>
      <c r="AM56" s="303">
        <v>0</v>
      </c>
      <c r="AN56" s="303"/>
      <c r="AO56" s="303"/>
      <c r="AP56" s="303">
        <f>Stock_year[[#This Row],[Vobanipur Opening3]]+Stock_year[[#This Row],[New Arrival (vobanipur)3]]+Stock_year[[#This Row],[Ulukhola to Vobanipur Transfer3]]</f>
        <v>48</v>
      </c>
      <c r="AQ56" s="303">
        <f>Stock_year[[#This Row],[Ulukhola Opening3]]-Stock_year[[#This Row],[Ulukhola to Vobanipur Transfer3]]+Stock_year[[#This Row],[New Arrival(ulukhola)3]]</f>
        <v>384</v>
      </c>
      <c r="AR56" s="303">
        <f>Stock_year[[#This Row],[Vobanipur Total3]]+Stock_year[[#This Row],[Ulukhola Total3]]</f>
        <v>432</v>
      </c>
      <c r="AS56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6" s="303">
        <f>Stock_year[[#This Row],[Vobanipur Total3]]-Stock_year[[#This Row],[Sold Qty(Piece)3]]</f>
        <v>48</v>
      </c>
      <c r="AU56" s="303">
        <f>Stock_year[[#This Row],[Ulukhola Total3]]</f>
        <v>384</v>
      </c>
      <c r="AV56" s="303">
        <f>VLOOKUP(Stock_year[[#This Row],[SKU ID]],SKU[],14,0)*(Stock_year[[#This Row],[Closing Stock Vobanipur3]]+Stock_year[[#This Row],[Closing Stock Ulukhola3]])</f>
        <v>1682022.24</v>
      </c>
      <c r="AW56" s="303">
        <f ca="1">Stock_year[[#This Row],[Closing Damage unit2]]</f>
        <v>0</v>
      </c>
      <c r="AX5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56" s="32">
        <f>Stock_year[[#This Row],[Closing Stock Vobanipur3]]</f>
        <v>48</v>
      </c>
      <c r="AZ56" s="32">
        <f>Stock_year[[#This Row],[Closing Stock Ulukhola3]]</f>
        <v>384</v>
      </c>
      <c r="BA56" s="32">
        <f>Stock_year[[#This Row],[Vobanipur Opening4]]+Stock_year[[#This Row],[Ulukhola Opening4]]</f>
        <v>432</v>
      </c>
      <c r="BB56" s="32">
        <f>VLOOKUP(Stock_year[[#This Row],[SKU ID]],SKU[[SKU ID]:[Bottle Size(Ltr)]],6,0)*Stock_year[[#This Row],[Opening Stock (Piece)4]]</f>
        <v>4752</v>
      </c>
      <c r="BC56" s="32">
        <v>0</v>
      </c>
      <c r="BD56" s="32"/>
      <c r="BE56" s="32"/>
      <c r="BF56" s="32">
        <f>Stock_year[[#This Row],[Vobanipur Opening4]]+Stock_year[[#This Row],[New Arrival (vobanipur)4]]+Stock_year[[#This Row],[Ulukhola to Vobanipur Transfer4]]</f>
        <v>48</v>
      </c>
      <c r="BG56" s="32">
        <f>Stock_year[[#This Row],[Ulukhola Opening4]]-Stock_year[[#This Row],[Ulukhola to Vobanipur Transfer4]]+Stock_year[[#This Row],[New Arrival(ulukhola)4]]</f>
        <v>384</v>
      </c>
      <c r="BH56" s="32">
        <f>Stock_year[[#This Row],[Vobanipur Total4]]+Stock_year[[#This Row],[Ulukhola Total4]]</f>
        <v>432</v>
      </c>
      <c r="BI56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6" s="32">
        <f>Stock_year[[#This Row],[Vobanipur Total4]]-Stock_year[[#This Row],[Sold Qty(Piece)4]]</f>
        <v>48</v>
      </c>
      <c r="BK56" s="32">
        <f>Stock_year[[#This Row],[Ulukhola Total4]]</f>
        <v>384</v>
      </c>
      <c r="BL56" s="32">
        <f>VLOOKUP(Stock_year[[#This Row],[SKU ID]],SKU[],14,0)*(Stock_year[[#This Row],[Closing Stock Vobanipur4]]+Stock_year[[#This Row],[Closing Stock Ulukhola4]])</f>
        <v>1682022.24</v>
      </c>
      <c r="BM56" s="32">
        <f ca="1">Stock_year[[#This Row],[Closing Damage unit3]]</f>
        <v>0</v>
      </c>
      <c r="BN5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57" spans="1:66" x14ac:dyDescent="0.5">
      <c r="A57" t="s">
        <v>67</v>
      </c>
      <c r="B57" t="s">
        <v>816</v>
      </c>
      <c r="C57" s="329">
        <v>196</v>
      </c>
      <c r="D57" s="3">
        <v>766</v>
      </c>
      <c r="E57" s="3">
        <f>Stock_year[[#This Row],[Vobanipur Opening]]+Stock_year[[#This Row],[Ulukhola Opening]]</f>
        <v>962</v>
      </c>
      <c r="F57" s="3">
        <f>VLOOKUP(Stock_year[[#This Row],[SKU ID]],SKU[[SKU ID]:[Bottle Size(Ltr)]],6,0)*Stock_year[[#This Row],[Opening Stock (Piece)]]</f>
        <v>14430</v>
      </c>
      <c r="G57" s="3">
        <v>0</v>
      </c>
      <c r="H57" s="3"/>
      <c r="I57" s="3"/>
      <c r="J57" s="3">
        <f>Stock_year[[#This Row],[Vobanipur Opening]]+Stock_year[[#This Row],[New Arrival (vobanipur)]]+Stock_year[[#This Row],[Ulukhola to Vobanipur Transfer]]</f>
        <v>196</v>
      </c>
      <c r="K57" s="3">
        <f>Stock_year[[#This Row],[Ulukhola Opening]]+Stock_year[[#This Row],[New Arrival(ulukhola)]]-Stock_year[[#This Row],[Ulukhola to Vobanipur Transfer]]</f>
        <v>766</v>
      </c>
      <c r="L57" s="3">
        <f>Stock_year[[#This Row],[Opening Stock (Piece)]]+Stock_year[[#This Row],[New Arrival(ulukhola)]]</f>
        <v>962</v>
      </c>
      <c r="M57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7" s="3">
        <f>Stock_year[[#This Row],[Vobanipur Total]]-Stock_year[[#This Row],[Sold Qty(Piece)]]</f>
        <v>196</v>
      </c>
      <c r="O57" s="3">
        <f>Stock_year[[#This Row],[Ulukhola Opening]]-Stock_year[[#This Row],[Ulukhola to Vobanipur Transfer]]+Stock_year[[#This Row],[New Arrival(ulukhola)]]</f>
        <v>766</v>
      </c>
      <c r="P57" s="3">
        <f>Stock_year[[#This Row],[Ulukhola Total]]</f>
        <v>766</v>
      </c>
      <c r="Q57" s="3">
        <v>0</v>
      </c>
      <c r="R5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57" s="303">
        <f>Stock_year[[#This Row],[Closing Stock Vobanipur]]</f>
        <v>196</v>
      </c>
      <c r="T57" s="303">
        <f>Stock_year[[#This Row],[Closing Stock Ulukhola]]</f>
        <v>766</v>
      </c>
      <c r="U57" s="303">
        <f>Stock_year[[#This Row],[Vobanipur Opening2]]+Stock_year[[#This Row],[Ulukhola Opening2]]</f>
        <v>962</v>
      </c>
      <c r="V57" s="303">
        <f>VLOOKUP(Stock_year[[#This Row],[SKU ID]],SKU[[SKU ID]:[Bottle Size(Ltr)]],6,0)*Stock_year[[#This Row],[Opening Stock (Piece)2]]</f>
        <v>14430</v>
      </c>
      <c r="W57" s="303">
        <v>0</v>
      </c>
      <c r="X57" s="303"/>
      <c r="Y57" s="303"/>
      <c r="Z57" s="303">
        <f>Stock_year[[#This Row],[Vobanipur Opening2]]+Stock_year[[#This Row],[Ulukhola to Vobanipur Transfer2]]+Stock_year[[#This Row],[New Arrival (vobanipur)2]]</f>
        <v>196</v>
      </c>
      <c r="AA57" s="303">
        <f>Stock_year[[#This Row],[Ulukhola Opening2]]-Stock_year[[#This Row],[Ulukhola to Vobanipur Transfer2]]+Stock_year[[#This Row],[New Arrival(ulukhola)2]]</f>
        <v>766</v>
      </c>
      <c r="AB57" s="303">
        <f>Stock_year[[#This Row],[Vobanipur Total2]]+Stock_year[[#This Row],[Ulukhola Total2]]</f>
        <v>962</v>
      </c>
      <c r="AC57" s="303">
        <f>SUMIFS(Primary_Order[Total Qty],Primary_Order[Date],"&gt;="&amp;S$1,Primary_Order[Date],"&lt;="&amp;EOMONTH(S$1,0),Primary_Order[Product ID],Stock_year[[#This Row],[SKU ID]],Primary_Order[Status],'Stock Report'!$A$1)</f>
        <v>2</v>
      </c>
      <c r="AD57" s="303">
        <f>Stock_year[[#This Row],[Vobanipur Total2]]-Stock_year[[#This Row],[Sold Qty(Piece)2]]</f>
        <v>194</v>
      </c>
      <c r="AE57" s="303">
        <f>Stock_year[[#This Row],[Ulukhola Opening2]]-Stock_year[[#This Row],[Ulukhola to Vobanipur Transfer2]]+Stock_year[[#This Row],[New Arrival(ulukhola)2]]</f>
        <v>766</v>
      </c>
      <c r="AF57" s="303">
        <f>VLOOKUP(Stock_year[[#This Row],[SKU ID]],SKU[],14,0)*(Stock_year[[#This Row],[Closing Stock Vobanipur2]]+Stock_year[[#This Row],[Closing Stock Ulukhola2]])</f>
        <v>4852838.4000000004</v>
      </c>
      <c r="AG57" s="303">
        <f ca="1">OFFSET(Stock_year[[#This Row],[Total Closing Stock Value2]],0,-14)</f>
        <v>0</v>
      </c>
      <c r="AH5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57" s="302">
        <f>Stock_year[[#This Row],[Closing Stock Vobanipur2]]</f>
        <v>194</v>
      </c>
      <c r="AJ57" s="303">
        <f>Stock_year[[#This Row],[Closing Stock Ulukhola2]]</f>
        <v>766</v>
      </c>
      <c r="AK57" s="303">
        <f>Stock_year[[#This Row],[Vobanipur Opening3]]+Stock_year[[#This Row],[Ulukhola Opening3]]</f>
        <v>960</v>
      </c>
      <c r="AL57" s="303">
        <f>VLOOKUP(Stock_year[[#This Row],[SKU ID]],SKU[[SKU ID]:[Bottle Size(Ltr)]],6,0)*Stock_year[[#This Row],[Opening Stock (Piece)3]]</f>
        <v>14400</v>
      </c>
      <c r="AM57" s="303">
        <v>0</v>
      </c>
      <c r="AN57" s="303"/>
      <c r="AO57" s="303"/>
      <c r="AP57" s="303">
        <f>Stock_year[[#This Row],[Vobanipur Opening3]]+Stock_year[[#This Row],[New Arrival (vobanipur)3]]+Stock_year[[#This Row],[Ulukhola to Vobanipur Transfer3]]</f>
        <v>194</v>
      </c>
      <c r="AQ57" s="303">
        <f>Stock_year[[#This Row],[Ulukhola Opening3]]-Stock_year[[#This Row],[Ulukhola to Vobanipur Transfer3]]+Stock_year[[#This Row],[New Arrival(ulukhola)3]]</f>
        <v>766</v>
      </c>
      <c r="AR57" s="303">
        <f>Stock_year[[#This Row],[Vobanipur Total3]]+Stock_year[[#This Row],[Ulukhola Total3]]</f>
        <v>960</v>
      </c>
      <c r="AS57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7" s="303">
        <f>Stock_year[[#This Row],[Vobanipur Total3]]-Stock_year[[#This Row],[Sold Qty(Piece)3]]</f>
        <v>194</v>
      </c>
      <c r="AU57" s="303">
        <f>Stock_year[[#This Row],[Ulukhola Total3]]</f>
        <v>766</v>
      </c>
      <c r="AV57" s="303">
        <f>VLOOKUP(Stock_year[[#This Row],[SKU ID]],SKU[],14,0)*(Stock_year[[#This Row],[Closing Stock Vobanipur3]]+Stock_year[[#This Row],[Closing Stock Ulukhola3]])</f>
        <v>4852838.4000000004</v>
      </c>
      <c r="AW57" s="303">
        <f ca="1">Stock_year[[#This Row],[Closing Damage unit2]]</f>
        <v>0</v>
      </c>
      <c r="AX5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57" s="32">
        <f>Stock_year[[#This Row],[Closing Stock Vobanipur3]]</f>
        <v>194</v>
      </c>
      <c r="AZ57" s="32">
        <f>Stock_year[[#This Row],[Closing Stock Ulukhola3]]</f>
        <v>766</v>
      </c>
      <c r="BA57" s="32">
        <f>Stock_year[[#This Row],[Vobanipur Opening4]]+Stock_year[[#This Row],[Ulukhola Opening4]]</f>
        <v>960</v>
      </c>
      <c r="BB57" s="32">
        <f>VLOOKUP(Stock_year[[#This Row],[SKU ID]],SKU[[SKU ID]:[Bottle Size(Ltr)]],6,0)*Stock_year[[#This Row],[Opening Stock (Piece)4]]</f>
        <v>14400</v>
      </c>
      <c r="BC57" s="32">
        <v>0</v>
      </c>
      <c r="BD57" s="32"/>
      <c r="BE57" s="32"/>
      <c r="BF57" s="32">
        <f>Stock_year[[#This Row],[Vobanipur Opening4]]+Stock_year[[#This Row],[New Arrival (vobanipur)4]]+Stock_year[[#This Row],[Ulukhola to Vobanipur Transfer4]]</f>
        <v>194</v>
      </c>
      <c r="BG57" s="32">
        <f>Stock_year[[#This Row],[Ulukhola Opening4]]-Stock_year[[#This Row],[Ulukhola to Vobanipur Transfer4]]+Stock_year[[#This Row],[New Arrival(ulukhola)4]]</f>
        <v>766</v>
      </c>
      <c r="BH57" s="32">
        <f>Stock_year[[#This Row],[Vobanipur Total4]]+Stock_year[[#This Row],[Ulukhola Total4]]</f>
        <v>960</v>
      </c>
      <c r="BI57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7" s="32">
        <f>Stock_year[[#This Row],[Vobanipur Total4]]-Stock_year[[#This Row],[Sold Qty(Piece)4]]</f>
        <v>194</v>
      </c>
      <c r="BK57" s="32">
        <f>Stock_year[[#This Row],[Ulukhola Total4]]</f>
        <v>766</v>
      </c>
      <c r="BL57" s="32">
        <f>VLOOKUP(Stock_year[[#This Row],[SKU ID]],SKU[],14,0)*(Stock_year[[#This Row],[Closing Stock Vobanipur4]]+Stock_year[[#This Row],[Closing Stock Ulukhola4]])</f>
        <v>4852838.4000000004</v>
      </c>
      <c r="BM57" s="32">
        <f ca="1">Stock_year[[#This Row],[Closing Damage unit3]]</f>
        <v>0</v>
      </c>
      <c r="BN5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58" spans="1:66" x14ac:dyDescent="0.5">
      <c r="A58" t="s">
        <v>160</v>
      </c>
      <c r="B58" t="s">
        <v>817</v>
      </c>
      <c r="C58" s="329">
        <v>197</v>
      </c>
      <c r="D58" s="3">
        <v>712</v>
      </c>
      <c r="E58" s="3">
        <f>Stock_year[[#This Row],[Vobanipur Opening]]+Stock_year[[#This Row],[Ulukhola Opening]]</f>
        <v>909</v>
      </c>
      <c r="F58" s="3">
        <f>VLOOKUP(Stock_year[[#This Row],[SKU ID]],SKU[[SKU ID]:[Bottle Size(Ltr)]],6,0)*Stock_year[[#This Row],[Opening Stock (Piece)]]</f>
        <v>4545</v>
      </c>
      <c r="G58" s="3">
        <v>0</v>
      </c>
      <c r="H58" s="3"/>
      <c r="I58" s="3"/>
      <c r="J58" s="3">
        <f>Stock_year[[#This Row],[Vobanipur Opening]]+Stock_year[[#This Row],[New Arrival (vobanipur)]]+Stock_year[[#This Row],[Ulukhola to Vobanipur Transfer]]</f>
        <v>197</v>
      </c>
      <c r="K58" s="3">
        <f>Stock_year[[#This Row],[Ulukhola Opening]]+Stock_year[[#This Row],[New Arrival(ulukhola)]]-Stock_year[[#This Row],[Ulukhola to Vobanipur Transfer]]</f>
        <v>712</v>
      </c>
      <c r="L58" s="3">
        <f>Stock_year[[#This Row],[Opening Stock (Piece)]]+Stock_year[[#This Row],[New Arrival(ulukhola)]]</f>
        <v>909</v>
      </c>
      <c r="M58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8" s="3">
        <f>Stock_year[[#This Row],[Vobanipur Total]]-Stock_year[[#This Row],[Sold Qty(Piece)]]</f>
        <v>197</v>
      </c>
      <c r="O58" s="3">
        <f>Stock_year[[#This Row],[Ulukhola Opening]]-Stock_year[[#This Row],[Ulukhola to Vobanipur Transfer]]+Stock_year[[#This Row],[New Arrival(ulukhola)]]</f>
        <v>712</v>
      </c>
      <c r="P58" s="3">
        <f>Stock_year[[#This Row],[Ulukhola Total]]</f>
        <v>712</v>
      </c>
      <c r="Q58" s="3">
        <v>0</v>
      </c>
      <c r="R5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58" s="303">
        <f>Stock_year[[#This Row],[Closing Stock Vobanipur]]</f>
        <v>197</v>
      </c>
      <c r="T58" s="303">
        <f>Stock_year[[#This Row],[Closing Stock Ulukhola]]</f>
        <v>712</v>
      </c>
      <c r="U58" s="303">
        <f>Stock_year[[#This Row],[Vobanipur Opening2]]+Stock_year[[#This Row],[Ulukhola Opening2]]</f>
        <v>909</v>
      </c>
      <c r="V58" s="303">
        <f>VLOOKUP(Stock_year[[#This Row],[SKU ID]],SKU[[SKU ID]:[Bottle Size(Ltr)]],6,0)*Stock_year[[#This Row],[Opening Stock (Piece)2]]</f>
        <v>4545</v>
      </c>
      <c r="W58" s="303">
        <v>0</v>
      </c>
      <c r="X58" s="303"/>
      <c r="Y58" s="303"/>
      <c r="Z58" s="303">
        <f>Stock_year[[#This Row],[Vobanipur Opening2]]+Stock_year[[#This Row],[Ulukhola to Vobanipur Transfer2]]+Stock_year[[#This Row],[New Arrival (vobanipur)2]]</f>
        <v>197</v>
      </c>
      <c r="AA58" s="303">
        <f>Stock_year[[#This Row],[Ulukhola Opening2]]-Stock_year[[#This Row],[Ulukhola to Vobanipur Transfer2]]+Stock_year[[#This Row],[New Arrival(ulukhola)2]]</f>
        <v>712</v>
      </c>
      <c r="AB58" s="303">
        <f>Stock_year[[#This Row],[Vobanipur Total2]]+Stock_year[[#This Row],[Ulukhola Total2]]</f>
        <v>909</v>
      </c>
      <c r="AC58" s="303">
        <f>SUMIFS(Primary_Order[Total Qty],Primary_Order[Date],"&gt;="&amp;S$1,Primary_Order[Date],"&lt;="&amp;EOMONTH(S$1,0),Primary_Order[Product ID],Stock_year[[#This Row],[SKU ID]],Primary_Order[Status],'Stock Report'!$A$1)</f>
        <v>2</v>
      </c>
      <c r="AD58" s="303">
        <f>Stock_year[[#This Row],[Vobanipur Total2]]-Stock_year[[#This Row],[Sold Qty(Piece)2]]</f>
        <v>195</v>
      </c>
      <c r="AE58" s="303">
        <f>Stock_year[[#This Row],[Ulukhola Opening2]]-Stock_year[[#This Row],[Ulukhola to Vobanipur Transfer2]]+Stock_year[[#This Row],[New Arrival(ulukhola)2]]</f>
        <v>712</v>
      </c>
      <c r="AF58" s="303">
        <f>VLOOKUP(Stock_year[[#This Row],[SKU ID]],SKU[],14,0)*(Stock_year[[#This Row],[Closing Stock Vobanipur2]]+Stock_year[[#This Row],[Closing Stock Ulukhola2]])</f>
        <v>1659946.05</v>
      </c>
      <c r="AG58" s="303">
        <f ca="1">OFFSET(Stock_year[[#This Row],[Total Closing Stock Value2]],0,-14)</f>
        <v>0</v>
      </c>
      <c r="AH5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58" s="302">
        <f>Stock_year[[#This Row],[Closing Stock Vobanipur2]]</f>
        <v>195</v>
      </c>
      <c r="AJ58" s="303">
        <f>Stock_year[[#This Row],[Closing Stock Ulukhola2]]</f>
        <v>712</v>
      </c>
      <c r="AK58" s="303">
        <f>Stock_year[[#This Row],[Vobanipur Opening3]]+Stock_year[[#This Row],[Ulukhola Opening3]]</f>
        <v>907</v>
      </c>
      <c r="AL58" s="303">
        <f>VLOOKUP(Stock_year[[#This Row],[SKU ID]],SKU[[SKU ID]:[Bottle Size(Ltr)]],6,0)*Stock_year[[#This Row],[Opening Stock (Piece)3]]</f>
        <v>4535</v>
      </c>
      <c r="AM58" s="303">
        <v>0</v>
      </c>
      <c r="AN58" s="303"/>
      <c r="AO58" s="303"/>
      <c r="AP58" s="303">
        <f>Stock_year[[#This Row],[Vobanipur Opening3]]+Stock_year[[#This Row],[New Arrival (vobanipur)3]]+Stock_year[[#This Row],[Ulukhola to Vobanipur Transfer3]]</f>
        <v>195</v>
      </c>
      <c r="AQ58" s="303">
        <f>Stock_year[[#This Row],[Ulukhola Opening3]]-Stock_year[[#This Row],[Ulukhola to Vobanipur Transfer3]]+Stock_year[[#This Row],[New Arrival(ulukhola)3]]</f>
        <v>712</v>
      </c>
      <c r="AR58" s="303">
        <f>Stock_year[[#This Row],[Vobanipur Total3]]+Stock_year[[#This Row],[Ulukhola Total3]]</f>
        <v>907</v>
      </c>
      <c r="AS58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8" s="303">
        <f>Stock_year[[#This Row],[Vobanipur Total3]]-Stock_year[[#This Row],[Sold Qty(Piece)3]]</f>
        <v>195</v>
      </c>
      <c r="AU58" s="303">
        <f>Stock_year[[#This Row],[Ulukhola Total3]]</f>
        <v>712</v>
      </c>
      <c r="AV58" s="303">
        <f>VLOOKUP(Stock_year[[#This Row],[SKU ID]],SKU[],14,0)*(Stock_year[[#This Row],[Closing Stock Vobanipur3]]+Stock_year[[#This Row],[Closing Stock Ulukhola3]])</f>
        <v>1659946.05</v>
      </c>
      <c r="AW58" s="303">
        <f ca="1">Stock_year[[#This Row],[Closing Damage unit2]]</f>
        <v>0</v>
      </c>
      <c r="AX5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58" s="32">
        <f>Stock_year[[#This Row],[Closing Stock Vobanipur3]]</f>
        <v>195</v>
      </c>
      <c r="AZ58" s="32">
        <f>Stock_year[[#This Row],[Closing Stock Ulukhola3]]</f>
        <v>712</v>
      </c>
      <c r="BA58" s="32">
        <f>Stock_year[[#This Row],[Vobanipur Opening4]]+Stock_year[[#This Row],[Ulukhola Opening4]]</f>
        <v>907</v>
      </c>
      <c r="BB58" s="32">
        <f>VLOOKUP(Stock_year[[#This Row],[SKU ID]],SKU[[SKU ID]:[Bottle Size(Ltr)]],6,0)*Stock_year[[#This Row],[Opening Stock (Piece)4]]</f>
        <v>4535</v>
      </c>
      <c r="BC58" s="32">
        <v>0</v>
      </c>
      <c r="BD58" s="32"/>
      <c r="BE58" s="32"/>
      <c r="BF58" s="32">
        <f>Stock_year[[#This Row],[Vobanipur Opening4]]+Stock_year[[#This Row],[New Arrival (vobanipur)4]]+Stock_year[[#This Row],[Ulukhola to Vobanipur Transfer4]]</f>
        <v>195</v>
      </c>
      <c r="BG58" s="32">
        <f>Stock_year[[#This Row],[Ulukhola Opening4]]-Stock_year[[#This Row],[Ulukhola to Vobanipur Transfer4]]+Stock_year[[#This Row],[New Arrival(ulukhola)4]]</f>
        <v>712</v>
      </c>
      <c r="BH58" s="32">
        <f>Stock_year[[#This Row],[Vobanipur Total4]]+Stock_year[[#This Row],[Ulukhola Total4]]</f>
        <v>907</v>
      </c>
      <c r="BI58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8" s="32">
        <f>Stock_year[[#This Row],[Vobanipur Total4]]-Stock_year[[#This Row],[Sold Qty(Piece)4]]</f>
        <v>195</v>
      </c>
      <c r="BK58" s="32">
        <f>Stock_year[[#This Row],[Ulukhola Total4]]</f>
        <v>712</v>
      </c>
      <c r="BL58" s="32">
        <f>VLOOKUP(Stock_year[[#This Row],[SKU ID]],SKU[],14,0)*(Stock_year[[#This Row],[Closing Stock Vobanipur4]]+Stock_year[[#This Row],[Closing Stock Ulukhola4]])</f>
        <v>1659946.05</v>
      </c>
      <c r="BM58" s="32">
        <f ca="1">Stock_year[[#This Row],[Closing Damage unit3]]</f>
        <v>0</v>
      </c>
      <c r="BN5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59" spans="1:66" x14ac:dyDescent="0.5">
      <c r="A59" t="s">
        <v>159</v>
      </c>
      <c r="B59" t="s">
        <v>818</v>
      </c>
      <c r="C59" s="329">
        <v>67</v>
      </c>
      <c r="D59" s="3">
        <v>906</v>
      </c>
      <c r="E59" s="3">
        <f>Stock_year[[#This Row],[Vobanipur Opening]]+Stock_year[[#This Row],[Ulukhola Opening]]</f>
        <v>973</v>
      </c>
      <c r="F59" s="3">
        <f>VLOOKUP(Stock_year[[#This Row],[SKU ID]],SKU[[SKU ID]:[Bottle Size(Ltr)]],6,0)*Stock_year[[#This Row],[Opening Stock (Piece)]]</f>
        <v>17514</v>
      </c>
      <c r="G59" s="3">
        <v>0</v>
      </c>
      <c r="H59" s="3"/>
      <c r="I59" s="3"/>
      <c r="J59" s="3">
        <f>Stock_year[[#This Row],[Vobanipur Opening]]+Stock_year[[#This Row],[New Arrival (vobanipur)]]+Stock_year[[#This Row],[Ulukhola to Vobanipur Transfer]]</f>
        <v>67</v>
      </c>
      <c r="K59" s="3">
        <f>Stock_year[[#This Row],[Ulukhola Opening]]+Stock_year[[#This Row],[New Arrival(ulukhola)]]-Stock_year[[#This Row],[Ulukhola to Vobanipur Transfer]]</f>
        <v>906</v>
      </c>
      <c r="L59" s="3">
        <f>Stock_year[[#This Row],[Opening Stock (Piece)]]+Stock_year[[#This Row],[New Arrival(ulukhola)]]</f>
        <v>973</v>
      </c>
      <c r="M59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59" s="3">
        <f>Stock_year[[#This Row],[Vobanipur Total]]-Stock_year[[#This Row],[Sold Qty(Piece)]]</f>
        <v>67</v>
      </c>
      <c r="O59" s="3">
        <f>Stock_year[[#This Row],[Ulukhola Opening]]-Stock_year[[#This Row],[Ulukhola to Vobanipur Transfer]]+Stock_year[[#This Row],[New Arrival(ulukhola)]]</f>
        <v>906</v>
      </c>
      <c r="P59" s="3">
        <f>Stock_year[[#This Row],[Ulukhola Total]]</f>
        <v>906</v>
      </c>
      <c r="Q59" s="3">
        <v>0</v>
      </c>
      <c r="R5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59" s="303">
        <f>Stock_year[[#This Row],[Closing Stock Vobanipur]]</f>
        <v>67</v>
      </c>
      <c r="T59" s="303">
        <f>Stock_year[[#This Row],[Closing Stock Ulukhola]]</f>
        <v>906</v>
      </c>
      <c r="U59" s="303">
        <f>Stock_year[[#This Row],[Vobanipur Opening2]]+Stock_year[[#This Row],[Ulukhola Opening2]]</f>
        <v>973</v>
      </c>
      <c r="V59" s="303">
        <f>VLOOKUP(Stock_year[[#This Row],[SKU ID]],SKU[[SKU ID]:[Bottle Size(Ltr)]],6,0)*Stock_year[[#This Row],[Opening Stock (Piece)2]]</f>
        <v>17514</v>
      </c>
      <c r="W59" s="303">
        <v>0</v>
      </c>
      <c r="X59" s="303"/>
      <c r="Y59" s="303"/>
      <c r="Z59" s="303">
        <f>Stock_year[[#This Row],[Vobanipur Opening2]]+Stock_year[[#This Row],[Ulukhola to Vobanipur Transfer2]]+Stock_year[[#This Row],[New Arrival (vobanipur)2]]</f>
        <v>67</v>
      </c>
      <c r="AA59" s="303">
        <f>Stock_year[[#This Row],[Ulukhola Opening2]]-Stock_year[[#This Row],[Ulukhola to Vobanipur Transfer2]]+Stock_year[[#This Row],[New Arrival(ulukhola)2]]</f>
        <v>906</v>
      </c>
      <c r="AB59" s="303">
        <f>Stock_year[[#This Row],[Vobanipur Total2]]+Stock_year[[#This Row],[Ulukhola Total2]]</f>
        <v>973</v>
      </c>
      <c r="AC59" s="303">
        <f>SUMIFS(Primary_Order[Total Qty],Primary_Order[Date],"&gt;="&amp;S$1,Primary_Order[Date],"&lt;="&amp;EOMONTH(S$1,0),Primary_Order[Product ID],Stock_year[[#This Row],[SKU ID]],Primary_Order[Status],'Stock Report'!$A$1)</f>
        <v>2</v>
      </c>
      <c r="AD59" s="303">
        <f>Stock_year[[#This Row],[Vobanipur Total2]]-Stock_year[[#This Row],[Sold Qty(Piece)2]]</f>
        <v>65</v>
      </c>
      <c r="AE59" s="303">
        <f>Stock_year[[#This Row],[Ulukhola Opening2]]-Stock_year[[#This Row],[Ulukhola to Vobanipur Transfer2]]+Stock_year[[#This Row],[New Arrival(ulukhola)2]]</f>
        <v>906</v>
      </c>
      <c r="AF59" s="303">
        <f>VLOOKUP(Stock_year[[#This Row],[SKU ID]],SKU[],14,0)*(Stock_year[[#This Row],[Closing Stock Vobanipur2]]+Stock_year[[#This Row],[Closing Stock Ulukhola2]])</f>
        <v>5854877.54</v>
      </c>
      <c r="AG59" s="303">
        <f ca="1">OFFSET(Stock_year[[#This Row],[Total Closing Stock Value2]],0,-14)</f>
        <v>0</v>
      </c>
      <c r="AH5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59" s="302">
        <f>Stock_year[[#This Row],[Closing Stock Vobanipur2]]</f>
        <v>65</v>
      </c>
      <c r="AJ59" s="303">
        <f>Stock_year[[#This Row],[Closing Stock Ulukhola2]]</f>
        <v>906</v>
      </c>
      <c r="AK59" s="303">
        <f>Stock_year[[#This Row],[Vobanipur Opening3]]+Stock_year[[#This Row],[Ulukhola Opening3]]</f>
        <v>971</v>
      </c>
      <c r="AL59" s="303">
        <f>VLOOKUP(Stock_year[[#This Row],[SKU ID]],SKU[[SKU ID]:[Bottle Size(Ltr)]],6,0)*Stock_year[[#This Row],[Opening Stock (Piece)3]]</f>
        <v>17478</v>
      </c>
      <c r="AM59" s="303">
        <v>0</v>
      </c>
      <c r="AN59" s="303"/>
      <c r="AO59" s="303"/>
      <c r="AP59" s="303">
        <f>Stock_year[[#This Row],[Vobanipur Opening3]]+Stock_year[[#This Row],[New Arrival (vobanipur)3]]+Stock_year[[#This Row],[Ulukhola to Vobanipur Transfer3]]</f>
        <v>65</v>
      </c>
      <c r="AQ59" s="303">
        <f>Stock_year[[#This Row],[Ulukhola Opening3]]-Stock_year[[#This Row],[Ulukhola to Vobanipur Transfer3]]+Stock_year[[#This Row],[New Arrival(ulukhola)3]]</f>
        <v>906</v>
      </c>
      <c r="AR59" s="303">
        <f>Stock_year[[#This Row],[Vobanipur Total3]]+Stock_year[[#This Row],[Ulukhola Total3]]</f>
        <v>971</v>
      </c>
      <c r="AS59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59" s="303">
        <f>Stock_year[[#This Row],[Vobanipur Total3]]-Stock_year[[#This Row],[Sold Qty(Piece)3]]</f>
        <v>65</v>
      </c>
      <c r="AU59" s="303">
        <f>Stock_year[[#This Row],[Ulukhola Total3]]</f>
        <v>906</v>
      </c>
      <c r="AV59" s="303">
        <f>VLOOKUP(Stock_year[[#This Row],[SKU ID]],SKU[],14,0)*(Stock_year[[#This Row],[Closing Stock Vobanipur3]]+Stock_year[[#This Row],[Closing Stock Ulukhola3]])</f>
        <v>5854877.54</v>
      </c>
      <c r="AW59" s="303">
        <f ca="1">Stock_year[[#This Row],[Closing Damage unit2]]</f>
        <v>0</v>
      </c>
      <c r="AX5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59" s="32">
        <f>Stock_year[[#This Row],[Closing Stock Vobanipur3]]</f>
        <v>65</v>
      </c>
      <c r="AZ59" s="32">
        <f>Stock_year[[#This Row],[Closing Stock Ulukhola3]]</f>
        <v>906</v>
      </c>
      <c r="BA59" s="32">
        <f>Stock_year[[#This Row],[Vobanipur Opening4]]+Stock_year[[#This Row],[Ulukhola Opening4]]</f>
        <v>971</v>
      </c>
      <c r="BB59" s="32">
        <f>VLOOKUP(Stock_year[[#This Row],[SKU ID]],SKU[[SKU ID]:[Bottle Size(Ltr)]],6,0)*Stock_year[[#This Row],[Opening Stock (Piece)4]]</f>
        <v>17478</v>
      </c>
      <c r="BC59" s="32">
        <v>0</v>
      </c>
      <c r="BD59" s="32"/>
      <c r="BE59" s="32"/>
      <c r="BF59" s="32">
        <f>Stock_year[[#This Row],[Vobanipur Opening4]]+Stock_year[[#This Row],[New Arrival (vobanipur)4]]+Stock_year[[#This Row],[Ulukhola to Vobanipur Transfer4]]</f>
        <v>65</v>
      </c>
      <c r="BG59" s="32">
        <f>Stock_year[[#This Row],[Ulukhola Opening4]]-Stock_year[[#This Row],[Ulukhola to Vobanipur Transfer4]]+Stock_year[[#This Row],[New Arrival(ulukhola)4]]</f>
        <v>906</v>
      </c>
      <c r="BH59" s="32">
        <f>Stock_year[[#This Row],[Vobanipur Total4]]+Stock_year[[#This Row],[Ulukhola Total4]]</f>
        <v>971</v>
      </c>
      <c r="BI59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59" s="32">
        <f>Stock_year[[#This Row],[Vobanipur Total4]]-Stock_year[[#This Row],[Sold Qty(Piece)4]]</f>
        <v>65</v>
      </c>
      <c r="BK59" s="32">
        <f>Stock_year[[#This Row],[Ulukhola Total4]]</f>
        <v>906</v>
      </c>
      <c r="BL59" s="32">
        <f>VLOOKUP(Stock_year[[#This Row],[SKU ID]],SKU[],14,0)*(Stock_year[[#This Row],[Closing Stock Vobanipur4]]+Stock_year[[#This Row],[Closing Stock Ulukhola4]])</f>
        <v>5854877.54</v>
      </c>
      <c r="BM59" s="32">
        <f ca="1">Stock_year[[#This Row],[Closing Damage unit3]]</f>
        <v>0</v>
      </c>
      <c r="BN5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60" spans="1:66" x14ac:dyDescent="0.5">
      <c r="A60" t="s">
        <v>104</v>
      </c>
      <c r="B60" t="s">
        <v>819</v>
      </c>
      <c r="C60" s="329">
        <f>4919-48</f>
        <v>4871</v>
      </c>
      <c r="D60" s="322">
        <f>4800-24</f>
        <v>4776</v>
      </c>
      <c r="E60" s="3">
        <f>Stock_year[[#This Row],[Vobanipur Opening]]+Stock_year[[#This Row],[Ulukhola Opening]]</f>
        <v>9647</v>
      </c>
      <c r="F60" s="3">
        <f>VLOOKUP(Stock_year[[#This Row],[SKU ID]],SKU[[SKU ID]:[Bottle Size(Ltr)]],6,0)*Stock_year[[#This Row],[Opening Stock (Piece)]]</f>
        <v>482.35</v>
      </c>
      <c r="G60" s="3">
        <v>0</v>
      </c>
      <c r="H60" s="3"/>
      <c r="I60" s="3"/>
      <c r="J60" s="3">
        <f>Stock_year[[#This Row],[Vobanipur Opening]]+Stock_year[[#This Row],[New Arrival (vobanipur)]]+Stock_year[[#This Row],[Ulukhola to Vobanipur Transfer]]</f>
        <v>4871</v>
      </c>
      <c r="K60" s="3">
        <f>Stock_year[[#This Row],[Ulukhola Opening]]+Stock_year[[#This Row],[New Arrival(ulukhola)]]-Stock_year[[#This Row],[Ulukhola to Vobanipur Transfer]]</f>
        <v>4776</v>
      </c>
      <c r="L60" s="3">
        <f>Stock_year[[#This Row],[Opening Stock (Piece)]]+Stock_year[[#This Row],[New Arrival(ulukhola)]]</f>
        <v>9647</v>
      </c>
      <c r="M60" s="3">
        <f>SUMIFS(Primary_Order[Total Qty],Primary_Order[Date],"&gt;="&amp;C$1,Primary_Order[Date],"&lt;="&amp;EOMONTH(C$1,0),Primary_Order[Product ID],Stock_year[[#This Row],[SKU ID]],Primary_Order[Status],'Stock Report'!$A$1)</f>
        <v>12</v>
      </c>
      <c r="N60" s="3">
        <f>Stock_year[[#This Row],[Vobanipur Total]]-Stock_year[[#This Row],[Sold Qty(Piece)]]</f>
        <v>4859</v>
      </c>
      <c r="O60" s="3">
        <f>Stock_year[[#This Row],[Ulukhola Opening]]-Stock_year[[#This Row],[Ulukhola to Vobanipur Transfer]]+Stock_year[[#This Row],[New Arrival(ulukhola)]]</f>
        <v>4776</v>
      </c>
      <c r="P60" s="3">
        <f>Stock_year[[#This Row],[Ulukhola Total]]</f>
        <v>4776</v>
      </c>
      <c r="Q60" s="3">
        <v>49</v>
      </c>
      <c r="R6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49</v>
      </c>
      <c r="S60" s="303">
        <f>Stock_year[[#This Row],[Closing Stock Vobanipur]]</f>
        <v>4859</v>
      </c>
      <c r="T60" s="303">
        <f>Stock_year[[#This Row],[Closing Stock Ulukhola]]</f>
        <v>4776</v>
      </c>
      <c r="U60" s="303">
        <f>Stock_year[[#This Row],[Vobanipur Opening2]]+Stock_year[[#This Row],[Ulukhola Opening2]]</f>
        <v>9635</v>
      </c>
      <c r="V60" s="303">
        <f>VLOOKUP(Stock_year[[#This Row],[SKU ID]],SKU[[SKU ID]:[Bottle Size(Ltr)]],6,0)*Stock_year[[#This Row],[Opening Stock (Piece)2]]</f>
        <v>481.75</v>
      </c>
      <c r="W60" s="303">
        <v>4776</v>
      </c>
      <c r="X60" s="303"/>
      <c r="Y60" s="303"/>
      <c r="Z60" s="303">
        <f>Stock_year[[#This Row],[Vobanipur Opening2]]+Stock_year[[#This Row],[Ulukhola to Vobanipur Transfer2]]+Stock_year[[#This Row],[New Arrival (vobanipur)2]]</f>
        <v>9635</v>
      </c>
      <c r="AA60" s="303">
        <f>Stock_year[[#This Row],[Ulukhola Opening2]]-Stock_year[[#This Row],[Ulukhola to Vobanipur Transfer2]]+Stock_year[[#This Row],[New Arrival(ulukhola)2]]</f>
        <v>0</v>
      </c>
      <c r="AB60" s="303">
        <f>Stock_year[[#This Row],[Vobanipur Total2]]+Stock_year[[#This Row],[Ulukhola Total2]]</f>
        <v>9635</v>
      </c>
      <c r="AC60" s="303">
        <f>SUMIFS(Primary_Order[Total Qty],Primary_Order[Date],"&gt;="&amp;S$1,Primary_Order[Date],"&lt;="&amp;EOMONTH(S$1,0),Primary_Order[Product ID],Stock_year[[#This Row],[SKU ID]],Primary_Order[Status],'Stock Report'!$A$1)</f>
        <v>4944</v>
      </c>
      <c r="AD60" s="303">
        <f>Stock_year[[#This Row],[Vobanipur Total2]]-Stock_year[[#This Row],[Sold Qty(Piece)2]]</f>
        <v>4691</v>
      </c>
      <c r="AE60" s="303">
        <f>Stock_year[[#This Row],[Ulukhola Opening2]]-Stock_year[[#This Row],[Ulukhola to Vobanipur Transfer2]]+Stock_year[[#This Row],[New Arrival(ulukhola)2]]</f>
        <v>0</v>
      </c>
      <c r="AF60" s="303">
        <f>VLOOKUP(Stock_year[[#This Row],[SKU ID]],SKU[],14,0)*(Stock_year[[#This Row],[Closing Stock Vobanipur2]]+Stock_year[[#This Row],[Closing Stock Ulukhola2]])</f>
        <v>610346.01</v>
      </c>
      <c r="AG60" s="303">
        <f ca="1">OFFSET(Stock_year[[#This Row],[Total Closing Stock Value2]],0,-14)</f>
        <v>49</v>
      </c>
      <c r="AH6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49</v>
      </c>
      <c r="AI60" s="302">
        <f>Stock_year[[#This Row],[Closing Stock Vobanipur2]]</f>
        <v>4691</v>
      </c>
      <c r="AJ60" s="303">
        <f>Stock_year[[#This Row],[Closing Stock Ulukhola2]]</f>
        <v>0</v>
      </c>
      <c r="AK60" s="303">
        <f>Stock_year[[#This Row],[Vobanipur Opening3]]+Stock_year[[#This Row],[Ulukhola Opening3]]</f>
        <v>4691</v>
      </c>
      <c r="AL60" s="303">
        <f>VLOOKUP(Stock_year[[#This Row],[SKU ID]],SKU[[SKU ID]:[Bottle Size(Ltr)]],6,0)*Stock_year[[#This Row],[Opening Stock (Piece)3]]</f>
        <v>234.55</v>
      </c>
      <c r="AM60" s="303">
        <v>0</v>
      </c>
      <c r="AN60" s="303"/>
      <c r="AO60" s="303"/>
      <c r="AP60" s="303">
        <f>Stock_year[[#This Row],[Vobanipur Opening3]]+Stock_year[[#This Row],[New Arrival (vobanipur)3]]+Stock_year[[#This Row],[Ulukhola to Vobanipur Transfer3]]</f>
        <v>4691</v>
      </c>
      <c r="AQ60" s="303">
        <f>Stock_year[[#This Row],[Ulukhola Opening3]]-Stock_year[[#This Row],[Ulukhola to Vobanipur Transfer3]]+Stock_year[[#This Row],[New Arrival(ulukhola)3]]</f>
        <v>0</v>
      </c>
      <c r="AR60" s="303">
        <f>Stock_year[[#This Row],[Vobanipur Total3]]+Stock_year[[#This Row],[Ulukhola Total3]]</f>
        <v>4691</v>
      </c>
      <c r="AS60" s="303">
        <f>SUMIFS(Primary_Order[Total Qty],Primary_Order[Date],"&gt;="&amp;AI$1,Primary_Order[Date],"&lt;="&amp;EOMONTH(AI$1,0),Primary_Order[Product ID],Stock_year[[#This Row],[SKU ID]],Primary_Order[Status],'Stock Report'!$A$1)</f>
        <v>4691</v>
      </c>
      <c r="AT60" s="303">
        <f>Stock_year[[#This Row],[Vobanipur Total3]]-Stock_year[[#This Row],[Sold Qty(Piece)3]]</f>
        <v>0</v>
      </c>
      <c r="AU60" s="303">
        <f>Stock_year[[#This Row],[Ulukhola Total3]]</f>
        <v>0</v>
      </c>
      <c r="AV60" s="303">
        <f>VLOOKUP(Stock_year[[#This Row],[SKU ID]],SKU[],14,0)*(Stock_year[[#This Row],[Closing Stock Vobanipur3]]+Stock_year[[#This Row],[Closing Stock Ulukhola3]])</f>
        <v>0</v>
      </c>
      <c r="AW60" s="303">
        <f ca="1">Stock_year[[#This Row],[Closing Damage unit2]]</f>
        <v>49</v>
      </c>
      <c r="AX6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49</v>
      </c>
      <c r="AY60" s="32">
        <f>Stock_year[[#This Row],[Closing Stock Vobanipur3]]</f>
        <v>0</v>
      </c>
      <c r="AZ60" s="32">
        <f>Stock_year[[#This Row],[Closing Stock Ulukhola3]]</f>
        <v>0</v>
      </c>
      <c r="BA60" s="32">
        <f>Stock_year[[#This Row],[Vobanipur Opening4]]+Stock_year[[#This Row],[Ulukhola Opening4]]</f>
        <v>0</v>
      </c>
      <c r="BB60" s="32">
        <f>VLOOKUP(Stock_year[[#This Row],[SKU ID]],SKU[[SKU ID]:[Bottle Size(Ltr)]],6,0)*Stock_year[[#This Row],[Opening Stock (Piece)4]]</f>
        <v>0</v>
      </c>
      <c r="BC60" s="32">
        <v>0</v>
      </c>
      <c r="BD60" s="32"/>
      <c r="BE60" s="32"/>
      <c r="BF60" s="32">
        <f>Stock_year[[#This Row],[Vobanipur Opening4]]+Stock_year[[#This Row],[New Arrival (vobanipur)4]]+Stock_year[[#This Row],[Ulukhola to Vobanipur Transfer4]]</f>
        <v>0</v>
      </c>
      <c r="BG60" s="32">
        <f>Stock_year[[#This Row],[Ulukhola Opening4]]-Stock_year[[#This Row],[Ulukhola to Vobanipur Transfer4]]+Stock_year[[#This Row],[New Arrival(ulukhola)4]]</f>
        <v>0</v>
      </c>
      <c r="BH60" s="32">
        <f>Stock_year[[#This Row],[Vobanipur Total4]]+Stock_year[[#This Row],[Ulukhola Total4]]</f>
        <v>0</v>
      </c>
      <c r="BI60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60" s="32">
        <f>Stock_year[[#This Row],[Vobanipur Total4]]-Stock_year[[#This Row],[Sold Qty(Piece)4]]</f>
        <v>0</v>
      </c>
      <c r="BK60" s="32">
        <f>Stock_year[[#This Row],[Ulukhola Total4]]</f>
        <v>0</v>
      </c>
      <c r="BL60" s="32">
        <f>VLOOKUP(Stock_year[[#This Row],[SKU ID]],SKU[],14,0)*(Stock_year[[#This Row],[Closing Stock Vobanipur4]]+Stock_year[[#This Row],[Closing Stock Ulukhola4]])</f>
        <v>0</v>
      </c>
      <c r="BM60" s="32">
        <f ca="1">Stock_year[[#This Row],[Closing Damage unit3]]</f>
        <v>49</v>
      </c>
      <c r="BN6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49</v>
      </c>
    </row>
    <row r="61" spans="1:66" x14ac:dyDescent="0.5">
      <c r="A61" t="s">
        <v>107</v>
      </c>
      <c r="B61" t="s">
        <v>820</v>
      </c>
      <c r="C61" s="329">
        <f>12153</f>
        <v>12153</v>
      </c>
      <c r="D61" s="322">
        <f>12960+40</f>
        <v>13000</v>
      </c>
      <c r="E61" s="3">
        <f>Stock_year[[#This Row],[Vobanipur Opening]]+Stock_year[[#This Row],[Ulukhola Opening]]</f>
        <v>25153</v>
      </c>
      <c r="F61" s="3">
        <f>VLOOKUP(Stock_year[[#This Row],[SKU ID]],SKU[[SKU ID]:[Bottle Size(Ltr)]],6,0)*Stock_year[[#This Row],[Opening Stock (Piece)]]</f>
        <v>2515.3000000000002</v>
      </c>
      <c r="G61" s="3">
        <v>0</v>
      </c>
      <c r="H61" s="3"/>
      <c r="I61" s="3"/>
      <c r="J61" s="3">
        <f>Stock_year[[#This Row],[Vobanipur Opening]]+Stock_year[[#This Row],[New Arrival (vobanipur)]]+Stock_year[[#This Row],[Ulukhola to Vobanipur Transfer]]</f>
        <v>12153</v>
      </c>
      <c r="K61" s="3">
        <f>Stock_year[[#This Row],[Ulukhola Opening]]+Stock_year[[#This Row],[New Arrival(ulukhola)]]-Stock_year[[#This Row],[Ulukhola to Vobanipur Transfer]]</f>
        <v>13000</v>
      </c>
      <c r="L61" s="3">
        <f>Stock_year[[#This Row],[Opening Stock (Piece)]]+Stock_year[[#This Row],[New Arrival(ulukhola)]]</f>
        <v>25153</v>
      </c>
      <c r="M61" s="3">
        <f>SUMIFS(Primary_Order[Total Qty],Primary_Order[Date],"&gt;="&amp;C$1,Primary_Order[Date],"&lt;="&amp;EOMONTH(C$1,0),Primary_Order[Product ID],Stock_year[[#This Row],[SKU ID]],Primary_Order[Status],'Stock Report'!$A$1)</f>
        <v>80</v>
      </c>
      <c r="N61" s="3">
        <f>Stock_year[[#This Row],[Vobanipur Total]]-Stock_year[[#This Row],[Sold Qty(Piece)]]</f>
        <v>12073</v>
      </c>
      <c r="O61" s="3">
        <f>Stock_year[[#This Row],[Ulukhola Opening]]-Stock_year[[#This Row],[Ulukhola to Vobanipur Transfer]]+Stock_year[[#This Row],[New Arrival(ulukhola)]]</f>
        <v>13000</v>
      </c>
      <c r="P61" s="3">
        <f>Stock_year[[#This Row],[Ulukhola Total]]</f>
        <v>13000</v>
      </c>
      <c r="Q61" s="3">
        <v>1</v>
      </c>
      <c r="R6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1</v>
      </c>
      <c r="S61" s="303">
        <f>Stock_year[[#This Row],[Closing Stock Vobanipur]]</f>
        <v>12073</v>
      </c>
      <c r="T61" s="303">
        <f>Stock_year[[#This Row],[Closing Stock Ulukhola]]</f>
        <v>13000</v>
      </c>
      <c r="U61" s="303">
        <f>Stock_year[[#This Row],[Vobanipur Opening2]]+Stock_year[[#This Row],[Ulukhola Opening2]]</f>
        <v>25073</v>
      </c>
      <c r="V61" s="303">
        <f>VLOOKUP(Stock_year[[#This Row],[SKU ID]],SKU[[SKU ID]:[Bottle Size(Ltr)]],6,0)*Stock_year[[#This Row],[Opening Stock (Piece)2]]</f>
        <v>2507.3000000000002</v>
      </c>
      <c r="W61" s="303">
        <v>13000</v>
      </c>
      <c r="X61" s="303"/>
      <c r="Y61" s="303"/>
      <c r="Z61" s="303">
        <f>Stock_year[[#This Row],[Vobanipur Opening2]]+Stock_year[[#This Row],[Ulukhola to Vobanipur Transfer2]]+Stock_year[[#This Row],[New Arrival (vobanipur)2]]</f>
        <v>25073</v>
      </c>
      <c r="AA61" s="303">
        <f>Stock_year[[#This Row],[Ulukhola Opening2]]-Stock_year[[#This Row],[Ulukhola to Vobanipur Transfer2]]+Stock_year[[#This Row],[New Arrival(ulukhola)2]]</f>
        <v>0</v>
      </c>
      <c r="AB61" s="303">
        <f>Stock_year[[#This Row],[Vobanipur Total2]]+Stock_year[[#This Row],[Ulukhola Total2]]</f>
        <v>25073</v>
      </c>
      <c r="AC61" s="303">
        <f>SUMIFS(Primary_Order[Total Qty],Primary_Order[Date],"&gt;="&amp;S$1,Primary_Order[Date],"&lt;="&amp;EOMONTH(S$1,0),Primary_Order[Product ID],Stock_year[[#This Row],[SKU ID]],Primary_Order[Status],'Stock Report'!$A$1)</f>
        <v>11840</v>
      </c>
      <c r="AD61" s="303">
        <f>Stock_year[[#This Row],[Vobanipur Total2]]-Stock_year[[#This Row],[Sold Qty(Piece)2]]</f>
        <v>13233</v>
      </c>
      <c r="AE61" s="303">
        <f>Stock_year[[#This Row],[Ulukhola Opening2]]-Stock_year[[#This Row],[Ulukhola to Vobanipur Transfer2]]+Stock_year[[#This Row],[New Arrival(ulukhola)2]]</f>
        <v>0</v>
      </c>
      <c r="AF61" s="303">
        <f>VLOOKUP(Stock_year[[#This Row],[SKU ID]],SKU[],14,0)*(Stock_year[[#This Row],[Closing Stock Vobanipur2]]+Stock_year[[#This Row],[Closing Stock Ulukhola2]])</f>
        <v>957407.54999999993</v>
      </c>
      <c r="AG61" s="303">
        <f ca="1">OFFSET(Stock_year[[#This Row],[Total Closing Stock Value2]],0,-14)</f>
        <v>1</v>
      </c>
      <c r="AH6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1</v>
      </c>
      <c r="AI61" s="302">
        <f>Stock_year[[#This Row],[Closing Stock Vobanipur2]]</f>
        <v>13233</v>
      </c>
      <c r="AJ61" s="303">
        <f>Stock_year[[#This Row],[Closing Stock Ulukhola2]]</f>
        <v>0</v>
      </c>
      <c r="AK61" s="303">
        <f>Stock_year[[#This Row],[Vobanipur Opening3]]+Stock_year[[#This Row],[Ulukhola Opening3]]</f>
        <v>13233</v>
      </c>
      <c r="AL61" s="303">
        <f>VLOOKUP(Stock_year[[#This Row],[SKU ID]],SKU[[SKU ID]:[Bottle Size(Ltr)]],6,0)*Stock_year[[#This Row],[Opening Stock (Piece)3]]</f>
        <v>1323.3000000000002</v>
      </c>
      <c r="AM61" s="303">
        <v>0</v>
      </c>
      <c r="AN61" s="303"/>
      <c r="AO61" s="303"/>
      <c r="AP61" s="303">
        <f>Stock_year[[#This Row],[Vobanipur Opening3]]+Stock_year[[#This Row],[New Arrival (vobanipur)3]]+Stock_year[[#This Row],[Ulukhola to Vobanipur Transfer3]]</f>
        <v>13233</v>
      </c>
      <c r="AQ61" s="303">
        <f>Stock_year[[#This Row],[Ulukhola Opening3]]-Stock_year[[#This Row],[Ulukhola to Vobanipur Transfer3]]+Stock_year[[#This Row],[New Arrival(ulukhola)3]]</f>
        <v>0</v>
      </c>
      <c r="AR61" s="303">
        <f>Stock_year[[#This Row],[Vobanipur Total3]]+Stock_year[[#This Row],[Ulukhola Total3]]</f>
        <v>13233</v>
      </c>
      <c r="AS61" s="303">
        <f>SUMIFS(Primary_Order[Total Qty],Primary_Order[Date],"&gt;="&amp;AI$1,Primary_Order[Date],"&lt;="&amp;EOMONTH(AI$1,0),Primary_Order[Product ID],Stock_year[[#This Row],[SKU ID]],Primary_Order[Status],'Stock Report'!$A$1)</f>
        <v>12154</v>
      </c>
      <c r="AT61" s="303">
        <f>Stock_year[[#This Row],[Vobanipur Total3]]-Stock_year[[#This Row],[Sold Qty(Piece)3]]</f>
        <v>1079</v>
      </c>
      <c r="AU61" s="303">
        <f>Stock_year[[#This Row],[Ulukhola Total3]]</f>
        <v>0</v>
      </c>
      <c r="AV61" s="303">
        <f>VLOOKUP(Stock_year[[#This Row],[SKU ID]],SKU[],14,0)*(Stock_year[[#This Row],[Closing Stock Vobanipur3]]+Stock_year[[#This Row],[Closing Stock Ulukhola3]])</f>
        <v>78065.649999999994</v>
      </c>
      <c r="AW61" s="303">
        <f ca="1">Stock_year[[#This Row],[Closing Damage unit2]]</f>
        <v>1</v>
      </c>
      <c r="AX6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1</v>
      </c>
      <c r="AY61" s="32">
        <f>Stock_year[[#This Row],[Closing Stock Vobanipur3]]</f>
        <v>1079</v>
      </c>
      <c r="AZ61" s="32">
        <f>Stock_year[[#This Row],[Closing Stock Ulukhola3]]</f>
        <v>0</v>
      </c>
      <c r="BA61" s="32">
        <f>Stock_year[[#This Row],[Vobanipur Opening4]]+Stock_year[[#This Row],[Ulukhola Opening4]]</f>
        <v>1079</v>
      </c>
      <c r="BB61" s="32">
        <f>VLOOKUP(Stock_year[[#This Row],[SKU ID]],SKU[[SKU ID]:[Bottle Size(Ltr)]],6,0)*Stock_year[[#This Row],[Opening Stock (Piece)4]]</f>
        <v>107.9</v>
      </c>
      <c r="BC61" s="32">
        <v>0</v>
      </c>
      <c r="BD61" s="32"/>
      <c r="BE61" s="32"/>
      <c r="BF61" s="32">
        <f>Stock_year[[#This Row],[Vobanipur Opening4]]+Stock_year[[#This Row],[New Arrival (vobanipur)4]]+Stock_year[[#This Row],[Ulukhola to Vobanipur Transfer4]]</f>
        <v>1079</v>
      </c>
      <c r="BG61" s="32">
        <f>Stock_year[[#This Row],[Ulukhola Opening4]]-Stock_year[[#This Row],[Ulukhola to Vobanipur Transfer4]]+Stock_year[[#This Row],[New Arrival(ulukhola)4]]</f>
        <v>0</v>
      </c>
      <c r="BH61" s="32">
        <f>Stock_year[[#This Row],[Vobanipur Total4]]+Stock_year[[#This Row],[Ulukhola Total4]]</f>
        <v>1079</v>
      </c>
      <c r="BI61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61" s="32">
        <f>Stock_year[[#This Row],[Vobanipur Total4]]-Stock_year[[#This Row],[Sold Qty(Piece)4]]</f>
        <v>1079</v>
      </c>
      <c r="BK61" s="32">
        <f>Stock_year[[#This Row],[Ulukhola Total4]]</f>
        <v>0</v>
      </c>
      <c r="BL61" s="32">
        <f>VLOOKUP(Stock_year[[#This Row],[SKU ID]],SKU[],14,0)*(Stock_year[[#This Row],[Closing Stock Vobanipur4]]+Stock_year[[#This Row],[Closing Stock Ulukhola4]])</f>
        <v>78065.649999999994</v>
      </c>
      <c r="BM61" s="32">
        <f ca="1">Stock_year[[#This Row],[Closing Damage unit3]]</f>
        <v>1</v>
      </c>
      <c r="BN6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1</v>
      </c>
    </row>
    <row r="62" spans="1:66" x14ac:dyDescent="0.5">
      <c r="A62" t="s">
        <v>105</v>
      </c>
      <c r="B62" t="s">
        <v>821</v>
      </c>
      <c r="C62" s="329">
        <v>8356</v>
      </c>
      <c r="D62" s="3">
        <v>0</v>
      </c>
      <c r="E62" s="3">
        <f>Stock_year[[#This Row],[Vobanipur Opening]]+Stock_year[[#This Row],[Ulukhola Opening]]</f>
        <v>8356</v>
      </c>
      <c r="F62" s="3">
        <f>VLOOKUP(Stock_year[[#This Row],[SKU ID]],SKU[[SKU ID]:[Bottle Size(Ltr)]],6,0)*Stock_year[[#This Row],[Opening Stock (Piece)]]</f>
        <v>417.8</v>
      </c>
      <c r="G62" s="3">
        <v>0</v>
      </c>
      <c r="H62" s="3"/>
      <c r="I62" s="3"/>
      <c r="J62" s="3">
        <f>Stock_year[[#This Row],[Vobanipur Opening]]+Stock_year[[#This Row],[New Arrival (vobanipur)]]+Stock_year[[#This Row],[Ulukhola to Vobanipur Transfer]]</f>
        <v>8356</v>
      </c>
      <c r="K62" s="3">
        <f>Stock_year[[#This Row],[Ulukhola Opening]]+Stock_year[[#This Row],[New Arrival(ulukhola)]]-Stock_year[[#This Row],[Ulukhola to Vobanipur Transfer]]</f>
        <v>0</v>
      </c>
      <c r="L62" s="3">
        <f>Stock_year[[#This Row],[Opening Stock (Piece)]]+Stock_year[[#This Row],[New Arrival(ulukhola)]]</f>
        <v>8356</v>
      </c>
      <c r="M62" s="3">
        <f>SUMIFS(Primary_Order[Total Qty],Primary_Order[Date],"&gt;="&amp;C$1,Primary_Order[Date],"&lt;="&amp;EOMONTH(C$1,0),Primary_Order[Product ID],Stock_year[[#This Row],[SKU ID]],Primary_Order[Status],'Stock Report'!$A$1)</f>
        <v>480</v>
      </c>
      <c r="N62" s="3">
        <f>Stock_year[[#This Row],[Vobanipur Total]]-Stock_year[[#This Row],[Sold Qty(Piece)]]</f>
        <v>7876</v>
      </c>
      <c r="O62" s="3">
        <f>Stock_year[[#This Row],[Ulukhola Opening]]-Stock_year[[#This Row],[Ulukhola to Vobanipur Transfer]]+Stock_year[[#This Row],[New Arrival(ulukhola)]]</f>
        <v>0</v>
      </c>
      <c r="P62" s="3">
        <f>Stock_year[[#This Row],[Ulukhola Total]]</f>
        <v>0</v>
      </c>
      <c r="Q62" s="3">
        <v>0</v>
      </c>
      <c r="R6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62" s="303">
        <f>Stock_year[[#This Row],[Closing Stock Vobanipur]]</f>
        <v>7876</v>
      </c>
      <c r="T62" s="303">
        <f>Stock_year[[#This Row],[Closing Stock Ulukhola]]</f>
        <v>0</v>
      </c>
      <c r="U62" s="303">
        <f>Stock_year[[#This Row],[Vobanipur Opening2]]+Stock_year[[#This Row],[Ulukhola Opening2]]</f>
        <v>7876</v>
      </c>
      <c r="V62" s="303">
        <f>VLOOKUP(Stock_year[[#This Row],[SKU ID]],SKU[[SKU ID]:[Bottle Size(Ltr)]],6,0)*Stock_year[[#This Row],[Opening Stock (Piece)2]]</f>
        <v>393.8</v>
      </c>
      <c r="W62" s="303">
        <v>0</v>
      </c>
      <c r="X62" s="303"/>
      <c r="Y62" s="303"/>
      <c r="Z62" s="303">
        <f>Stock_year[[#This Row],[Vobanipur Opening2]]+Stock_year[[#This Row],[Ulukhola to Vobanipur Transfer2]]+Stock_year[[#This Row],[New Arrival (vobanipur)2]]</f>
        <v>7876</v>
      </c>
      <c r="AA62" s="303">
        <f>Stock_year[[#This Row],[Ulukhola Opening2]]-Stock_year[[#This Row],[Ulukhola to Vobanipur Transfer2]]+Stock_year[[#This Row],[New Arrival(ulukhola)2]]</f>
        <v>0</v>
      </c>
      <c r="AB62" s="303">
        <f>Stock_year[[#This Row],[Vobanipur Total2]]+Stock_year[[#This Row],[Ulukhola Total2]]</f>
        <v>7876</v>
      </c>
      <c r="AC62" s="303">
        <f>SUMIFS(Primary_Order[Total Qty],Primary_Order[Date],"&gt;="&amp;S$1,Primary_Order[Date],"&lt;="&amp;EOMONTH(S$1,0),Primary_Order[Product ID],Stock_year[[#This Row],[SKU ID]],Primary_Order[Status],'Stock Report'!$A$1)</f>
        <v>7876</v>
      </c>
      <c r="AD62" s="303">
        <f>Stock_year[[#This Row],[Vobanipur Total2]]-Stock_year[[#This Row],[Sold Qty(Piece)2]]</f>
        <v>0</v>
      </c>
      <c r="AE62" s="303">
        <f>Stock_year[[#This Row],[Ulukhola Opening2]]-Stock_year[[#This Row],[Ulukhola to Vobanipur Transfer2]]+Stock_year[[#This Row],[New Arrival(ulukhola)2]]</f>
        <v>0</v>
      </c>
      <c r="AF62" s="303">
        <f>VLOOKUP(Stock_year[[#This Row],[SKU ID]],SKU[],14,0)*(Stock_year[[#This Row],[Closing Stock Vobanipur2]]+Stock_year[[#This Row],[Closing Stock Ulukhola2]])</f>
        <v>0</v>
      </c>
      <c r="AG62" s="303">
        <f ca="1">OFFSET(Stock_year[[#This Row],[Total Closing Stock Value2]],0,-14)</f>
        <v>0</v>
      </c>
      <c r="AH62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62" s="302">
        <f>Stock_year[[#This Row],[Closing Stock Vobanipur2]]</f>
        <v>0</v>
      </c>
      <c r="AJ62" s="303">
        <f>Stock_year[[#This Row],[Closing Stock Ulukhola2]]</f>
        <v>0</v>
      </c>
      <c r="AK62" s="303">
        <f>Stock_year[[#This Row],[Vobanipur Opening3]]+Stock_year[[#This Row],[Ulukhola Opening3]]</f>
        <v>0</v>
      </c>
      <c r="AL62" s="303">
        <f>VLOOKUP(Stock_year[[#This Row],[SKU ID]],SKU[[SKU ID]:[Bottle Size(Ltr)]],6,0)*Stock_year[[#This Row],[Opening Stock (Piece)3]]</f>
        <v>0</v>
      </c>
      <c r="AM62" s="303">
        <v>0</v>
      </c>
      <c r="AN62" s="303"/>
      <c r="AO62" s="303"/>
      <c r="AP62" s="303">
        <f>Stock_year[[#This Row],[Vobanipur Opening3]]+Stock_year[[#This Row],[New Arrival (vobanipur)3]]+Stock_year[[#This Row],[Ulukhola to Vobanipur Transfer3]]</f>
        <v>0</v>
      </c>
      <c r="AQ62" s="303">
        <f>Stock_year[[#This Row],[Ulukhola Opening3]]-Stock_year[[#This Row],[Ulukhola to Vobanipur Transfer3]]+Stock_year[[#This Row],[New Arrival(ulukhola)3]]</f>
        <v>0</v>
      </c>
      <c r="AR62" s="303">
        <f>Stock_year[[#This Row],[Vobanipur Total3]]+Stock_year[[#This Row],[Ulukhola Total3]]</f>
        <v>0</v>
      </c>
      <c r="AS62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62" s="303">
        <f>Stock_year[[#This Row],[Vobanipur Total3]]-Stock_year[[#This Row],[Sold Qty(Piece)3]]</f>
        <v>0</v>
      </c>
      <c r="AU62" s="303">
        <f>Stock_year[[#This Row],[Ulukhola Total3]]</f>
        <v>0</v>
      </c>
      <c r="AV62" s="303">
        <f>VLOOKUP(Stock_year[[#This Row],[SKU ID]],SKU[],14,0)*(Stock_year[[#This Row],[Closing Stock Vobanipur3]]+Stock_year[[#This Row],[Closing Stock Ulukhola3]])</f>
        <v>0</v>
      </c>
      <c r="AW62" s="303">
        <f ca="1">Stock_year[[#This Row],[Closing Damage unit2]]</f>
        <v>0</v>
      </c>
      <c r="AX62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62" s="32">
        <f>Stock_year[[#This Row],[Closing Stock Vobanipur3]]</f>
        <v>0</v>
      </c>
      <c r="AZ62" s="32">
        <f>Stock_year[[#This Row],[Closing Stock Ulukhola3]]</f>
        <v>0</v>
      </c>
      <c r="BA62" s="32">
        <f>Stock_year[[#This Row],[Vobanipur Opening4]]+Stock_year[[#This Row],[Ulukhola Opening4]]</f>
        <v>0</v>
      </c>
      <c r="BB62" s="32">
        <f>VLOOKUP(Stock_year[[#This Row],[SKU ID]],SKU[[SKU ID]:[Bottle Size(Ltr)]],6,0)*Stock_year[[#This Row],[Opening Stock (Piece)4]]</f>
        <v>0</v>
      </c>
      <c r="BC62" s="32">
        <v>0</v>
      </c>
      <c r="BD62" s="32"/>
      <c r="BE62" s="32"/>
      <c r="BF62" s="32">
        <f>Stock_year[[#This Row],[Vobanipur Opening4]]+Stock_year[[#This Row],[New Arrival (vobanipur)4]]+Stock_year[[#This Row],[Ulukhola to Vobanipur Transfer4]]</f>
        <v>0</v>
      </c>
      <c r="BG62" s="32">
        <f>Stock_year[[#This Row],[Ulukhola Opening4]]-Stock_year[[#This Row],[Ulukhola to Vobanipur Transfer4]]+Stock_year[[#This Row],[New Arrival(ulukhola)4]]</f>
        <v>0</v>
      </c>
      <c r="BH62" s="32">
        <f>Stock_year[[#This Row],[Vobanipur Total4]]+Stock_year[[#This Row],[Ulukhola Total4]]</f>
        <v>0</v>
      </c>
      <c r="BI62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62" s="32">
        <f>Stock_year[[#This Row],[Vobanipur Total4]]-Stock_year[[#This Row],[Sold Qty(Piece)4]]</f>
        <v>0</v>
      </c>
      <c r="BK62" s="32">
        <f>Stock_year[[#This Row],[Ulukhola Total4]]</f>
        <v>0</v>
      </c>
      <c r="BL62" s="32">
        <f>VLOOKUP(Stock_year[[#This Row],[SKU ID]],SKU[],14,0)*(Stock_year[[#This Row],[Closing Stock Vobanipur4]]+Stock_year[[#This Row],[Closing Stock Ulukhola4]])</f>
        <v>0</v>
      </c>
      <c r="BM62" s="32">
        <f ca="1">Stock_year[[#This Row],[Closing Damage unit3]]</f>
        <v>0</v>
      </c>
      <c r="BN6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63" spans="1:66" x14ac:dyDescent="0.5">
      <c r="A63" t="s">
        <v>81</v>
      </c>
      <c r="B63" t="s">
        <v>822</v>
      </c>
      <c r="C63" s="329">
        <f>5691+6000</f>
        <v>11691</v>
      </c>
      <c r="D63" s="3">
        <f>52420-6000-5000</f>
        <v>41420</v>
      </c>
      <c r="E63" s="3">
        <f>Stock_year[[#This Row],[Vobanipur Opening]]+Stock_year[[#This Row],[Ulukhola Opening]]</f>
        <v>53111</v>
      </c>
      <c r="F63" s="3">
        <f>VLOOKUP(Stock_year[[#This Row],[SKU ID]],SKU[[SKU ID]:[Bottle Size(Ltr)]],6,0)*Stock_year[[#This Row],[Opening Stock (Piece)]]</f>
        <v>53111</v>
      </c>
      <c r="G63" s="3">
        <v>20</v>
      </c>
      <c r="H63" s="3"/>
      <c r="I63" s="3"/>
      <c r="J63" s="3">
        <f>Stock_year[[#This Row],[Vobanipur Opening]]+Stock_year[[#This Row],[New Arrival (vobanipur)]]+Stock_year[[#This Row],[Ulukhola to Vobanipur Transfer]]</f>
        <v>11711</v>
      </c>
      <c r="K63" s="3">
        <f>Stock_year[[#This Row],[Ulukhola Opening]]+Stock_year[[#This Row],[New Arrival(ulukhola)]]-Stock_year[[#This Row],[Ulukhola to Vobanipur Transfer]]</f>
        <v>41400</v>
      </c>
      <c r="L63" s="3">
        <f>Stock_year[[#This Row],[Opening Stock (Piece)]]+Stock_year[[#This Row],[New Arrival(ulukhola)]]</f>
        <v>53111</v>
      </c>
      <c r="M63" s="3">
        <f>SUMIFS(Primary_Order[Total Qty],Primary_Order[Date],"&gt;="&amp;C$1,Primary_Order[Date],"&lt;="&amp;EOMONTH(C$1,0),Primary_Order[Product ID],Stock_year[[#This Row],[SKU ID]],Primary_Order[Status],'Stock Report'!$A$1)</f>
        <v>3820</v>
      </c>
      <c r="N63" s="3">
        <f>Stock_year[[#This Row],[Vobanipur Total]]-Stock_year[[#This Row],[Sold Qty(Piece)]]</f>
        <v>7891</v>
      </c>
      <c r="O63" s="3">
        <f>Stock_year[[#This Row],[Ulukhola Opening]]-Stock_year[[#This Row],[Ulukhola to Vobanipur Transfer]]+Stock_year[[#This Row],[New Arrival(ulukhola)]]</f>
        <v>41400</v>
      </c>
      <c r="P63" s="3">
        <f>Stock_year[[#This Row],[Ulukhola Total]]</f>
        <v>41400</v>
      </c>
      <c r="Q63" s="3">
        <f>3+5000</f>
        <v>5003</v>
      </c>
      <c r="R63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5003</v>
      </c>
      <c r="S63" s="303">
        <f>Stock_year[[#This Row],[Closing Stock Vobanipur]]</f>
        <v>7891</v>
      </c>
      <c r="T63" s="303">
        <f>Stock_year[[#This Row],[Closing Stock Ulukhola]]</f>
        <v>41400</v>
      </c>
      <c r="U63" s="303">
        <f>Stock_year[[#This Row],[Vobanipur Opening2]]+Stock_year[[#This Row],[Ulukhola Opening2]]</f>
        <v>49291</v>
      </c>
      <c r="V63" s="303">
        <f>VLOOKUP(Stock_year[[#This Row],[SKU ID]],SKU[[SKU ID]:[Bottle Size(Ltr)]],6,0)*Stock_year[[#This Row],[Opening Stock (Piece)2]]</f>
        <v>49291</v>
      </c>
      <c r="W63" s="303">
        <v>10000</v>
      </c>
      <c r="X63" s="303"/>
      <c r="Y63" s="303"/>
      <c r="Z63" s="303">
        <f>Stock_year[[#This Row],[Vobanipur Opening2]]+Stock_year[[#This Row],[Ulukhola to Vobanipur Transfer2]]+Stock_year[[#This Row],[New Arrival (vobanipur)2]]</f>
        <v>17891</v>
      </c>
      <c r="AA63" s="303">
        <f>Stock_year[[#This Row],[Ulukhola Opening2]]-Stock_year[[#This Row],[Ulukhola to Vobanipur Transfer2]]+Stock_year[[#This Row],[New Arrival(ulukhola)2]]</f>
        <v>31400</v>
      </c>
      <c r="AB63" s="303">
        <f>Stock_year[[#This Row],[Vobanipur Total2]]+Stock_year[[#This Row],[Ulukhola Total2]]</f>
        <v>49291</v>
      </c>
      <c r="AC63" s="303">
        <f>SUMIFS(Primary_Order[Total Qty],Primary_Order[Date],"&gt;="&amp;S$1,Primary_Order[Date],"&lt;="&amp;EOMONTH(S$1,0),Primary_Order[Product ID],Stock_year[[#This Row],[SKU ID]],Primary_Order[Status],'Stock Report'!$A$1)</f>
        <v>3322</v>
      </c>
      <c r="AD63" s="303">
        <f>Stock_year[[#This Row],[Vobanipur Total2]]-Stock_year[[#This Row],[Sold Qty(Piece)2]]</f>
        <v>14569</v>
      </c>
      <c r="AE63" s="303">
        <f>Stock_year[[#This Row],[Ulukhola Opening2]]-Stock_year[[#This Row],[Ulukhola to Vobanipur Transfer2]]+Stock_year[[#This Row],[New Arrival(ulukhola)2]]</f>
        <v>31400</v>
      </c>
      <c r="AF63" s="303">
        <f>VLOOKUP(Stock_year[[#This Row],[SKU ID]],SKU[],14,0)*(Stock_year[[#This Row],[Closing Stock Vobanipur2]]+Stock_year[[#This Row],[Closing Stock Ulukhola2]])</f>
        <v>16775007.48</v>
      </c>
      <c r="AG63" s="303">
        <f ca="1">OFFSET(Stock_year[[#This Row],[Total Closing Stock Value2]],0,-14)</f>
        <v>5003</v>
      </c>
      <c r="AH63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5003</v>
      </c>
      <c r="AI63" s="302">
        <f>Stock_year[[#This Row],[Closing Stock Vobanipur2]]</f>
        <v>14569</v>
      </c>
      <c r="AJ63" s="303">
        <f>Stock_year[[#This Row],[Closing Stock Ulukhola2]]</f>
        <v>31400</v>
      </c>
      <c r="AK63" s="303">
        <f>Stock_year[[#This Row],[Vobanipur Opening3]]+Stock_year[[#This Row],[Ulukhola Opening3]]</f>
        <v>45969</v>
      </c>
      <c r="AL63" s="303">
        <f>VLOOKUP(Stock_year[[#This Row],[SKU ID]],SKU[[SKU ID]:[Bottle Size(Ltr)]],6,0)*Stock_year[[#This Row],[Opening Stock (Piece)3]]</f>
        <v>45969</v>
      </c>
      <c r="AM63" s="303">
        <v>0</v>
      </c>
      <c r="AN63" s="303"/>
      <c r="AO63" s="303"/>
      <c r="AP63" s="303">
        <f>Stock_year[[#This Row],[Vobanipur Opening3]]+Stock_year[[#This Row],[New Arrival (vobanipur)3]]+Stock_year[[#This Row],[Ulukhola to Vobanipur Transfer3]]</f>
        <v>14569</v>
      </c>
      <c r="AQ63" s="303">
        <f>Stock_year[[#This Row],[Ulukhola Opening3]]-Stock_year[[#This Row],[Ulukhola to Vobanipur Transfer3]]+Stock_year[[#This Row],[New Arrival(ulukhola)3]]</f>
        <v>31400</v>
      </c>
      <c r="AR63" s="303">
        <f>Stock_year[[#This Row],[Vobanipur Total3]]+Stock_year[[#This Row],[Ulukhola Total3]]</f>
        <v>45969</v>
      </c>
      <c r="AS63" s="303">
        <f>SUMIFS(Primary_Order[Total Qty],Primary_Order[Date],"&gt;="&amp;AI$1,Primary_Order[Date],"&lt;="&amp;EOMONTH(AI$1,0),Primary_Order[Product ID],Stock_year[[#This Row],[SKU ID]],Primary_Order[Status],'Stock Report'!$A$1)</f>
        <v>8080</v>
      </c>
      <c r="AT63" s="303">
        <f>Stock_year[[#This Row],[Vobanipur Total3]]-Stock_year[[#This Row],[Sold Qty(Piece)3]]</f>
        <v>6489</v>
      </c>
      <c r="AU63" s="303">
        <f>Stock_year[[#This Row],[Ulukhola Total3]]</f>
        <v>31400</v>
      </c>
      <c r="AV63" s="303">
        <f>VLOOKUP(Stock_year[[#This Row],[SKU ID]],SKU[],14,0)*(Stock_year[[#This Row],[Closing Stock Vobanipur3]]+Stock_year[[#This Row],[Closing Stock Ulukhola3]])</f>
        <v>13826453.880000001</v>
      </c>
      <c r="AW63" s="303">
        <f ca="1">Stock_year[[#This Row],[Closing Damage unit2]]</f>
        <v>5003</v>
      </c>
      <c r="AX63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5003</v>
      </c>
      <c r="AY63" s="32">
        <f>Stock_year[[#This Row],[Closing Stock Vobanipur3]]</f>
        <v>6489</v>
      </c>
      <c r="AZ63" s="32">
        <f>Stock_year[[#This Row],[Closing Stock Ulukhola3]]</f>
        <v>31400</v>
      </c>
      <c r="BA63" s="32">
        <f>Stock_year[[#This Row],[Vobanipur Opening4]]+Stock_year[[#This Row],[Ulukhola Opening4]]</f>
        <v>37889</v>
      </c>
      <c r="BB63" s="32">
        <f>VLOOKUP(Stock_year[[#This Row],[SKU ID]],SKU[[SKU ID]:[Bottle Size(Ltr)]],6,0)*Stock_year[[#This Row],[Opening Stock (Piece)4]]</f>
        <v>37889</v>
      </c>
      <c r="BC63" s="32">
        <v>260</v>
      </c>
      <c r="BD63" s="32"/>
      <c r="BE63" s="32"/>
      <c r="BF63" s="32">
        <f>Stock_year[[#This Row],[Vobanipur Opening4]]+Stock_year[[#This Row],[New Arrival (vobanipur)4]]+Stock_year[[#This Row],[Ulukhola to Vobanipur Transfer4]]</f>
        <v>6749</v>
      </c>
      <c r="BG63" s="32">
        <f>Stock_year[[#This Row],[Ulukhola Opening4]]-Stock_year[[#This Row],[Ulukhola to Vobanipur Transfer4]]+Stock_year[[#This Row],[New Arrival(ulukhola)4]]</f>
        <v>31140</v>
      </c>
      <c r="BH63" s="32">
        <f>Stock_year[[#This Row],[Vobanipur Total4]]+Stock_year[[#This Row],[Ulukhola Total4]]</f>
        <v>37889</v>
      </c>
      <c r="BI63" s="32">
        <f>SUMIFS(Primary_Order[Total Qty],Primary_Order[Date],"&gt;="&amp;AY$1,Primary_Order[Date],"&lt;="&amp;EOMONTH(AY$1,0),Primary_Order[Product ID],Stock_year[[#This Row],[SKU ID]],Primary_Order[Status],'Stock Report'!$A$1)</f>
        <v>5020</v>
      </c>
      <c r="BJ63" s="32">
        <f>Stock_year[[#This Row],[Vobanipur Total4]]-Stock_year[[#This Row],[Sold Qty(Piece)4]]</f>
        <v>1729</v>
      </c>
      <c r="BK63" s="32">
        <f>Stock_year[[#This Row],[Ulukhola Total4]]</f>
        <v>31140</v>
      </c>
      <c r="BL63" s="32">
        <f>VLOOKUP(Stock_year[[#This Row],[SKU ID]],SKU[],14,0)*(Stock_year[[#This Row],[Closing Stock Vobanipur4]]+Stock_year[[#This Row],[Closing Stock Ulukhola4]])</f>
        <v>11994555.48</v>
      </c>
      <c r="BM63" s="32">
        <f ca="1">Stock_year[[#This Row],[Closing Damage unit3]]</f>
        <v>5003</v>
      </c>
      <c r="BN63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5003</v>
      </c>
    </row>
    <row r="64" spans="1:66" x14ac:dyDescent="0.5">
      <c r="A64" t="s">
        <v>99</v>
      </c>
      <c r="B64" t="s">
        <v>823</v>
      </c>
      <c r="C64" s="329">
        <v>8904</v>
      </c>
      <c r="D64" s="3">
        <f>3640-2000</f>
        <v>1640</v>
      </c>
      <c r="E64" s="3">
        <f>Stock_year[[#This Row],[Vobanipur Opening]]+Stock_year[[#This Row],[Ulukhola Opening]]</f>
        <v>10544</v>
      </c>
      <c r="F64" s="3">
        <f>VLOOKUP(Stock_year[[#This Row],[SKU ID]],SKU[[SKU ID]:[Bottle Size(Ltr)]],6,0)*Stock_year[[#This Row],[Opening Stock (Piece)]]</f>
        <v>12652.8</v>
      </c>
      <c r="G64" s="3">
        <v>0</v>
      </c>
      <c r="H64" s="3"/>
      <c r="I64" s="3"/>
      <c r="J64" s="3">
        <f>Stock_year[[#This Row],[Vobanipur Opening]]+Stock_year[[#This Row],[New Arrival (vobanipur)]]+Stock_year[[#This Row],[Ulukhola to Vobanipur Transfer]]</f>
        <v>8904</v>
      </c>
      <c r="K64" s="3">
        <f>Stock_year[[#This Row],[Ulukhola Opening]]+Stock_year[[#This Row],[New Arrival(ulukhola)]]-Stock_year[[#This Row],[Ulukhola to Vobanipur Transfer]]</f>
        <v>1640</v>
      </c>
      <c r="L64" s="3">
        <f>Stock_year[[#This Row],[Opening Stock (Piece)]]+Stock_year[[#This Row],[New Arrival(ulukhola)]]</f>
        <v>10544</v>
      </c>
      <c r="M64" s="3">
        <f>SUMIFS(Primary_Order[Total Qty],Primary_Order[Date],"&gt;="&amp;C$1,Primary_Order[Date],"&lt;="&amp;EOMONTH(C$1,0),Primary_Order[Product ID],Stock_year[[#This Row],[SKU ID]],Primary_Order[Status],'Stock Report'!$A$1)</f>
        <v>1320</v>
      </c>
      <c r="N64" s="3">
        <f>Stock_year[[#This Row],[Vobanipur Total]]-Stock_year[[#This Row],[Sold Qty(Piece)]]</f>
        <v>7584</v>
      </c>
      <c r="O64" s="3">
        <f>Stock_year[[#This Row],[Ulukhola Opening]]-Stock_year[[#This Row],[Ulukhola to Vobanipur Transfer]]+Stock_year[[#This Row],[New Arrival(ulukhola)]]</f>
        <v>1640</v>
      </c>
      <c r="P64" s="3">
        <f>Stock_year[[#This Row],[Ulukhola Total]]</f>
        <v>1640</v>
      </c>
      <c r="Q64" s="3">
        <f>4+2000</f>
        <v>2004</v>
      </c>
      <c r="R64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2004</v>
      </c>
      <c r="S64" s="303">
        <f>Stock_year[[#This Row],[Closing Stock Vobanipur]]</f>
        <v>7584</v>
      </c>
      <c r="T64" s="303">
        <f>Stock_year[[#This Row],[Closing Stock Ulukhola]]</f>
        <v>1640</v>
      </c>
      <c r="U64" s="303">
        <f>Stock_year[[#This Row],[Vobanipur Opening2]]+Stock_year[[#This Row],[Ulukhola Opening2]]</f>
        <v>9224</v>
      </c>
      <c r="V64" s="303">
        <f>VLOOKUP(Stock_year[[#This Row],[SKU ID]],SKU[[SKU ID]:[Bottle Size(Ltr)]],6,0)*Stock_year[[#This Row],[Opening Stock (Piece)2]]</f>
        <v>11068.8</v>
      </c>
      <c r="W64" s="303">
        <v>40</v>
      </c>
      <c r="X64" s="303"/>
      <c r="Y64" s="303"/>
      <c r="Z64" s="303">
        <f>Stock_year[[#This Row],[Vobanipur Opening2]]+Stock_year[[#This Row],[Ulukhola to Vobanipur Transfer2]]+Stock_year[[#This Row],[New Arrival (vobanipur)2]]</f>
        <v>7624</v>
      </c>
      <c r="AA64" s="303">
        <f>Stock_year[[#This Row],[Ulukhola Opening2]]-Stock_year[[#This Row],[Ulukhola to Vobanipur Transfer2]]+Stock_year[[#This Row],[New Arrival(ulukhola)2]]</f>
        <v>1600</v>
      </c>
      <c r="AB64" s="303">
        <f>Stock_year[[#This Row],[Vobanipur Total2]]+Stock_year[[#This Row],[Ulukhola Total2]]</f>
        <v>9224</v>
      </c>
      <c r="AC64" s="303">
        <f>SUMIFS(Primary_Order[Total Qty],Primary_Order[Date],"&gt;="&amp;S$1,Primary_Order[Date],"&lt;="&amp;EOMONTH(S$1,0),Primary_Order[Product ID],Stock_year[[#This Row],[SKU ID]],Primary_Order[Status],'Stock Report'!$A$1)</f>
        <v>360</v>
      </c>
      <c r="AD64" s="303">
        <f>Stock_year[[#This Row],[Vobanipur Total2]]-Stock_year[[#This Row],[Sold Qty(Piece)2]]</f>
        <v>7264</v>
      </c>
      <c r="AE64" s="303">
        <f>Stock_year[[#This Row],[Ulukhola Opening2]]-Stock_year[[#This Row],[Ulukhola to Vobanipur Transfer2]]+Stock_year[[#This Row],[New Arrival(ulukhola)2]]</f>
        <v>1600</v>
      </c>
      <c r="AF64" s="303">
        <f>VLOOKUP(Stock_year[[#This Row],[SKU ID]],SKU[],14,0)*(Stock_year[[#This Row],[Closing Stock Vobanipur2]]+Stock_year[[#This Row],[Closing Stock Ulukhola2]])</f>
        <v>3852383.04</v>
      </c>
      <c r="AG64" s="303">
        <f ca="1">OFFSET(Stock_year[[#This Row],[Total Closing Stock Value2]],0,-14)</f>
        <v>2004</v>
      </c>
      <c r="AH64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2004</v>
      </c>
      <c r="AI64" s="302">
        <f>Stock_year[[#This Row],[Closing Stock Vobanipur2]]</f>
        <v>7264</v>
      </c>
      <c r="AJ64" s="303">
        <f>Stock_year[[#This Row],[Closing Stock Ulukhola2]]</f>
        <v>1600</v>
      </c>
      <c r="AK64" s="303">
        <f>Stock_year[[#This Row],[Vobanipur Opening3]]+Stock_year[[#This Row],[Ulukhola Opening3]]</f>
        <v>8864</v>
      </c>
      <c r="AL64" s="303">
        <f>VLOOKUP(Stock_year[[#This Row],[SKU ID]],SKU[[SKU ID]:[Bottle Size(Ltr)]],6,0)*Stock_year[[#This Row],[Opening Stock (Piece)3]]</f>
        <v>10636.8</v>
      </c>
      <c r="AM64" s="303">
        <v>0</v>
      </c>
      <c r="AN64" s="303"/>
      <c r="AO64" s="303"/>
      <c r="AP64" s="303">
        <f>Stock_year[[#This Row],[Vobanipur Opening3]]+Stock_year[[#This Row],[New Arrival (vobanipur)3]]+Stock_year[[#This Row],[Ulukhola to Vobanipur Transfer3]]</f>
        <v>7264</v>
      </c>
      <c r="AQ64" s="303">
        <f>Stock_year[[#This Row],[Ulukhola Opening3]]-Stock_year[[#This Row],[Ulukhola to Vobanipur Transfer3]]+Stock_year[[#This Row],[New Arrival(ulukhola)3]]</f>
        <v>1600</v>
      </c>
      <c r="AR64" s="303">
        <f>Stock_year[[#This Row],[Vobanipur Total3]]+Stock_year[[#This Row],[Ulukhola Total3]]</f>
        <v>8864</v>
      </c>
      <c r="AS64" s="303">
        <f>SUMIFS(Primary_Order[Total Qty],Primary_Order[Date],"&gt;="&amp;AI$1,Primary_Order[Date],"&lt;="&amp;EOMONTH(AI$1,0),Primary_Order[Product ID],Stock_year[[#This Row],[SKU ID]],Primary_Order[Status],'Stock Report'!$A$1)</f>
        <v>180</v>
      </c>
      <c r="AT64" s="303">
        <f>Stock_year[[#This Row],[Vobanipur Total3]]-Stock_year[[#This Row],[Sold Qty(Piece)3]]</f>
        <v>7084</v>
      </c>
      <c r="AU64" s="303">
        <f>Stock_year[[#This Row],[Ulukhola Total3]]</f>
        <v>1600</v>
      </c>
      <c r="AV64" s="303">
        <f>VLOOKUP(Stock_year[[#This Row],[SKU ID]],SKU[],14,0)*(Stock_year[[#This Row],[Closing Stock Vobanipur3]]+Stock_year[[#This Row],[Closing Stock Ulukhola3]])</f>
        <v>3774153.24</v>
      </c>
      <c r="AW64" s="303">
        <f ca="1">Stock_year[[#This Row],[Closing Damage unit2]]</f>
        <v>2004</v>
      </c>
      <c r="AX64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2004</v>
      </c>
      <c r="AY64" s="32">
        <f>Stock_year[[#This Row],[Closing Stock Vobanipur3]]</f>
        <v>7084</v>
      </c>
      <c r="AZ64" s="32">
        <f>Stock_year[[#This Row],[Closing Stock Ulukhola3]]</f>
        <v>1600</v>
      </c>
      <c r="BA64" s="32">
        <f>Stock_year[[#This Row],[Vobanipur Opening4]]+Stock_year[[#This Row],[Ulukhola Opening4]]</f>
        <v>8684</v>
      </c>
      <c r="BB64" s="32">
        <f>VLOOKUP(Stock_year[[#This Row],[SKU ID]],SKU[[SKU ID]:[Bottle Size(Ltr)]],6,0)*Stock_year[[#This Row],[Opening Stock (Piece)4]]</f>
        <v>10420.799999999999</v>
      </c>
      <c r="BC64" s="32">
        <v>0</v>
      </c>
      <c r="BD64" s="32"/>
      <c r="BE64" s="32"/>
      <c r="BF64" s="32">
        <f>Stock_year[[#This Row],[Vobanipur Opening4]]+Stock_year[[#This Row],[New Arrival (vobanipur)4]]+Stock_year[[#This Row],[Ulukhola to Vobanipur Transfer4]]</f>
        <v>7084</v>
      </c>
      <c r="BG64" s="32">
        <f>Stock_year[[#This Row],[Ulukhola Opening4]]-Stock_year[[#This Row],[Ulukhola to Vobanipur Transfer4]]+Stock_year[[#This Row],[New Arrival(ulukhola)4]]</f>
        <v>1600</v>
      </c>
      <c r="BH64" s="32">
        <f>Stock_year[[#This Row],[Vobanipur Total4]]+Stock_year[[#This Row],[Ulukhola Total4]]</f>
        <v>8684</v>
      </c>
      <c r="BI64" s="32">
        <f>SUMIFS(Primary_Order[Total Qty],Primary_Order[Date],"&gt;="&amp;AY$1,Primary_Order[Date],"&lt;="&amp;EOMONTH(AY$1,0),Primary_Order[Product ID],Stock_year[[#This Row],[SKU ID]],Primary_Order[Status],'Stock Report'!$A$1)</f>
        <v>221</v>
      </c>
      <c r="BJ64" s="32">
        <f>Stock_year[[#This Row],[Vobanipur Total4]]-Stock_year[[#This Row],[Sold Qty(Piece)4]]</f>
        <v>6863</v>
      </c>
      <c r="BK64" s="32">
        <f>Stock_year[[#This Row],[Ulukhola Total4]]</f>
        <v>1600</v>
      </c>
      <c r="BL64" s="32">
        <f>VLOOKUP(Stock_year[[#This Row],[SKU ID]],SKU[],14,0)*(Stock_year[[#This Row],[Closing Stock Vobanipur4]]+Stock_year[[#This Row],[Closing Stock Ulukhola4]])</f>
        <v>3678104.43</v>
      </c>
      <c r="BM64" s="32">
        <f ca="1">Stock_year[[#This Row],[Closing Damage unit3]]</f>
        <v>2004</v>
      </c>
      <c r="BN64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2004</v>
      </c>
    </row>
    <row r="65" spans="1:66" x14ac:dyDescent="0.5">
      <c r="A65" t="s">
        <v>243</v>
      </c>
      <c r="B65" t="s">
        <v>824</v>
      </c>
      <c r="C65" s="329">
        <v>95</v>
      </c>
      <c r="D65" s="3">
        <v>0</v>
      </c>
      <c r="E65" s="3">
        <f>Stock_year[[#This Row],[Vobanipur Opening]]+Stock_year[[#This Row],[Ulukhola Opening]]</f>
        <v>95</v>
      </c>
      <c r="F65" s="3">
        <f>VLOOKUP(Stock_year[[#This Row],[SKU ID]],SKU[[SKU ID]:[Bottle Size(Ltr)]],6,0)*Stock_year[[#This Row],[Opening Stock (Piece)]]</f>
        <v>23.75</v>
      </c>
      <c r="G65" s="3">
        <v>0</v>
      </c>
      <c r="H65" s="3"/>
      <c r="I65" s="3"/>
      <c r="J65" s="3">
        <f>Stock_year[[#This Row],[Vobanipur Opening]]+Stock_year[[#This Row],[New Arrival (vobanipur)]]+Stock_year[[#This Row],[Ulukhola to Vobanipur Transfer]]</f>
        <v>95</v>
      </c>
      <c r="K65" s="3">
        <f>Stock_year[[#This Row],[Ulukhola Opening]]+Stock_year[[#This Row],[New Arrival(ulukhola)]]-Stock_year[[#This Row],[Ulukhola to Vobanipur Transfer]]</f>
        <v>0</v>
      </c>
      <c r="L65" s="3">
        <f>Stock_year[[#This Row],[Opening Stock (Piece)]]+Stock_year[[#This Row],[New Arrival(ulukhola)]]</f>
        <v>95</v>
      </c>
      <c r="M65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65" s="3">
        <f>Stock_year[[#This Row],[Vobanipur Total]]-Stock_year[[#This Row],[Sold Qty(Piece)]]</f>
        <v>95</v>
      </c>
      <c r="O65" s="3">
        <f>Stock_year[[#This Row],[Ulukhola Opening]]-Stock_year[[#This Row],[Ulukhola to Vobanipur Transfer]]+Stock_year[[#This Row],[New Arrival(ulukhola)]]</f>
        <v>0</v>
      </c>
      <c r="P65" s="3">
        <f>Stock_year[[#This Row],[Ulukhola Total]]</f>
        <v>0</v>
      </c>
      <c r="Q65" s="3">
        <v>0</v>
      </c>
      <c r="R65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65" s="303">
        <f>Stock_year[[#This Row],[Closing Stock Vobanipur]]</f>
        <v>95</v>
      </c>
      <c r="T65" s="303">
        <f>Stock_year[[#This Row],[Closing Stock Ulukhola]]</f>
        <v>0</v>
      </c>
      <c r="U65" s="303">
        <f>Stock_year[[#This Row],[Vobanipur Opening2]]+Stock_year[[#This Row],[Ulukhola Opening2]]</f>
        <v>95</v>
      </c>
      <c r="V65" s="303">
        <f>VLOOKUP(Stock_year[[#This Row],[SKU ID]],SKU[[SKU ID]:[Bottle Size(Ltr)]],6,0)*Stock_year[[#This Row],[Opening Stock (Piece)2]]</f>
        <v>23.75</v>
      </c>
      <c r="W65" s="303">
        <v>0</v>
      </c>
      <c r="X65" s="303"/>
      <c r="Y65" s="303"/>
      <c r="Z65" s="303">
        <f>Stock_year[[#This Row],[Vobanipur Opening2]]+Stock_year[[#This Row],[Ulukhola to Vobanipur Transfer2]]+Stock_year[[#This Row],[New Arrival (vobanipur)2]]</f>
        <v>95</v>
      </c>
      <c r="AA65" s="303">
        <f>Stock_year[[#This Row],[Ulukhola Opening2]]-Stock_year[[#This Row],[Ulukhola to Vobanipur Transfer2]]+Stock_year[[#This Row],[New Arrival(ulukhola)2]]</f>
        <v>0</v>
      </c>
      <c r="AB65" s="303">
        <f>Stock_year[[#This Row],[Vobanipur Total2]]+Stock_year[[#This Row],[Ulukhola Total2]]</f>
        <v>95</v>
      </c>
      <c r="AC65" s="303">
        <f>SUMIFS(Primary_Order[Total Qty],Primary_Order[Date],"&gt;="&amp;S$1,Primary_Order[Date],"&lt;="&amp;EOMONTH(S$1,0),Primary_Order[Product ID],Stock_year[[#This Row],[SKU ID]],Primary_Order[Status],'Stock Report'!$A$1)</f>
        <v>95</v>
      </c>
      <c r="AD65" s="303">
        <f>Stock_year[[#This Row],[Vobanipur Total2]]-Stock_year[[#This Row],[Sold Qty(Piece)2]]</f>
        <v>0</v>
      </c>
      <c r="AE65" s="303">
        <f>Stock_year[[#This Row],[Ulukhola Opening2]]-Stock_year[[#This Row],[Ulukhola to Vobanipur Transfer2]]+Stock_year[[#This Row],[New Arrival(ulukhola)2]]</f>
        <v>0</v>
      </c>
      <c r="AF65" s="303">
        <f>VLOOKUP(Stock_year[[#This Row],[SKU ID]],SKU[],14,0)*(Stock_year[[#This Row],[Closing Stock Vobanipur2]]+Stock_year[[#This Row],[Closing Stock Ulukhola2]])</f>
        <v>0</v>
      </c>
      <c r="AG65" s="303">
        <f ca="1">OFFSET(Stock_year[[#This Row],[Total Closing Stock Value2]],0,-14)</f>
        <v>0</v>
      </c>
      <c r="AH65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65" s="302">
        <f>Stock_year[[#This Row],[Closing Stock Vobanipur2]]</f>
        <v>0</v>
      </c>
      <c r="AJ65" s="303">
        <f>Stock_year[[#This Row],[Closing Stock Ulukhola2]]</f>
        <v>0</v>
      </c>
      <c r="AK65" s="303">
        <f>Stock_year[[#This Row],[Vobanipur Opening3]]+Stock_year[[#This Row],[Ulukhola Opening3]]</f>
        <v>0</v>
      </c>
      <c r="AL65" s="303">
        <f>VLOOKUP(Stock_year[[#This Row],[SKU ID]],SKU[[SKU ID]:[Bottle Size(Ltr)]],6,0)*Stock_year[[#This Row],[Opening Stock (Piece)3]]</f>
        <v>0</v>
      </c>
      <c r="AM65" s="303">
        <v>0</v>
      </c>
      <c r="AN65" s="303"/>
      <c r="AO65" s="303"/>
      <c r="AP65" s="303">
        <f>Stock_year[[#This Row],[Vobanipur Opening3]]+Stock_year[[#This Row],[New Arrival (vobanipur)3]]+Stock_year[[#This Row],[Ulukhola to Vobanipur Transfer3]]</f>
        <v>0</v>
      </c>
      <c r="AQ65" s="303">
        <f>Stock_year[[#This Row],[Ulukhola Opening3]]-Stock_year[[#This Row],[Ulukhola to Vobanipur Transfer3]]+Stock_year[[#This Row],[New Arrival(ulukhola)3]]</f>
        <v>0</v>
      </c>
      <c r="AR65" s="303">
        <f>Stock_year[[#This Row],[Vobanipur Total3]]+Stock_year[[#This Row],[Ulukhola Total3]]</f>
        <v>0</v>
      </c>
      <c r="AS65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65" s="303">
        <f>Stock_year[[#This Row],[Vobanipur Total3]]-Stock_year[[#This Row],[Sold Qty(Piece)3]]</f>
        <v>0</v>
      </c>
      <c r="AU65" s="303">
        <f>Stock_year[[#This Row],[Ulukhola Total3]]</f>
        <v>0</v>
      </c>
      <c r="AV65" s="303">
        <f>VLOOKUP(Stock_year[[#This Row],[SKU ID]],SKU[],14,0)*(Stock_year[[#This Row],[Closing Stock Vobanipur3]]+Stock_year[[#This Row],[Closing Stock Ulukhola3]])</f>
        <v>0</v>
      </c>
      <c r="AW65" s="303">
        <f ca="1">Stock_year[[#This Row],[Closing Damage unit2]]</f>
        <v>0</v>
      </c>
      <c r="AX65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65" s="32">
        <f>Stock_year[[#This Row],[Closing Stock Vobanipur3]]</f>
        <v>0</v>
      </c>
      <c r="AZ65" s="32">
        <f>Stock_year[[#This Row],[Closing Stock Ulukhola3]]</f>
        <v>0</v>
      </c>
      <c r="BA65" s="32">
        <f>Stock_year[[#This Row],[Vobanipur Opening4]]+Stock_year[[#This Row],[Ulukhola Opening4]]</f>
        <v>0</v>
      </c>
      <c r="BB65" s="32">
        <f>VLOOKUP(Stock_year[[#This Row],[SKU ID]],SKU[[SKU ID]:[Bottle Size(Ltr)]],6,0)*Stock_year[[#This Row],[Opening Stock (Piece)4]]</f>
        <v>0</v>
      </c>
      <c r="BC65" s="32">
        <v>0</v>
      </c>
      <c r="BD65" s="32"/>
      <c r="BE65" s="32"/>
      <c r="BF65" s="32">
        <f>Stock_year[[#This Row],[Vobanipur Opening4]]+Stock_year[[#This Row],[New Arrival (vobanipur)4]]+Stock_year[[#This Row],[Ulukhola to Vobanipur Transfer4]]</f>
        <v>0</v>
      </c>
      <c r="BG65" s="32">
        <f>Stock_year[[#This Row],[Ulukhola Opening4]]-Stock_year[[#This Row],[Ulukhola to Vobanipur Transfer4]]+Stock_year[[#This Row],[New Arrival(ulukhola)4]]</f>
        <v>0</v>
      </c>
      <c r="BH65" s="32">
        <f>Stock_year[[#This Row],[Vobanipur Total4]]+Stock_year[[#This Row],[Ulukhola Total4]]</f>
        <v>0</v>
      </c>
      <c r="BI65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65" s="32">
        <f>Stock_year[[#This Row],[Vobanipur Total4]]-Stock_year[[#This Row],[Sold Qty(Piece)4]]</f>
        <v>0</v>
      </c>
      <c r="BK65" s="32">
        <f>Stock_year[[#This Row],[Ulukhola Total4]]</f>
        <v>0</v>
      </c>
      <c r="BL65" s="32">
        <f>VLOOKUP(Stock_year[[#This Row],[SKU ID]],SKU[],14,0)*(Stock_year[[#This Row],[Closing Stock Vobanipur4]]+Stock_year[[#This Row],[Closing Stock Ulukhola4]])</f>
        <v>0</v>
      </c>
      <c r="BM65" s="32">
        <f ca="1">Stock_year[[#This Row],[Closing Damage unit3]]</f>
        <v>0</v>
      </c>
      <c r="BN65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66" spans="1:66" x14ac:dyDescent="0.5">
      <c r="A66" t="s">
        <v>247</v>
      </c>
      <c r="B66" t="s">
        <v>825</v>
      </c>
      <c r="C66" s="329">
        <v>1200</v>
      </c>
      <c r="D66" s="3">
        <v>0</v>
      </c>
      <c r="E66" s="3">
        <f>Stock_year[[#This Row],[Vobanipur Opening]]+Stock_year[[#This Row],[Ulukhola Opening]]</f>
        <v>1200</v>
      </c>
      <c r="F66" s="3">
        <f>VLOOKUP(Stock_year[[#This Row],[SKU ID]],SKU[[SKU ID]:[Bottle Size(Ltr)]],6,0)*Stock_year[[#This Row],[Opening Stock (Piece)]]</f>
        <v>240</v>
      </c>
      <c r="G66" s="3">
        <v>0</v>
      </c>
      <c r="H66" s="3"/>
      <c r="I66" s="3"/>
      <c r="J66" s="3">
        <f>Stock_year[[#This Row],[Vobanipur Opening]]+Stock_year[[#This Row],[New Arrival (vobanipur)]]+Stock_year[[#This Row],[Ulukhola to Vobanipur Transfer]]</f>
        <v>1200</v>
      </c>
      <c r="K66" s="3">
        <f>Stock_year[[#This Row],[Ulukhola Opening]]+Stock_year[[#This Row],[New Arrival(ulukhola)]]-Stock_year[[#This Row],[Ulukhola to Vobanipur Transfer]]</f>
        <v>0</v>
      </c>
      <c r="L66" s="3">
        <f>Stock_year[[#This Row],[Opening Stock (Piece)]]+Stock_year[[#This Row],[New Arrival(ulukhola)]]</f>
        <v>1200</v>
      </c>
      <c r="M66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66" s="3">
        <f>Stock_year[[#This Row],[Vobanipur Total]]-Stock_year[[#This Row],[Sold Qty(Piece)]]</f>
        <v>1200</v>
      </c>
      <c r="O66" s="3">
        <f>Stock_year[[#This Row],[Ulukhola Opening]]-Stock_year[[#This Row],[Ulukhola to Vobanipur Transfer]]+Stock_year[[#This Row],[New Arrival(ulukhola)]]</f>
        <v>0</v>
      </c>
      <c r="P66" s="3">
        <f>Stock_year[[#This Row],[Ulukhola Total]]</f>
        <v>0</v>
      </c>
      <c r="Q66" s="3">
        <v>0</v>
      </c>
      <c r="R66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66" s="303">
        <f>Stock_year[[#This Row],[Closing Stock Vobanipur]]</f>
        <v>1200</v>
      </c>
      <c r="T66" s="303">
        <f>Stock_year[[#This Row],[Closing Stock Ulukhola]]</f>
        <v>0</v>
      </c>
      <c r="U66" s="303">
        <f>Stock_year[[#This Row],[Vobanipur Opening2]]+Stock_year[[#This Row],[Ulukhola Opening2]]</f>
        <v>1200</v>
      </c>
      <c r="V66" s="303">
        <f>VLOOKUP(Stock_year[[#This Row],[SKU ID]],SKU[[SKU ID]:[Bottle Size(Ltr)]],6,0)*Stock_year[[#This Row],[Opening Stock (Piece)2]]</f>
        <v>240</v>
      </c>
      <c r="W66" s="303">
        <v>0</v>
      </c>
      <c r="X66" s="303"/>
      <c r="Y66" s="303"/>
      <c r="Z66" s="303">
        <f>Stock_year[[#This Row],[Vobanipur Opening2]]+Stock_year[[#This Row],[Ulukhola to Vobanipur Transfer2]]+Stock_year[[#This Row],[New Arrival (vobanipur)2]]</f>
        <v>1200</v>
      </c>
      <c r="AA66" s="303">
        <f>Stock_year[[#This Row],[Ulukhola Opening2]]-Stock_year[[#This Row],[Ulukhola to Vobanipur Transfer2]]+Stock_year[[#This Row],[New Arrival(ulukhola)2]]</f>
        <v>0</v>
      </c>
      <c r="AB66" s="303">
        <f>Stock_year[[#This Row],[Vobanipur Total2]]+Stock_year[[#This Row],[Ulukhola Total2]]</f>
        <v>1200</v>
      </c>
      <c r="AC66" s="303">
        <f>SUMIFS(Primary_Order[Total Qty],Primary_Order[Date],"&gt;="&amp;S$1,Primary_Order[Date],"&lt;="&amp;EOMONTH(S$1,0),Primary_Order[Product ID],Stock_year[[#This Row],[SKU ID]],Primary_Order[Status],'Stock Report'!$A$1)</f>
        <v>1200</v>
      </c>
      <c r="AD66" s="303">
        <f>Stock_year[[#This Row],[Vobanipur Total2]]-Stock_year[[#This Row],[Sold Qty(Piece)2]]</f>
        <v>0</v>
      </c>
      <c r="AE66" s="303">
        <f>Stock_year[[#This Row],[Ulukhola Opening2]]-Stock_year[[#This Row],[Ulukhola to Vobanipur Transfer2]]+Stock_year[[#This Row],[New Arrival(ulukhola)2]]</f>
        <v>0</v>
      </c>
      <c r="AF66" s="303">
        <f>VLOOKUP(Stock_year[[#This Row],[SKU ID]],SKU[],14,0)*(Stock_year[[#This Row],[Closing Stock Vobanipur2]]+Stock_year[[#This Row],[Closing Stock Ulukhola2]])</f>
        <v>0</v>
      </c>
      <c r="AG66" s="303">
        <f ca="1">OFFSET(Stock_year[[#This Row],[Total Closing Stock Value2]],0,-14)</f>
        <v>0</v>
      </c>
      <c r="AH66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66" s="302">
        <f>Stock_year[[#This Row],[Closing Stock Vobanipur2]]</f>
        <v>0</v>
      </c>
      <c r="AJ66" s="303">
        <f>Stock_year[[#This Row],[Closing Stock Ulukhola2]]</f>
        <v>0</v>
      </c>
      <c r="AK66" s="303">
        <f>Stock_year[[#This Row],[Vobanipur Opening3]]+Stock_year[[#This Row],[Ulukhola Opening3]]</f>
        <v>0</v>
      </c>
      <c r="AL66" s="303">
        <f>VLOOKUP(Stock_year[[#This Row],[SKU ID]],SKU[[SKU ID]:[Bottle Size(Ltr)]],6,0)*Stock_year[[#This Row],[Opening Stock (Piece)3]]</f>
        <v>0</v>
      </c>
      <c r="AM66" s="303">
        <v>0</v>
      </c>
      <c r="AN66" s="303"/>
      <c r="AO66" s="303"/>
      <c r="AP66" s="303">
        <f>Stock_year[[#This Row],[Vobanipur Opening3]]+Stock_year[[#This Row],[New Arrival (vobanipur)3]]+Stock_year[[#This Row],[Ulukhola to Vobanipur Transfer3]]</f>
        <v>0</v>
      </c>
      <c r="AQ66" s="303">
        <f>Stock_year[[#This Row],[Ulukhola Opening3]]-Stock_year[[#This Row],[Ulukhola to Vobanipur Transfer3]]+Stock_year[[#This Row],[New Arrival(ulukhola)3]]</f>
        <v>0</v>
      </c>
      <c r="AR66" s="303">
        <f>Stock_year[[#This Row],[Vobanipur Total3]]+Stock_year[[#This Row],[Ulukhola Total3]]</f>
        <v>0</v>
      </c>
      <c r="AS66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66" s="303">
        <f>Stock_year[[#This Row],[Vobanipur Total3]]-Stock_year[[#This Row],[Sold Qty(Piece)3]]</f>
        <v>0</v>
      </c>
      <c r="AU66" s="303">
        <f>Stock_year[[#This Row],[Ulukhola Total3]]</f>
        <v>0</v>
      </c>
      <c r="AV66" s="303">
        <f>VLOOKUP(Stock_year[[#This Row],[SKU ID]],SKU[],14,0)*(Stock_year[[#This Row],[Closing Stock Vobanipur3]]+Stock_year[[#This Row],[Closing Stock Ulukhola3]])</f>
        <v>0</v>
      </c>
      <c r="AW66" s="303">
        <f ca="1">Stock_year[[#This Row],[Closing Damage unit2]]</f>
        <v>0</v>
      </c>
      <c r="AX66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66" s="32">
        <f>Stock_year[[#This Row],[Closing Stock Vobanipur3]]</f>
        <v>0</v>
      </c>
      <c r="AZ66" s="32">
        <f>Stock_year[[#This Row],[Closing Stock Ulukhola3]]</f>
        <v>0</v>
      </c>
      <c r="BA66" s="32">
        <f>Stock_year[[#This Row],[Vobanipur Opening4]]+Stock_year[[#This Row],[Ulukhola Opening4]]</f>
        <v>0</v>
      </c>
      <c r="BB66" s="32">
        <f>VLOOKUP(Stock_year[[#This Row],[SKU ID]],SKU[[SKU ID]:[Bottle Size(Ltr)]],6,0)*Stock_year[[#This Row],[Opening Stock (Piece)4]]</f>
        <v>0</v>
      </c>
      <c r="BC66" s="32">
        <v>0</v>
      </c>
      <c r="BD66" s="32"/>
      <c r="BE66" s="32"/>
      <c r="BF66" s="32">
        <f>Stock_year[[#This Row],[Vobanipur Opening4]]+Stock_year[[#This Row],[New Arrival (vobanipur)4]]+Stock_year[[#This Row],[Ulukhola to Vobanipur Transfer4]]</f>
        <v>0</v>
      </c>
      <c r="BG66" s="32">
        <f>Stock_year[[#This Row],[Ulukhola Opening4]]-Stock_year[[#This Row],[Ulukhola to Vobanipur Transfer4]]+Stock_year[[#This Row],[New Arrival(ulukhola)4]]</f>
        <v>0</v>
      </c>
      <c r="BH66" s="32">
        <f>Stock_year[[#This Row],[Vobanipur Total4]]+Stock_year[[#This Row],[Ulukhola Total4]]</f>
        <v>0</v>
      </c>
      <c r="BI66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66" s="32">
        <f>Stock_year[[#This Row],[Vobanipur Total4]]-Stock_year[[#This Row],[Sold Qty(Piece)4]]</f>
        <v>0</v>
      </c>
      <c r="BK66" s="32">
        <f>Stock_year[[#This Row],[Ulukhola Total4]]</f>
        <v>0</v>
      </c>
      <c r="BL66" s="32">
        <f>VLOOKUP(Stock_year[[#This Row],[SKU ID]],SKU[],14,0)*(Stock_year[[#This Row],[Closing Stock Vobanipur4]]+Stock_year[[#This Row],[Closing Stock Ulukhola4]])</f>
        <v>0</v>
      </c>
      <c r="BM66" s="32">
        <f ca="1">Stock_year[[#This Row],[Closing Damage unit3]]</f>
        <v>0</v>
      </c>
      <c r="BN66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67" spans="1:66" x14ac:dyDescent="0.5">
      <c r="A67" t="s">
        <v>135</v>
      </c>
      <c r="B67" t="s">
        <v>826</v>
      </c>
      <c r="C67" s="329">
        <v>240</v>
      </c>
      <c r="D67" s="3">
        <v>440</v>
      </c>
      <c r="E67" s="3">
        <f>Stock_year[[#This Row],[Vobanipur Opening]]+Stock_year[[#This Row],[Ulukhola Opening]]</f>
        <v>680</v>
      </c>
      <c r="F67" s="3">
        <f>VLOOKUP(Stock_year[[#This Row],[SKU ID]],SKU[[SKU ID]:[Bottle Size(Ltr)]],6,0)*Stock_year[[#This Row],[Opening Stock (Piece)]]</f>
        <v>680</v>
      </c>
      <c r="G67" s="3">
        <v>0</v>
      </c>
      <c r="H67" s="3"/>
      <c r="I67" s="3"/>
      <c r="J67" s="3">
        <f>Stock_year[[#This Row],[Vobanipur Opening]]+Stock_year[[#This Row],[New Arrival (vobanipur)]]+Stock_year[[#This Row],[Ulukhola to Vobanipur Transfer]]</f>
        <v>240</v>
      </c>
      <c r="K67" s="3">
        <f>Stock_year[[#This Row],[Ulukhola Opening]]+Stock_year[[#This Row],[New Arrival(ulukhola)]]-Stock_year[[#This Row],[Ulukhola to Vobanipur Transfer]]</f>
        <v>440</v>
      </c>
      <c r="L67" s="3">
        <f>Stock_year[[#This Row],[Opening Stock (Piece)]]+Stock_year[[#This Row],[New Arrival(ulukhola)]]</f>
        <v>680</v>
      </c>
      <c r="M67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67" s="3">
        <f>Stock_year[[#This Row],[Vobanipur Total]]-Stock_year[[#This Row],[Sold Qty(Piece)]]</f>
        <v>240</v>
      </c>
      <c r="O67" s="3">
        <f>Stock_year[[#This Row],[Ulukhola Opening]]-Stock_year[[#This Row],[Ulukhola to Vobanipur Transfer]]+Stock_year[[#This Row],[New Arrival(ulukhola)]]</f>
        <v>440</v>
      </c>
      <c r="P67" s="3">
        <f>Stock_year[[#This Row],[Ulukhola Total]]</f>
        <v>440</v>
      </c>
      <c r="Q67" s="3">
        <v>0</v>
      </c>
      <c r="R67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67" s="303">
        <f>Stock_year[[#This Row],[Closing Stock Vobanipur]]</f>
        <v>240</v>
      </c>
      <c r="T67" s="303">
        <f>Stock_year[[#This Row],[Closing Stock Ulukhola]]</f>
        <v>440</v>
      </c>
      <c r="U67" s="303">
        <f>Stock_year[[#This Row],[Vobanipur Opening2]]+Stock_year[[#This Row],[Ulukhola Opening2]]</f>
        <v>680</v>
      </c>
      <c r="V67" s="303">
        <f>VLOOKUP(Stock_year[[#This Row],[SKU ID]],SKU[[SKU ID]:[Bottle Size(Ltr)]],6,0)*Stock_year[[#This Row],[Opening Stock (Piece)2]]</f>
        <v>680</v>
      </c>
      <c r="W67" s="303">
        <v>0</v>
      </c>
      <c r="X67" s="303"/>
      <c r="Y67" s="303"/>
      <c r="Z67" s="303">
        <f>Stock_year[[#This Row],[Vobanipur Opening2]]+Stock_year[[#This Row],[Ulukhola to Vobanipur Transfer2]]+Stock_year[[#This Row],[New Arrival (vobanipur)2]]</f>
        <v>240</v>
      </c>
      <c r="AA67" s="303">
        <f>Stock_year[[#This Row],[Ulukhola Opening2]]-Stock_year[[#This Row],[Ulukhola to Vobanipur Transfer2]]+Stock_year[[#This Row],[New Arrival(ulukhola)2]]</f>
        <v>440</v>
      </c>
      <c r="AB67" s="303">
        <f>Stock_year[[#This Row],[Vobanipur Total2]]+Stock_year[[#This Row],[Ulukhola Total2]]</f>
        <v>680</v>
      </c>
      <c r="AC67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67" s="303">
        <f>Stock_year[[#This Row],[Vobanipur Total2]]-Stock_year[[#This Row],[Sold Qty(Piece)2]]</f>
        <v>240</v>
      </c>
      <c r="AE67" s="303">
        <f>Stock_year[[#This Row],[Ulukhola Opening2]]-Stock_year[[#This Row],[Ulukhola to Vobanipur Transfer2]]+Stock_year[[#This Row],[New Arrival(ulukhola)2]]</f>
        <v>440</v>
      </c>
      <c r="AF67" s="303">
        <f>VLOOKUP(Stock_year[[#This Row],[SKU ID]],SKU[],14,0)*(Stock_year[[#This Row],[Closing Stock Vobanipur2]]+Stock_year[[#This Row],[Closing Stock Ulukhola2]])</f>
        <v>270789.60000000003</v>
      </c>
      <c r="AG67" s="303">
        <f ca="1">OFFSET(Stock_year[[#This Row],[Total Closing Stock Value2]],0,-14)</f>
        <v>0</v>
      </c>
      <c r="AH67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67" s="302">
        <f>Stock_year[[#This Row],[Closing Stock Vobanipur2]]</f>
        <v>240</v>
      </c>
      <c r="AJ67" s="303">
        <f>Stock_year[[#This Row],[Closing Stock Ulukhola2]]</f>
        <v>440</v>
      </c>
      <c r="AK67" s="303">
        <f>Stock_year[[#This Row],[Vobanipur Opening3]]+Stock_year[[#This Row],[Ulukhola Opening3]]</f>
        <v>680</v>
      </c>
      <c r="AL67" s="303">
        <f>VLOOKUP(Stock_year[[#This Row],[SKU ID]],SKU[[SKU ID]:[Bottle Size(Ltr)]],6,0)*Stock_year[[#This Row],[Opening Stock (Piece)3]]</f>
        <v>680</v>
      </c>
      <c r="AM67" s="303">
        <v>0</v>
      </c>
      <c r="AN67" s="303"/>
      <c r="AO67" s="303"/>
      <c r="AP67" s="303">
        <f>Stock_year[[#This Row],[Vobanipur Opening3]]+Stock_year[[#This Row],[New Arrival (vobanipur)3]]+Stock_year[[#This Row],[Ulukhola to Vobanipur Transfer3]]</f>
        <v>240</v>
      </c>
      <c r="AQ67" s="303">
        <f>Stock_year[[#This Row],[Ulukhola Opening3]]-Stock_year[[#This Row],[Ulukhola to Vobanipur Transfer3]]+Stock_year[[#This Row],[New Arrival(ulukhola)3]]</f>
        <v>440</v>
      </c>
      <c r="AR67" s="303">
        <f>Stock_year[[#This Row],[Vobanipur Total3]]+Stock_year[[#This Row],[Ulukhola Total3]]</f>
        <v>680</v>
      </c>
      <c r="AS67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67" s="303">
        <f>Stock_year[[#This Row],[Vobanipur Total3]]-Stock_year[[#This Row],[Sold Qty(Piece)3]]</f>
        <v>240</v>
      </c>
      <c r="AU67" s="303">
        <f>Stock_year[[#This Row],[Ulukhola Total3]]</f>
        <v>440</v>
      </c>
      <c r="AV67" s="303">
        <f>VLOOKUP(Stock_year[[#This Row],[SKU ID]],SKU[],14,0)*(Stock_year[[#This Row],[Closing Stock Vobanipur3]]+Stock_year[[#This Row],[Closing Stock Ulukhola3]])</f>
        <v>270789.60000000003</v>
      </c>
      <c r="AW67" s="303">
        <f ca="1">Stock_year[[#This Row],[Closing Damage unit2]]</f>
        <v>0</v>
      </c>
      <c r="AX67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67" s="32">
        <f>Stock_year[[#This Row],[Closing Stock Vobanipur3]]</f>
        <v>240</v>
      </c>
      <c r="AZ67" s="32">
        <f>Stock_year[[#This Row],[Closing Stock Ulukhola3]]</f>
        <v>440</v>
      </c>
      <c r="BA67" s="32">
        <f>Stock_year[[#This Row],[Vobanipur Opening4]]+Stock_year[[#This Row],[Ulukhola Opening4]]</f>
        <v>680</v>
      </c>
      <c r="BB67" s="32">
        <f>VLOOKUP(Stock_year[[#This Row],[SKU ID]],SKU[[SKU ID]:[Bottle Size(Ltr)]],6,0)*Stock_year[[#This Row],[Opening Stock (Piece)4]]</f>
        <v>680</v>
      </c>
      <c r="BC67" s="32">
        <v>0</v>
      </c>
      <c r="BD67" s="32"/>
      <c r="BE67" s="32"/>
      <c r="BF67" s="32">
        <f>Stock_year[[#This Row],[Vobanipur Opening4]]+Stock_year[[#This Row],[New Arrival (vobanipur)4]]+Stock_year[[#This Row],[Ulukhola to Vobanipur Transfer4]]</f>
        <v>240</v>
      </c>
      <c r="BG67" s="32">
        <f>Stock_year[[#This Row],[Ulukhola Opening4]]-Stock_year[[#This Row],[Ulukhola to Vobanipur Transfer4]]+Stock_year[[#This Row],[New Arrival(ulukhola)4]]</f>
        <v>440</v>
      </c>
      <c r="BH67" s="32">
        <f>Stock_year[[#This Row],[Vobanipur Total4]]+Stock_year[[#This Row],[Ulukhola Total4]]</f>
        <v>680</v>
      </c>
      <c r="BI67" s="32">
        <f>SUMIFS(Primary_Order[Total Qty],Primary_Order[Date],"&gt;="&amp;AY$1,Primary_Order[Date],"&lt;="&amp;EOMONTH(AY$1,0),Primary_Order[Product ID],Stock_year[[#This Row],[SKU ID]],Primary_Order[Status],'Stock Report'!$A$1)</f>
        <v>240</v>
      </c>
      <c r="BJ67" s="32">
        <f>Stock_year[[#This Row],[Vobanipur Total4]]-Stock_year[[#This Row],[Sold Qty(Piece)4]]</f>
        <v>0</v>
      </c>
      <c r="BK67" s="32">
        <f>Stock_year[[#This Row],[Ulukhola Total4]]</f>
        <v>440</v>
      </c>
      <c r="BL67" s="32">
        <f>VLOOKUP(Stock_year[[#This Row],[SKU ID]],SKU[],14,0)*(Stock_year[[#This Row],[Closing Stock Vobanipur4]]+Stock_year[[#This Row],[Closing Stock Ulukhola4]])</f>
        <v>175216.80000000002</v>
      </c>
      <c r="BM67" s="32">
        <f ca="1">Stock_year[[#This Row],[Closing Damage unit3]]</f>
        <v>0</v>
      </c>
      <c r="BN67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68" spans="1:66" x14ac:dyDescent="0.5">
      <c r="A68" t="s">
        <v>136</v>
      </c>
      <c r="B68" t="s">
        <v>827</v>
      </c>
      <c r="C68" s="329">
        <v>88</v>
      </c>
      <c r="D68" s="3">
        <v>0</v>
      </c>
      <c r="E68" s="3">
        <f>Stock_year[[#This Row],[Vobanipur Opening]]+Stock_year[[#This Row],[Ulukhola Opening]]</f>
        <v>88</v>
      </c>
      <c r="F68" s="3">
        <f>VLOOKUP(Stock_year[[#This Row],[SKU ID]],SKU[[SKU ID]:[Bottle Size(Ltr)]],6,0)*Stock_year[[#This Row],[Opening Stock (Piece)]]</f>
        <v>440</v>
      </c>
      <c r="G68" s="3">
        <v>0</v>
      </c>
      <c r="H68" s="3"/>
      <c r="I68" s="3"/>
      <c r="J68" s="3">
        <f>Stock_year[[#This Row],[Vobanipur Opening]]+Stock_year[[#This Row],[New Arrival (vobanipur)]]+Stock_year[[#This Row],[Ulukhola to Vobanipur Transfer]]</f>
        <v>88</v>
      </c>
      <c r="K68" s="3">
        <f>Stock_year[[#This Row],[Ulukhola Opening]]+Stock_year[[#This Row],[New Arrival(ulukhola)]]-Stock_year[[#This Row],[Ulukhola to Vobanipur Transfer]]</f>
        <v>0</v>
      </c>
      <c r="L68" s="3">
        <f>Stock_year[[#This Row],[Opening Stock (Piece)]]+Stock_year[[#This Row],[New Arrival(ulukhola)]]</f>
        <v>88</v>
      </c>
      <c r="M68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68" s="3">
        <f>Stock_year[[#This Row],[Vobanipur Total]]-Stock_year[[#This Row],[Sold Qty(Piece)]]</f>
        <v>88</v>
      </c>
      <c r="O68" s="3">
        <f>Stock_year[[#This Row],[Ulukhola Opening]]-Stock_year[[#This Row],[Ulukhola to Vobanipur Transfer]]+Stock_year[[#This Row],[New Arrival(ulukhola)]]</f>
        <v>0</v>
      </c>
      <c r="P68" s="3">
        <f>Stock_year[[#This Row],[Ulukhola Total]]</f>
        <v>0</v>
      </c>
      <c r="Q68" s="3">
        <v>0</v>
      </c>
      <c r="R68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68" s="303">
        <f>Stock_year[[#This Row],[Closing Stock Vobanipur]]</f>
        <v>88</v>
      </c>
      <c r="T68" s="303">
        <f>Stock_year[[#This Row],[Closing Stock Ulukhola]]</f>
        <v>0</v>
      </c>
      <c r="U68" s="303">
        <f>Stock_year[[#This Row],[Vobanipur Opening2]]+Stock_year[[#This Row],[Ulukhola Opening2]]</f>
        <v>88</v>
      </c>
      <c r="V68" s="303">
        <f>VLOOKUP(Stock_year[[#This Row],[SKU ID]],SKU[[SKU ID]:[Bottle Size(Ltr)]],6,0)*Stock_year[[#This Row],[Opening Stock (Piece)2]]</f>
        <v>440</v>
      </c>
      <c r="W68" s="303">
        <v>0</v>
      </c>
      <c r="X68" s="303"/>
      <c r="Y68" s="303"/>
      <c r="Z68" s="303">
        <f>Stock_year[[#This Row],[Vobanipur Opening2]]+Stock_year[[#This Row],[Ulukhola to Vobanipur Transfer2]]+Stock_year[[#This Row],[New Arrival (vobanipur)2]]</f>
        <v>88</v>
      </c>
      <c r="AA68" s="303">
        <f>Stock_year[[#This Row],[Ulukhola Opening2]]-Stock_year[[#This Row],[Ulukhola to Vobanipur Transfer2]]+Stock_year[[#This Row],[New Arrival(ulukhola)2]]</f>
        <v>0</v>
      </c>
      <c r="AB68" s="303">
        <f>Stock_year[[#This Row],[Vobanipur Total2]]+Stock_year[[#This Row],[Ulukhola Total2]]</f>
        <v>88</v>
      </c>
      <c r="AC68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68" s="303">
        <f>Stock_year[[#This Row],[Vobanipur Total2]]-Stock_year[[#This Row],[Sold Qty(Piece)2]]</f>
        <v>88</v>
      </c>
      <c r="AE68" s="303">
        <f>Stock_year[[#This Row],[Ulukhola Opening2]]-Stock_year[[#This Row],[Ulukhola to Vobanipur Transfer2]]+Stock_year[[#This Row],[New Arrival(ulukhola)2]]</f>
        <v>0</v>
      </c>
      <c r="AF68" s="303">
        <f>VLOOKUP(Stock_year[[#This Row],[SKU ID]],SKU[],14,0)*(Stock_year[[#This Row],[Closing Stock Vobanipur2]]+Stock_year[[#This Row],[Closing Stock Ulukhola2]])</f>
        <v>172364.72</v>
      </c>
      <c r="AG68" s="303">
        <f ca="1">OFFSET(Stock_year[[#This Row],[Total Closing Stock Value2]],0,-14)</f>
        <v>0</v>
      </c>
      <c r="AH68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68" s="302">
        <f>Stock_year[[#This Row],[Closing Stock Vobanipur2]]</f>
        <v>88</v>
      </c>
      <c r="AJ68" s="303">
        <f>Stock_year[[#This Row],[Closing Stock Ulukhola2]]</f>
        <v>0</v>
      </c>
      <c r="AK68" s="303">
        <f>Stock_year[[#This Row],[Vobanipur Opening3]]+Stock_year[[#This Row],[Ulukhola Opening3]]</f>
        <v>88</v>
      </c>
      <c r="AL68" s="303">
        <f>VLOOKUP(Stock_year[[#This Row],[SKU ID]],SKU[[SKU ID]:[Bottle Size(Ltr)]],6,0)*Stock_year[[#This Row],[Opening Stock (Piece)3]]</f>
        <v>440</v>
      </c>
      <c r="AM68" s="303">
        <v>0</v>
      </c>
      <c r="AN68" s="303"/>
      <c r="AO68" s="303"/>
      <c r="AP68" s="303">
        <f>Stock_year[[#This Row],[Vobanipur Opening3]]+Stock_year[[#This Row],[New Arrival (vobanipur)3]]+Stock_year[[#This Row],[Ulukhola to Vobanipur Transfer3]]</f>
        <v>88</v>
      </c>
      <c r="AQ68" s="303">
        <f>Stock_year[[#This Row],[Ulukhola Opening3]]-Stock_year[[#This Row],[Ulukhola to Vobanipur Transfer3]]+Stock_year[[#This Row],[New Arrival(ulukhola)3]]</f>
        <v>0</v>
      </c>
      <c r="AR68" s="303">
        <f>Stock_year[[#This Row],[Vobanipur Total3]]+Stock_year[[#This Row],[Ulukhola Total3]]</f>
        <v>88</v>
      </c>
      <c r="AS68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68" s="303">
        <f>Stock_year[[#This Row],[Vobanipur Total3]]-Stock_year[[#This Row],[Sold Qty(Piece)3]]</f>
        <v>88</v>
      </c>
      <c r="AU68" s="303">
        <f>Stock_year[[#This Row],[Ulukhola Total3]]</f>
        <v>0</v>
      </c>
      <c r="AV68" s="303">
        <f>VLOOKUP(Stock_year[[#This Row],[SKU ID]],SKU[],14,0)*(Stock_year[[#This Row],[Closing Stock Vobanipur3]]+Stock_year[[#This Row],[Closing Stock Ulukhola3]])</f>
        <v>172364.72</v>
      </c>
      <c r="AW68" s="303">
        <f ca="1">Stock_year[[#This Row],[Closing Damage unit2]]</f>
        <v>0</v>
      </c>
      <c r="AX68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68" s="32">
        <f>Stock_year[[#This Row],[Closing Stock Vobanipur3]]</f>
        <v>88</v>
      </c>
      <c r="AZ68" s="32">
        <f>Stock_year[[#This Row],[Closing Stock Ulukhola3]]</f>
        <v>0</v>
      </c>
      <c r="BA68" s="32">
        <f>Stock_year[[#This Row],[Vobanipur Opening4]]+Stock_year[[#This Row],[Ulukhola Opening4]]</f>
        <v>88</v>
      </c>
      <c r="BB68" s="32">
        <f>VLOOKUP(Stock_year[[#This Row],[SKU ID]],SKU[[SKU ID]:[Bottle Size(Ltr)]],6,0)*Stock_year[[#This Row],[Opening Stock (Piece)4]]</f>
        <v>440</v>
      </c>
      <c r="BC68" s="32">
        <v>0</v>
      </c>
      <c r="BD68" s="32"/>
      <c r="BE68" s="32"/>
      <c r="BF68" s="32">
        <f>Stock_year[[#This Row],[Vobanipur Opening4]]+Stock_year[[#This Row],[New Arrival (vobanipur)4]]+Stock_year[[#This Row],[Ulukhola to Vobanipur Transfer4]]</f>
        <v>88</v>
      </c>
      <c r="BG68" s="32">
        <f>Stock_year[[#This Row],[Ulukhola Opening4]]-Stock_year[[#This Row],[Ulukhola to Vobanipur Transfer4]]+Stock_year[[#This Row],[New Arrival(ulukhola)4]]</f>
        <v>0</v>
      </c>
      <c r="BH68" s="32">
        <f>Stock_year[[#This Row],[Vobanipur Total4]]+Stock_year[[#This Row],[Ulukhola Total4]]</f>
        <v>88</v>
      </c>
      <c r="BI68" s="32">
        <f>SUMIFS(Primary_Order[Total Qty],Primary_Order[Date],"&gt;="&amp;AY$1,Primary_Order[Date],"&lt;="&amp;EOMONTH(AY$1,0),Primary_Order[Product ID],Stock_year[[#This Row],[SKU ID]],Primary_Order[Status],'Stock Report'!$A$1)</f>
        <v>88</v>
      </c>
      <c r="BJ68" s="32">
        <f>Stock_year[[#This Row],[Vobanipur Total4]]-Stock_year[[#This Row],[Sold Qty(Piece)4]]</f>
        <v>0</v>
      </c>
      <c r="BK68" s="32">
        <f>Stock_year[[#This Row],[Ulukhola Total4]]</f>
        <v>0</v>
      </c>
      <c r="BL68" s="32">
        <f>VLOOKUP(Stock_year[[#This Row],[SKU ID]],SKU[],14,0)*(Stock_year[[#This Row],[Closing Stock Vobanipur4]]+Stock_year[[#This Row],[Closing Stock Ulukhola4]])</f>
        <v>0</v>
      </c>
      <c r="BM68" s="32">
        <f ca="1">Stock_year[[#This Row],[Closing Damage unit3]]</f>
        <v>0</v>
      </c>
      <c r="BN68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69" spans="1:66" x14ac:dyDescent="0.5">
      <c r="A69" t="s">
        <v>137</v>
      </c>
      <c r="B69" t="s">
        <v>828</v>
      </c>
      <c r="C69" s="329">
        <v>37</v>
      </c>
      <c r="D69" s="3">
        <v>36</v>
      </c>
      <c r="E69" s="3">
        <f>Stock_year[[#This Row],[Vobanipur Opening]]+Stock_year[[#This Row],[Ulukhola Opening]]</f>
        <v>73</v>
      </c>
      <c r="F69" s="3">
        <f>VLOOKUP(Stock_year[[#This Row],[SKU ID]],SKU[[SKU ID]:[Bottle Size(Ltr)]],6,0)*Stock_year[[#This Row],[Opening Stock (Piece)]]</f>
        <v>547.5</v>
      </c>
      <c r="G69" s="3">
        <v>0</v>
      </c>
      <c r="H69" s="3"/>
      <c r="I69" s="3"/>
      <c r="J69" s="3">
        <f>Stock_year[[#This Row],[Vobanipur Opening]]+Stock_year[[#This Row],[New Arrival (vobanipur)]]+Stock_year[[#This Row],[Ulukhola to Vobanipur Transfer]]</f>
        <v>37</v>
      </c>
      <c r="K69" s="3">
        <f>Stock_year[[#This Row],[Ulukhola Opening]]+Stock_year[[#This Row],[New Arrival(ulukhola)]]-Stock_year[[#This Row],[Ulukhola to Vobanipur Transfer]]</f>
        <v>36</v>
      </c>
      <c r="L69" s="3">
        <f>Stock_year[[#This Row],[Opening Stock (Piece)]]+Stock_year[[#This Row],[New Arrival(ulukhola)]]</f>
        <v>73</v>
      </c>
      <c r="M69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69" s="3">
        <f>Stock_year[[#This Row],[Vobanipur Total]]-Stock_year[[#This Row],[Sold Qty(Piece)]]</f>
        <v>37</v>
      </c>
      <c r="O69" s="3">
        <f>Stock_year[[#This Row],[Ulukhola Opening]]-Stock_year[[#This Row],[Ulukhola to Vobanipur Transfer]]+Stock_year[[#This Row],[New Arrival(ulukhola)]]</f>
        <v>36</v>
      </c>
      <c r="P69" s="3">
        <f>Stock_year[[#This Row],[Ulukhola Total]]</f>
        <v>36</v>
      </c>
      <c r="Q69" s="3">
        <v>0</v>
      </c>
      <c r="R69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69" s="303">
        <f>Stock_year[[#This Row],[Closing Stock Vobanipur]]</f>
        <v>37</v>
      </c>
      <c r="T69" s="303">
        <f>Stock_year[[#This Row],[Closing Stock Ulukhola]]</f>
        <v>36</v>
      </c>
      <c r="U69" s="303">
        <f>Stock_year[[#This Row],[Vobanipur Opening2]]+Stock_year[[#This Row],[Ulukhola Opening2]]</f>
        <v>73</v>
      </c>
      <c r="V69" s="303">
        <f>VLOOKUP(Stock_year[[#This Row],[SKU ID]],SKU[[SKU ID]:[Bottle Size(Ltr)]],6,0)*Stock_year[[#This Row],[Opening Stock (Piece)2]]</f>
        <v>547.5</v>
      </c>
      <c r="W69" s="303">
        <v>0</v>
      </c>
      <c r="X69" s="303"/>
      <c r="Y69" s="303"/>
      <c r="Z69" s="303">
        <f>Stock_year[[#This Row],[Vobanipur Opening2]]+Stock_year[[#This Row],[Ulukhola to Vobanipur Transfer2]]+Stock_year[[#This Row],[New Arrival (vobanipur)2]]</f>
        <v>37</v>
      </c>
      <c r="AA69" s="303">
        <f>Stock_year[[#This Row],[Ulukhola Opening2]]-Stock_year[[#This Row],[Ulukhola to Vobanipur Transfer2]]+Stock_year[[#This Row],[New Arrival(ulukhola)2]]</f>
        <v>36</v>
      </c>
      <c r="AB69" s="303">
        <f>Stock_year[[#This Row],[Vobanipur Total2]]+Stock_year[[#This Row],[Ulukhola Total2]]</f>
        <v>73</v>
      </c>
      <c r="AC69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69" s="303">
        <f>Stock_year[[#This Row],[Vobanipur Total2]]-Stock_year[[#This Row],[Sold Qty(Piece)2]]</f>
        <v>37</v>
      </c>
      <c r="AE69" s="303">
        <f>Stock_year[[#This Row],[Ulukhola Opening2]]-Stock_year[[#This Row],[Ulukhola to Vobanipur Transfer2]]+Stock_year[[#This Row],[New Arrival(ulukhola)2]]</f>
        <v>36</v>
      </c>
      <c r="AF69" s="303">
        <f>VLOOKUP(Stock_year[[#This Row],[SKU ID]],SKU[],14,0)*(Stock_year[[#This Row],[Closing Stock Vobanipur2]]+Stock_year[[#This Row],[Closing Stock Ulukhola2]])</f>
        <v>212266.48</v>
      </c>
      <c r="AG69" s="303">
        <f ca="1">OFFSET(Stock_year[[#This Row],[Total Closing Stock Value2]],0,-14)</f>
        <v>0</v>
      </c>
      <c r="AH69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69" s="302">
        <f>Stock_year[[#This Row],[Closing Stock Vobanipur2]]</f>
        <v>37</v>
      </c>
      <c r="AJ69" s="303">
        <f>Stock_year[[#This Row],[Closing Stock Ulukhola2]]</f>
        <v>36</v>
      </c>
      <c r="AK69" s="303">
        <f>Stock_year[[#This Row],[Vobanipur Opening3]]+Stock_year[[#This Row],[Ulukhola Opening3]]</f>
        <v>73</v>
      </c>
      <c r="AL69" s="303">
        <f>VLOOKUP(Stock_year[[#This Row],[SKU ID]],SKU[[SKU ID]:[Bottle Size(Ltr)]],6,0)*Stock_year[[#This Row],[Opening Stock (Piece)3]]</f>
        <v>547.5</v>
      </c>
      <c r="AM69" s="303">
        <v>0</v>
      </c>
      <c r="AN69" s="303"/>
      <c r="AO69" s="303"/>
      <c r="AP69" s="303">
        <f>Stock_year[[#This Row],[Vobanipur Opening3]]+Stock_year[[#This Row],[New Arrival (vobanipur)3]]+Stock_year[[#This Row],[Ulukhola to Vobanipur Transfer3]]</f>
        <v>37</v>
      </c>
      <c r="AQ69" s="303">
        <f>Stock_year[[#This Row],[Ulukhola Opening3]]-Stock_year[[#This Row],[Ulukhola to Vobanipur Transfer3]]+Stock_year[[#This Row],[New Arrival(ulukhola)3]]</f>
        <v>36</v>
      </c>
      <c r="AR69" s="303">
        <f>Stock_year[[#This Row],[Vobanipur Total3]]+Stock_year[[#This Row],[Ulukhola Total3]]</f>
        <v>73</v>
      </c>
      <c r="AS69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69" s="303">
        <f>Stock_year[[#This Row],[Vobanipur Total3]]-Stock_year[[#This Row],[Sold Qty(Piece)3]]</f>
        <v>37</v>
      </c>
      <c r="AU69" s="303">
        <f>Stock_year[[#This Row],[Ulukhola Total3]]</f>
        <v>36</v>
      </c>
      <c r="AV69" s="303">
        <f>VLOOKUP(Stock_year[[#This Row],[SKU ID]],SKU[],14,0)*(Stock_year[[#This Row],[Closing Stock Vobanipur3]]+Stock_year[[#This Row],[Closing Stock Ulukhola3]])</f>
        <v>212266.48</v>
      </c>
      <c r="AW69" s="303">
        <f ca="1">Stock_year[[#This Row],[Closing Damage unit2]]</f>
        <v>0</v>
      </c>
      <c r="AX69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69" s="32">
        <f>Stock_year[[#This Row],[Closing Stock Vobanipur3]]</f>
        <v>37</v>
      </c>
      <c r="AZ69" s="32">
        <f>Stock_year[[#This Row],[Closing Stock Ulukhola3]]</f>
        <v>36</v>
      </c>
      <c r="BA69" s="32">
        <f>Stock_year[[#This Row],[Vobanipur Opening4]]+Stock_year[[#This Row],[Ulukhola Opening4]]</f>
        <v>73</v>
      </c>
      <c r="BB69" s="32">
        <f>VLOOKUP(Stock_year[[#This Row],[SKU ID]],SKU[[SKU ID]:[Bottle Size(Ltr)]],6,0)*Stock_year[[#This Row],[Opening Stock (Piece)4]]</f>
        <v>547.5</v>
      </c>
      <c r="BC69" s="32">
        <v>36</v>
      </c>
      <c r="BD69" s="32"/>
      <c r="BE69" s="32"/>
      <c r="BF69" s="32">
        <f>Stock_year[[#This Row],[Vobanipur Opening4]]+Stock_year[[#This Row],[New Arrival (vobanipur)4]]+Stock_year[[#This Row],[Ulukhola to Vobanipur Transfer4]]</f>
        <v>73</v>
      </c>
      <c r="BG69" s="32">
        <f>Stock_year[[#This Row],[Ulukhola Opening4]]-Stock_year[[#This Row],[Ulukhola to Vobanipur Transfer4]]+Stock_year[[#This Row],[New Arrival(ulukhola)4]]</f>
        <v>0</v>
      </c>
      <c r="BH69" s="32">
        <f>Stock_year[[#This Row],[Vobanipur Total4]]+Stock_year[[#This Row],[Ulukhola Total4]]</f>
        <v>73</v>
      </c>
      <c r="BI69" s="32">
        <f>SUMIFS(Primary_Order[Total Qty],Primary_Order[Date],"&gt;="&amp;AY$1,Primary_Order[Date],"&lt;="&amp;EOMONTH(AY$1,0),Primary_Order[Product ID],Stock_year[[#This Row],[SKU ID]],Primary_Order[Status],'Stock Report'!$A$1)</f>
        <v>72</v>
      </c>
      <c r="BJ69" s="32">
        <f>Stock_year[[#This Row],[Vobanipur Total4]]-Stock_year[[#This Row],[Sold Qty(Piece)4]]</f>
        <v>1</v>
      </c>
      <c r="BK69" s="32">
        <f>Stock_year[[#This Row],[Ulukhola Total4]]</f>
        <v>0</v>
      </c>
      <c r="BL69" s="32">
        <f>VLOOKUP(Stock_year[[#This Row],[SKU ID]],SKU[],14,0)*(Stock_year[[#This Row],[Closing Stock Vobanipur4]]+Stock_year[[#This Row],[Closing Stock Ulukhola4]])</f>
        <v>2907.76</v>
      </c>
      <c r="BM69" s="32">
        <f ca="1">Stock_year[[#This Row],[Closing Damage unit3]]</f>
        <v>0</v>
      </c>
      <c r="BN69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70" spans="1:66" x14ac:dyDescent="0.5">
      <c r="A70" t="s">
        <v>138</v>
      </c>
      <c r="B70" t="s">
        <v>829</v>
      </c>
      <c r="C70" s="329">
        <v>14</v>
      </c>
      <c r="D70" s="3">
        <f>130+1</f>
        <v>131</v>
      </c>
      <c r="E70" s="3">
        <f>Stock_year[[#This Row],[Vobanipur Opening]]+Stock_year[[#This Row],[Ulukhola Opening]]</f>
        <v>145</v>
      </c>
      <c r="F70" s="3">
        <f>VLOOKUP(Stock_year[[#This Row],[SKU ID]],SKU[[SKU ID]:[Bottle Size(Ltr)]],6,0)*Stock_year[[#This Row],[Opening Stock (Piece)]]</f>
        <v>1450</v>
      </c>
      <c r="G70" s="3">
        <v>0</v>
      </c>
      <c r="H70" s="3"/>
      <c r="I70" s="3"/>
      <c r="J70" s="3">
        <f>Stock_year[[#This Row],[Vobanipur Opening]]+Stock_year[[#This Row],[New Arrival (vobanipur)]]+Stock_year[[#This Row],[Ulukhola to Vobanipur Transfer]]</f>
        <v>14</v>
      </c>
      <c r="K70" s="3">
        <f>Stock_year[[#This Row],[Ulukhola Opening]]+Stock_year[[#This Row],[New Arrival(ulukhola)]]-Stock_year[[#This Row],[Ulukhola to Vobanipur Transfer]]</f>
        <v>131</v>
      </c>
      <c r="L70" s="3">
        <f>Stock_year[[#This Row],[Opening Stock (Piece)]]+Stock_year[[#This Row],[New Arrival(ulukhola)]]</f>
        <v>145</v>
      </c>
      <c r="M70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70" s="3">
        <f>Stock_year[[#This Row],[Vobanipur Total]]-Stock_year[[#This Row],[Sold Qty(Piece)]]</f>
        <v>14</v>
      </c>
      <c r="O70" s="3">
        <f>Stock_year[[#This Row],[Ulukhola Opening]]-Stock_year[[#This Row],[Ulukhola to Vobanipur Transfer]]+Stock_year[[#This Row],[New Arrival(ulukhola)]]</f>
        <v>131</v>
      </c>
      <c r="P70" s="3">
        <f>Stock_year[[#This Row],[Ulukhola Total]]</f>
        <v>131</v>
      </c>
      <c r="Q70" s="3">
        <v>0</v>
      </c>
      <c r="R70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70" s="303">
        <f>Stock_year[[#This Row],[Closing Stock Vobanipur]]</f>
        <v>14</v>
      </c>
      <c r="T70" s="303">
        <f>Stock_year[[#This Row],[Closing Stock Ulukhola]]</f>
        <v>131</v>
      </c>
      <c r="U70" s="303">
        <f>Stock_year[[#This Row],[Vobanipur Opening2]]+Stock_year[[#This Row],[Ulukhola Opening2]]</f>
        <v>145</v>
      </c>
      <c r="V70" s="303">
        <f>VLOOKUP(Stock_year[[#This Row],[SKU ID]],SKU[[SKU ID]:[Bottle Size(Ltr)]],6,0)*Stock_year[[#This Row],[Opening Stock (Piece)2]]</f>
        <v>1450</v>
      </c>
      <c r="W70" s="303">
        <v>0</v>
      </c>
      <c r="X70" s="303"/>
      <c r="Y70" s="303"/>
      <c r="Z70" s="303">
        <f>Stock_year[[#This Row],[Vobanipur Opening2]]+Stock_year[[#This Row],[Ulukhola to Vobanipur Transfer2]]+Stock_year[[#This Row],[New Arrival (vobanipur)2]]</f>
        <v>14</v>
      </c>
      <c r="AA70" s="303">
        <f>Stock_year[[#This Row],[Ulukhola Opening2]]-Stock_year[[#This Row],[Ulukhola to Vobanipur Transfer2]]+Stock_year[[#This Row],[New Arrival(ulukhola)2]]</f>
        <v>131</v>
      </c>
      <c r="AB70" s="303">
        <f>Stock_year[[#This Row],[Vobanipur Total2]]+Stock_year[[#This Row],[Ulukhola Total2]]</f>
        <v>145</v>
      </c>
      <c r="AC70" s="303">
        <f>SUMIFS(Primary_Order[Total Qty],Primary_Order[Date],"&gt;="&amp;S$1,Primary_Order[Date],"&lt;="&amp;EOMONTH(S$1,0),Primary_Order[Product ID],Stock_year[[#This Row],[SKU ID]],Primary_Order[Status],'Stock Report'!$A$1)</f>
        <v>0</v>
      </c>
      <c r="AD70" s="303">
        <f>Stock_year[[#This Row],[Vobanipur Total2]]-Stock_year[[#This Row],[Sold Qty(Piece)2]]</f>
        <v>14</v>
      </c>
      <c r="AE70" s="303">
        <f>Stock_year[[#This Row],[Ulukhola Opening2]]-Stock_year[[#This Row],[Ulukhola to Vobanipur Transfer2]]+Stock_year[[#This Row],[New Arrival(ulukhola)2]]</f>
        <v>131</v>
      </c>
      <c r="AF70" s="303">
        <f>VLOOKUP(Stock_year[[#This Row],[SKU ID]],SKU[],14,0)*(Stock_year[[#This Row],[Closing Stock Vobanipur2]]+Stock_year[[#This Row],[Closing Stock Ulukhola2]])</f>
        <v>549212.15</v>
      </c>
      <c r="AG70" s="303">
        <f ca="1">OFFSET(Stock_year[[#This Row],[Total Closing Stock Value2]],0,-14)</f>
        <v>0</v>
      </c>
      <c r="AH70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70" s="302">
        <f>Stock_year[[#This Row],[Closing Stock Vobanipur2]]</f>
        <v>14</v>
      </c>
      <c r="AJ70" s="303">
        <f>Stock_year[[#This Row],[Closing Stock Ulukhola2]]</f>
        <v>131</v>
      </c>
      <c r="AK70" s="303">
        <f>Stock_year[[#This Row],[Vobanipur Opening3]]+Stock_year[[#This Row],[Ulukhola Opening3]]</f>
        <v>145</v>
      </c>
      <c r="AL70" s="303">
        <f>VLOOKUP(Stock_year[[#This Row],[SKU ID]],SKU[[SKU ID]:[Bottle Size(Ltr)]],6,0)*Stock_year[[#This Row],[Opening Stock (Piece)3]]</f>
        <v>1450</v>
      </c>
      <c r="AM70" s="303">
        <v>0</v>
      </c>
      <c r="AN70" s="303"/>
      <c r="AO70" s="303"/>
      <c r="AP70" s="303">
        <f>Stock_year[[#This Row],[Vobanipur Opening3]]+Stock_year[[#This Row],[New Arrival (vobanipur)3]]+Stock_year[[#This Row],[Ulukhola to Vobanipur Transfer3]]</f>
        <v>14</v>
      </c>
      <c r="AQ70" s="303">
        <f>Stock_year[[#This Row],[Ulukhola Opening3]]-Stock_year[[#This Row],[Ulukhola to Vobanipur Transfer3]]+Stock_year[[#This Row],[New Arrival(ulukhola)3]]</f>
        <v>131</v>
      </c>
      <c r="AR70" s="303">
        <f>Stock_year[[#This Row],[Vobanipur Total3]]+Stock_year[[#This Row],[Ulukhola Total3]]</f>
        <v>145</v>
      </c>
      <c r="AS70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70" s="303">
        <f>Stock_year[[#This Row],[Vobanipur Total3]]-Stock_year[[#This Row],[Sold Qty(Piece)3]]</f>
        <v>14</v>
      </c>
      <c r="AU70" s="303">
        <f>Stock_year[[#This Row],[Ulukhola Total3]]</f>
        <v>131</v>
      </c>
      <c r="AV70" s="303">
        <f>VLOOKUP(Stock_year[[#This Row],[SKU ID]],SKU[],14,0)*(Stock_year[[#This Row],[Closing Stock Vobanipur3]]+Stock_year[[#This Row],[Closing Stock Ulukhola3]])</f>
        <v>549212.15</v>
      </c>
      <c r="AW70" s="303">
        <f ca="1">Stock_year[[#This Row],[Closing Damage unit2]]</f>
        <v>0</v>
      </c>
      <c r="AX70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70" s="32">
        <f>Stock_year[[#This Row],[Closing Stock Vobanipur3]]</f>
        <v>14</v>
      </c>
      <c r="AZ70" s="32">
        <f>Stock_year[[#This Row],[Closing Stock Ulukhola3]]</f>
        <v>131</v>
      </c>
      <c r="BA70" s="32">
        <f>Stock_year[[#This Row],[Vobanipur Opening4]]+Stock_year[[#This Row],[Ulukhola Opening4]]</f>
        <v>145</v>
      </c>
      <c r="BB70" s="32">
        <f>VLOOKUP(Stock_year[[#This Row],[SKU ID]],SKU[[SKU ID]:[Bottle Size(Ltr)]],6,0)*Stock_year[[#This Row],[Opening Stock (Piece)4]]</f>
        <v>1450</v>
      </c>
      <c r="BC70" s="32">
        <v>131</v>
      </c>
      <c r="BD70" s="32"/>
      <c r="BE70" s="32"/>
      <c r="BF70" s="32">
        <f>Stock_year[[#This Row],[Vobanipur Opening4]]+Stock_year[[#This Row],[New Arrival (vobanipur)4]]+Stock_year[[#This Row],[Ulukhola to Vobanipur Transfer4]]</f>
        <v>145</v>
      </c>
      <c r="BG70" s="32">
        <f>Stock_year[[#This Row],[Ulukhola Opening4]]-Stock_year[[#This Row],[Ulukhola to Vobanipur Transfer4]]+Stock_year[[#This Row],[New Arrival(ulukhola)4]]</f>
        <v>0</v>
      </c>
      <c r="BH70" s="32">
        <f>Stock_year[[#This Row],[Vobanipur Total4]]+Stock_year[[#This Row],[Ulukhola Total4]]</f>
        <v>145</v>
      </c>
      <c r="BI70" s="32">
        <f>SUMIFS(Primary_Order[Total Qty],Primary_Order[Date],"&gt;="&amp;AY$1,Primary_Order[Date],"&lt;="&amp;EOMONTH(AY$1,0),Primary_Order[Product ID],Stock_year[[#This Row],[SKU ID]],Primary_Order[Status],'Stock Report'!$A$1)</f>
        <v>144</v>
      </c>
      <c r="BJ70" s="32">
        <f>Stock_year[[#This Row],[Vobanipur Total4]]-Stock_year[[#This Row],[Sold Qty(Piece)4]]</f>
        <v>1</v>
      </c>
      <c r="BK70" s="32">
        <f>Stock_year[[#This Row],[Ulukhola Total4]]</f>
        <v>0</v>
      </c>
      <c r="BL70" s="32">
        <f>VLOOKUP(Stock_year[[#This Row],[SKU ID]],SKU[],14,0)*(Stock_year[[#This Row],[Closing Stock Vobanipur4]]+Stock_year[[#This Row],[Closing Stock Ulukhola4]])</f>
        <v>3787.67</v>
      </c>
      <c r="BM70" s="32">
        <f ca="1">Stock_year[[#This Row],[Closing Damage unit3]]</f>
        <v>0</v>
      </c>
      <c r="BN70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71" spans="1:66" x14ac:dyDescent="0.5">
      <c r="A71" t="s">
        <v>369</v>
      </c>
      <c r="B71" t="s">
        <v>830</v>
      </c>
      <c r="C71" s="329">
        <v>71</v>
      </c>
      <c r="D71" s="3">
        <v>0</v>
      </c>
      <c r="E71" s="3">
        <f>Stock_year[[#This Row],[Vobanipur Opening]]+Stock_year[[#This Row],[Ulukhola Opening]]</f>
        <v>71</v>
      </c>
      <c r="F71" s="3">
        <f>VLOOKUP(Stock_year[[#This Row],[SKU ID]],SKU[[SKU ID]:[Bottle Size(Ltr)]],6,0)*Stock_year[[#This Row],[Opening Stock (Piece)]]</f>
        <v>5.3250000000000002</v>
      </c>
      <c r="G71" s="3">
        <v>0</v>
      </c>
      <c r="H71" s="3"/>
      <c r="I71" s="3"/>
      <c r="J71" s="3">
        <f>Stock_year[[#This Row],[Vobanipur Opening]]+Stock_year[[#This Row],[New Arrival (vobanipur)]]+Stock_year[[#This Row],[Ulukhola to Vobanipur Transfer]]</f>
        <v>71</v>
      </c>
      <c r="K71" s="3">
        <f>Stock_year[[#This Row],[Ulukhola Opening]]+Stock_year[[#This Row],[New Arrival(ulukhola)]]-Stock_year[[#This Row],[Ulukhola to Vobanipur Transfer]]</f>
        <v>0</v>
      </c>
      <c r="L71" s="3">
        <f>Stock_year[[#This Row],[Opening Stock (Piece)]]+Stock_year[[#This Row],[New Arrival(ulukhola)]]</f>
        <v>71</v>
      </c>
      <c r="M71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71" s="3">
        <f>Stock_year[[#This Row],[Vobanipur Total]]-Stock_year[[#This Row],[Sold Qty(Piece)]]</f>
        <v>71</v>
      </c>
      <c r="O71" s="3">
        <f>Stock_year[[#This Row],[Ulukhola Opening]]-Stock_year[[#This Row],[Ulukhola to Vobanipur Transfer]]+Stock_year[[#This Row],[New Arrival(ulukhola)]]</f>
        <v>0</v>
      </c>
      <c r="P71" s="3">
        <f>Stock_year[[#This Row],[Ulukhola Total]]</f>
        <v>0</v>
      </c>
      <c r="Q71" s="3">
        <v>0</v>
      </c>
      <c r="R71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71" s="303">
        <f>Stock_year[[#This Row],[Closing Stock Vobanipur]]</f>
        <v>71</v>
      </c>
      <c r="T71" s="303">
        <f>Stock_year[[#This Row],[Closing Stock Ulukhola]]</f>
        <v>0</v>
      </c>
      <c r="U71" s="303">
        <f>Stock_year[[#This Row],[Vobanipur Opening2]]+Stock_year[[#This Row],[Ulukhola Opening2]]</f>
        <v>71</v>
      </c>
      <c r="V71" s="303">
        <f>VLOOKUP(Stock_year[[#This Row],[SKU ID]],SKU[[SKU ID]:[Bottle Size(Ltr)]],6,0)*Stock_year[[#This Row],[Opening Stock (Piece)2]]</f>
        <v>5.3250000000000002</v>
      </c>
      <c r="W71" s="303">
        <v>0</v>
      </c>
      <c r="X71" s="303"/>
      <c r="Y71" s="303"/>
      <c r="Z71" s="303">
        <f>Stock_year[[#This Row],[Vobanipur Opening2]]+Stock_year[[#This Row],[Ulukhola to Vobanipur Transfer2]]+Stock_year[[#This Row],[New Arrival (vobanipur)2]]</f>
        <v>71</v>
      </c>
      <c r="AA71" s="303">
        <f>Stock_year[[#This Row],[Ulukhola Opening2]]-Stock_year[[#This Row],[Ulukhola to Vobanipur Transfer2]]+Stock_year[[#This Row],[New Arrival(ulukhola)2]]</f>
        <v>0</v>
      </c>
      <c r="AB71" s="303">
        <f>Stock_year[[#This Row],[Vobanipur Total2]]+Stock_year[[#This Row],[Ulukhola Total2]]</f>
        <v>71</v>
      </c>
      <c r="AC71" s="303">
        <f>SUMIFS(Primary_Order[Total Qty],Primary_Order[Date],"&gt;="&amp;S$1,Primary_Order[Date],"&lt;="&amp;EOMONTH(S$1,0),Primary_Order[Product ID],Stock_year[[#This Row],[SKU ID]],Primary_Order[Status],'Stock Report'!$A$1)</f>
        <v>69</v>
      </c>
      <c r="AD71" s="303">
        <f>Stock_year[[#This Row],[Vobanipur Total2]]-Stock_year[[#This Row],[Sold Qty(Piece)2]]</f>
        <v>2</v>
      </c>
      <c r="AE71" s="303">
        <f>Stock_year[[#This Row],[Ulukhola Opening2]]-Stock_year[[#This Row],[Ulukhola to Vobanipur Transfer2]]+Stock_year[[#This Row],[New Arrival(ulukhola)2]]</f>
        <v>0</v>
      </c>
      <c r="AF71" s="303">
        <f>VLOOKUP(Stock_year[[#This Row],[SKU ID]],SKU[],14,0)*(Stock_year[[#This Row],[Closing Stock Vobanipur2]]+Stock_year[[#This Row],[Closing Stock Ulukhola2]])</f>
        <v>264.54000000000002</v>
      </c>
      <c r="AG71" s="303">
        <f ca="1">OFFSET(Stock_year[[#This Row],[Total Closing Stock Value2]],0,-14)</f>
        <v>0</v>
      </c>
      <c r="AH71" s="304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71" s="302">
        <f>Stock_year[[#This Row],[Closing Stock Vobanipur2]]</f>
        <v>2</v>
      </c>
      <c r="AJ71" s="303">
        <f>Stock_year[[#This Row],[Closing Stock Ulukhola2]]</f>
        <v>0</v>
      </c>
      <c r="AK71" s="303">
        <f>Stock_year[[#This Row],[Vobanipur Opening3]]+Stock_year[[#This Row],[Ulukhola Opening3]]</f>
        <v>2</v>
      </c>
      <c r="AL71" s="303">
        <f>VLOOKUP(Stock_year[[#This Row],[SKU ID]],SKU[[SKU ID]:[Bottle Size(Ltr)]],6,0)*Stock_year[[#This Row],[Opening Stock (Piece)3]]</f>
        <v>0.15</v>
      </c>
      <c r="AM71" s="303">
        <v>0</v>
      </c>
      <c r="AN71" s="303"/>
      <c r="AO71" s="303"/>
      <c r="AP71" s="303">
        <f>Stock_year[[#This Row],[Vobanipur Opening3]]+Stock_year[[#This Row],[New Arrival (vobanipur)3]]+Stock_year[[#This Row],[Ulukhola to Vobanipur Transfer3]]</f>
        <v>2</v>
      </c>
      <c r="AQ71" s="303">
        <f>Stock_year[[#This Row],[Ulukhola Opening3]]-Stock_year[[#This Row],[Ulukhola to Vobanipur Transfer3]]+Stock_year[[#This Row],[New Arrival(ulukhola)3]]</f>
        <v>0</v>
      </c>
      <c r="AR71" s="303">
        <f>Stock_year[[#This Row],[Vobanipur Total3]]+Stock_year[[#This Row],[Ulukhola Total3]]</f>
        <v>2</v>
      </c>
      <c r="AS71" s="303">
        <f>SUMIFS(Primary_Order[Total Qty],Primary_Order[Date],"&gt;="&amp;AI$1,Primary_Order[Date],"&lt;="&amp;EOMONTH(AI$1,0),Primary_Order[Product ID],Stock_year[[#This Row],[SKU ID]],Primary_Order[Status],'Stock Report'!$A$1)</f>
        <v>0</v>
      </c>
      <c r="AT71" s="303">
        <f>Stock_year[[#This Row],[Vobanipur Total3]]-Stock_year[[#This Row],[Sold Qty(Piece)3]]</f>
        <v>2</v>
      </c>
      <c r="AU71" s="303">
        <f>Stock_year[[#This Row],[Ulukhola Total3]]</f>
        <v>0</v>
      </c>
      <c r="AV71" s="303">
        <f>VLOOKUP(Stock_year[[#This Row],[SKU ID]],SKU[],14,0)*(Stock_year[[#This Row],[Closing Stock Vobanipur3]]+Stock_year[[#This Row],[Closing Stock Ulukhola3]])</f>
        <v>264.54000000000002</v>
      </c>
      <c r="AW71" s="303">
        <f ca="1">Stock_year[[#This Row],[Closing Damage unit2]]</f>
        <v>0</v>
      </c>
      <c r="AX71" s="304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71" s="32">
        <f>Stock_year[[#This Row],[Closing Stock Vobanipur3]]</f>
        <v>2</v>
      </c>
      <c r="AZ71" s="32">
        <f>Stock_year[[#This Row],[Closing Stock Ulukhola3]]</f>
        <v>0</v>
      </c>
      <c r="BA71" s="32">
        <f>Stock_year[[#This Row],[Vobanipur Opening4]]+Stock_year[[#This Row],[Ulukhola Opening4]]</f>
        <v>2</v>
      </c>
      <c r="BB71" s="32">
        <f>VLOOKUP(Stock_year[[#This Row],[SKU ID]],SKU[[SKU ID]:[Bottle Size(Ltr)]],6,0)*Stock_year[[#This Row],[Opening Stock (Piece)4]]</f>
        <v>0.15</v>
      </c>
      <c r="BC71" s="32">
        <v>0</v>
      </c>
      <c r="BD71" s="32"/>
      <c r="BE71" s="32"/>
      <c r="BF71" s="32">
        <f>Stock_year[[#This Row],[Vobanipur Opening4]]+Stock_year[[#This Row],[New Arrival (vobanipur)4]]+Stock_year[[#This Row],[Ulukhola to Vobanipur Transfer4]]</f>
        <v>2</v>
      </c>
      <c r="BG71" s="32">
        <f>Stock_year[[#This Row],[Ulukhola Opening4]]-Stock_year[[#This Row],[Ulukhola to Vobanipur Transfer4]]+Stock_year[[#This Row],[New Arrival(ulukhola)4]]</f>
        <v>0</v>
      </c>
      <c r="BH71" s="32">
        <f>Stock_year[[#This Row],[Vobanipur Total4]]+Stock_year[[#This Row],[Ulukhola Total4]]</f>
        <v>2</v>
      </c>
      <c r="BI71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71" s="32">
        <f>Stock_year[[#This Row],[Vobanipur Total4]]-Stock_year[[#This Row],[Sold Qty(Piece)4]]</f>
        <v>2</v>
      </c>
      <c r="BK71" s="32">
        <f>Stock_year[[#This Row],[Ulukhola Total4]]</f>
        <v>0</v>
      </c>
      <c r="BL71" s="32">
        <f>VLOOKUP(Stock_year[[#This Row],[SKU ID]],SKU[],14,0)*(Stock_year[[#This Row],[Closing Stock Vobanipur4]]+Stock_year[[#This Row],[Closing Stock Ulukhola4]])</f>
        <v>264.54000000000002</v>
      </c>
      <c r="BM71" s="32">
        <f ca="1">Stock_year[[#This Row],[Closing Damage unit3]]</f>
        <v>0</v>
      </c>
      <c r="BN71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72" spans="1:66" ht="17" thickBot="1" x14ac:dyDescent="0.55000000000000004">
      <c r="A72" t="s">
        <v>372</v>
      </c>
      <c r="B72" t="s">
        <v>831</v>
      </c>
      <c r="C72" s="331">
        <f>119-2</f>
        <v>117</v>
      </c>
      <c r="D72" s="3">
        <v>0</v>
      </c>
      <c r="E72" s="3">
        <f>Stock_year[[#This Row],[Vobanipur Opening]]+Stock_year[[#This Row],[Ulukhola Opening]]</f>
        <v>117</v>
      </c>
      <c r="F72" s="3">
        <f>VLOOKUP(Stock_year[[#This Row],[SKU ID]],SKU[[SKU ID]:[Bottle Size(Ltr)]],6,0)*Stock_year[[#This Row],[Opening Stock (Piece)]]</f>
        <v>46.800000000000004</v>
      </c>
      <c r="G72" s="3">
        <v>0</v>
      </c>
      <c r="H72" s="3"/>
      <c r="I72" s="3"/>
      <c r="J72" s="3">
        <f>Stock_year[[#This Row],[Vobanipur Opening]]+Stock_year[[#This Row],[New Arrival (vobanipur)]]+Stock_year[[#This Row],[Ulukhola to Vobanipur Transfer]]</f>
        <v>117</v>
      </c>
      <c r="K72" s="3">
        <f>Stock_year[[#This Row],[Ulukhola Opening]]+Stock_year[[#This Row],[New Arrival(ulukhola)]]-Stock_year[[#This Row],[Ulukhola to Vobanipur Transfer]]</f>
        <v>0</v>
      </c>
      <c r="L72" s="3">
        <f>Stock_year[[#This Row],[Opening Stock (Piece)]]+Stock_year[[#This Row],[New Arrival(ulukhola)]]</f>
        <v>117</v>
      </c>
      <c r="M72" s="3">
        <f>SUMIFS(Primary_Order[Total Qty],Primary_Order[Date],"&gt;="&amp;C$1,Primary_Order[Date],"&lt;="&amp;EOMONTH(C$1,0),Primary_Order[Product ID],Stock_year[[#This Row],[SKU ID]],Primary_Order[Status],'Stock Report'!$A$1)</f>
        <v>0</v>
      </c>
      <c r="N72" s="3">
        <f>Stock_year[[#This Row],[Vobanipur Total]]-Stock_year[[#This Row],[Sold Qty(Piece)]]</f>
        <v>117</v>
      </c>
      <c r="O72" s="3">
        <f>Stock_year[[#This Row],[Ulukhola Opening]]-Stock_year[[#This Row],[Ulukhola to Vobanipur Transfer]]+Stock_year[[#This Row],[New Arrival(ulukhola)]]</f>
        <v>0</v>
      </c>
      <c r="P72" s="3">
        <f>Stock_year[[#This Row],[Ulukhola Total]]</f>
        <v>0</v>
      </c>
      <c r="Q72" s="3">
        <v>0</v>
      </c>
      <c r="R72" s="330">
        <f>Stock_year[[#This Row],[Opening Damage Unit]]-SUMIFS(Primary_Order[Total Qty],Primary_Order[Date],"&gt;="&amp;C$1,Primary_Order[Date],"&lt;="&amp;EOMONTH(C$1,0),Primary_Order[Product ID],Stock_year[[#This Row],[SKU ID]],Primary_Order[Status],"DMG-Sold")</f>
        <v>0</v>
      </c>
      <c r="S72" s="305">
        <f>Stock_year[[#This Row],[Closing Stock Vobanipur]]</f>
        <v>117</v>
      </c>
      <c r="T72" s="305">
        <f>Stock_year[[#This Row],[Closing Stock Ulukhola]]</f>
        <v>0</v>
      </c>
      <c r="U72" s="305">
        <f>Stock_year[[#This Row],[Vobanipur Opening2]]+Stock_year[[#This Row],[Ulukhola Opening2]]</f>
        <v>117</v>
      </c>
      <c r="V72" s="305">
        <f>VLOOKUP(Stock_year[[#This Row],[SKU ID]],SKU[[SKU ID]:[Bottle Size(Ltr)]],6,0)*Stock_year[[#This Row],[Opening Stock (Piece)2]]</f>
        <v>46.800000000000004</v>
      </c>
      <c r="W72" s="305">
        <v>0</v>
      </c>
      <c r="X72" s="305"/>
      <c r="Y72" s="305"/>
      <c r="Z72" s="305">
        <f>Stock_year[[#This Row],[Vobanipur Opening2]]+Stock_year[[#This Row],[Ulukhola to Vobanipur Transfer2]]+Stock_year[[#This Row],[New Arrival (vobanipur)2]]</f>
        <v>117</v>
      </c>
      <c r="AA72" s="305">
        <f>Stock_year[[#This Row],[Ulukhola Opening2]]-Stock_year[[#This Row],[Ulukhola to Vobanipur Transfer2]]+Stock_year[[#This Row],[New Arrival(ulukhola)2]]</f>
        <v>0</v>
      </c>
      <c r="AB72" s="305">
        <f>Stock_year[[#This Row],[Vobanipur Total2]]+Stock_year[[#This Row],[Ulukhola Total2]]</f>
        <v>117</v>
      </c>
      <c r="AC72" s="305">
        <f>SUMIFS(Primary_Order[Total Qty],Primary_Order[Date],"&gt;="&amp;S$1,Primary_Order[Date],"&lt;="&amp;EOMONTH(S$1,0),Primary_Order[Product ID],Stock_year[[#This Row],[SKU ID]],Primary_Order[Status],'Stock Report'!$A$1)</f>
        <v>115</v>
      </c>
      <c r="AD72" s="305">
        <f>Stock_year[[#This Row],[Vobanipur Total2]]-Stock_year[[#This Row],[Sold Qty(Piece)2]]</f>
        <v>2</v>
      </c>
      <c r="AE72" s="305">
        <f>Stock_year[[#This Row],[Ulukhola Opening2]]-Stock_year[[#This Row],[Ulukhola to Vobanipur Transfer2]]+Stock_year[[#This Row],[New Arrival(ulukhola)2]]</f>
        <v>0</v>
      </c>
      <c r="AF72" s="305">
        <f>VLOOKUP(Stock_year[[#This Row],[SKU ID]],SKU[],14,0)*(Stock_year[[#This Row],[Closing Stock Vobanipur2]]+Stock_year[[#This Row],[Closing Stock Ulukhola2]])</f>
        <v>847.9</v>
      </c>
      <c r="AG72" s="305">
        <f ca="1">OFFSET(Stock_year[[#This Row],[Total Closing Stock Value2]],0,-14)</f>
        <v>0</v>
      </c>
      <c r="AH72" s="306">
        <f ca="1">Stock_year[[#This Row],[Opening Damage Unit2]]-SUMIFS(Primary_Order[Total Qty],Primary_Order[Date],"&gt;="&amp;S$1,Primary_Order[Date],"&lt;="&amp;EOMONTH(S$1,0),Primary_Order[Product ID],Stock_year[[#This Row],[SKU ID]],Primary_Order[Status],"DMG-Sold")</f>
        <v>0</v>
      </c>
      <c r="AI72" s="311">
        <f>Stock_year[[#This Row],[Closing Stock Vobanipur2]]</f>
        <v>2</v>
      </c>
      <c r="AJ72" s="305">
        <f>Stock_year[[#This Row],[Closing Stock Ulukhola2]]</f>
        <v>0</v>
      </c>
      <c r="AK72" s="305">
        <f>Stock_year[[#This Row],[Vobanipur Opening3]]+Stock_year[[#This Row],[Ulukhola Opening3]]</f>
        <v>2</v>
      </c>
      <c r="AL72" s="305">
        <f>VLOOKUP(Stock_year[[#This Row],[SKU ID]],SKU[[SKU ID]:[Bottle Size(Ltr)]],6,0)*Stock_year[[#This Row],[Opening Stock (Piece)3]]</f>
        <v>0.8</v>
      </c>
      <c r="AM72" s="305">
        <v>0</v>
      </c>
      <c r="AN72" s="305"/>
      <c r="AO72" s="305"/>
      <c r="AP72" s="305">
        <f>Stock_year[[#This Row],[Vobanipur Opening3]]+Stock_year[[#This Row],[New Arrival (vobanipur)3]]+Stock_year[[#This Row],[Ulukhola to Vobanipur Transfer3]]</f>
        <v>2</v>
      </c>
      <c r="AQ72" s="305">
        <f>Stock_year[[#This Row],[Ulukhola Opening3]]-Stock_year[[#This Row],[Ulukhola to Vobanipur Transfer3]]+Stock_year[[#This Row],[New Arrival(ulukhola)3]]</f>
        <v>0</v>
      </c>
      <c r="AR72" s="305">
        <f>Stock_year[[#This Row],[Vobanipur Total3]]+Stock_year[[#This Row],[Ulukhola Total3]]</f>
        <v>2</v>
      </c>
      <c r="AS72" s="305">
        <f>SUMIFS(Primary_Order[Total Qty],Primary_Order[Date],"&gt;="&amp;AI$1,Primary_Order[Date],"&lt;="&amp;EOMONTH(AI$1,0),Primary_Order[Product ID],Stock_year[[#This Row],[SKU ID]],Primary_Order[Status],'Stock Report'!$A$1)</f>
        <v>0</v>
      </c>
      <c r="AT72" s="305">
        <f>Stock_year[[#This Row],[Vobanipur Total3]]-Stock_year[[#This Row],[Sold Qty(Piece)3]]</f>
        <v>2</v>
      </c>
      <c r="AU72" s="305">
        <f>Stock_year[[#This Row],[Ulukhola Total3]]</f>
        <v>0</v>
      </c>
      <c r="AV72" s="305">
        <f>VLOOKUP(Stock_year[[#This Row],[SKU ID]],SKU[],14,0)*(Stock_year[[#This Row],[Closing Stock Vobanipur3]]+Stock_year[[#This Row],[Closing Stock Ulukhola3]])</f>
        <v>847.9</v>
      </c>
      <c r="AW72" s="305">
        <f ca="1">Stock_year[[#This Row],[Closing Damage unit2]]</f>
        <v>0</v>
      </c>
      <c r="AX72" s="306">
        <f ca="1">Stock_year[[#This Row],[Opening Damage Unit3]]-SUMIFS(Primary_Order[Total Qty],Primary_Order[Date],"&gt;="&amp;AI$1,Primary_Order[Date],"&lt;="&amp;EOMONTH(AI$1,0),Primary_Order[Product ID],Stock_year[[#This Row],[SKU ID]],Primary_Order[Status],"DMG-Sold")</f>
        <v>0</v>
      </c>
      <c r="AY72" s="32">
        <f>Stock_year[[#This Row],[Closing Stock Vobanipur3]]</f>
        <v>2</v>
      </c>
      <c r="AZ72" s="32">
        <f>Stock_year[[#This Row],[Closing Stock Ulukhola3]]</f>
        <v>0</v>
      </c>
      <c r="BA72" s="32">
        <f>Stock_year[[#This Row],[Vobanipur Opening4]]+Stock_year[[#This Row],[Ulukhola Opening4]]</f>
        <v>2</v>
      </c>
      <c r="BB72" s="32">
        <f>VLOOKUP(Stock_year[[#This Row],[SKU ID]],SKU[[SKU ID]:[Bottle Size(Ltr)]],6,0)*Stock_year[[#This Row],[Opening Stock (Piece)4]]</f>
        <v>0.8</v>
      </c>
      <c r="BC72" s="32">
        <v>0</v>
      </c>
      <c r="BD72" s="32"/>
      <c r="BE72" s="32"/>
      <c r="BF72" s="32">
        <f>Stock_year[[#This Row],[Vobanipur Opening4]]+Stock_year[[#This Row],[New Arrival (vobanipur)4]]+Stock_year[[#This Row],[Ulukhola to Vobanipur Transfer4]]</f>
        <v>2</v>
      </c>
      <c r="BG72" s="32">
        <f>Stock_year[[#This Row],[Ulukhola Opening4]]-Stock_year[[#This Row],[Ulukhola to Vobanipur Transfer4]]+Stock_year[[#This Row],[New Arrival(ulukhola)4]]</f>
        <v>0</v>
      </c>
      <c r="BH72" s="32">
        <f>Stock_year[[#This Row],[Vobanipur Total4]]+Stock_year[[#This Row],[Ulukhola Total4]]</f>
        <v>2</v>
      </c>
      <c r="BI72" s="32">
        <f>SUMIFS(Primary_Order[Total Qty],Primary_Order[Date],"&gt;="&amp;AY$1,Primary_Order[Date],"&lt;="&amp;EOMONTH(AY$1,0),Primary_Order[Product ID],Stock_year[[#This Row],[SKU ID]],Primary_Order[Status],'Stock Report'!$A$1)</f>
        <v>0</v>
      </c>
      <c r="BJ72" s="32">
        <f>Stock_year[[#This Row],[Vobanipur Total4]]-Stock_year[[#This Row],[Sold Qty(Piece)4]]</f>
        <v>2</v>
      </c>
      <c r="BK72" s="32">
        <f>Stock_year[[#This Row],[Ulukhola Total4]]</f>
        <v>0</v>
      </c>
      <c r="BL72" s="32">
        <f>VLOOKUP(Stock_year[[#This Row],[SKU ID]],SKU[],14,0)*(Stock_year[[#This Row],[Closing Stock Vobanipur4]]+Stock_year[[#This Row],[Closing Stock Ulukhola4]])</f>
        <v>847.9</v>
      </c>
      <c r="BM72" s="32">
        <f ca="1">Stock_year[[#This Row],[Closing Damage unit3]]</f>
        <v>0</v>
      </c>
      <c r="BN72" s="32">
        <f ca="1">Stock_year[[#This Row],[Opening Damage Unit4]]-SUMIFS(Primary_Order[Total Qty],Primary_Order[Date],"&gt;="&amp;AY$1,Primary_Order[Date],"&lt;="&amp;EOMONTH(AY$1,0),Primary_Order[Product ID],Stock_year[[#This Row],[SKU ID]],Primary_Order[Status],"DMG-Sold")</f>
        <v>0</v>
      </c>
    </row>
    <row r="76" spans="1:66" ht="17" thickBot="1" x14ac:dyDescent="0.55000000000000004"/>
    <row r="77" spans="1:66" ht="17" thickBot="1" x14ac:dyDescent="0.55000000000000004">
      <c r="A77" s="66" t="s">
        <v>1139</v>
      </c>
      <c r="B77" s="67"/>
    </row>
  </sheetData>
  <mergeCells count="2">
    <mergeCell ref="BO1:CD1"/>
    <mergeCell ref="A1:B1"/>
  </mergeCells>
  <phoneticPr fontId="3" type="noConversion"/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F2D52-2CAF-469A-A299-2D0F0E053B7D}">
  <sheetPr codeName="Sheet12"/>
  <dimension ref="A1:L72"/>
  <sheetViews>
    <sheetView workbookViewId="0">
      <pane ySplit="2" topLeftCell="A3" activePane="bottomLeft" state="frozen"/>
      <selection pane="bottomLeft" activeCell="L5" sqref="L5"/>
    </sheetView>
  </sheetViews>
  <sheetFormatPr defaultRowHeight="16.5" x14ac:dyDescent="0.5"/>
  <cols>
    <col min="1" max="1" width="8.453125" bestFit="1" customWidth="1"/>
    <col min="2" max="2" width="48.08984375" bestFit="1" customWidth="1"/>
    <col min="3" max="3" width="15.453125" bestFit="1" customWidth="1"/>
    <col min="4" max="4" width="15.36328125" bestFit="1" customWidth="1"/>
    <col min="5" max="5" width="11.7265625" bestFit="1" customWidth="1"/>
    <col min="6" max="6" width="11" bestFit="1" customWidth="1"/>
    <col min="7" max="7" width="8.7265625" customWidth="1"/>
  </cols>
  <sheetData>
    <row r="1" spans="1:12" ht="17" thickBot="1" x14ac:dyDescent="0.55000000000000004">
      <c r="A1" s="395" t="s">
        <v>1436</v>
      </c>
      <c r="B1" s="396"/>
      <c r="C1" s="396"/>
      <c r="D1" s="396"/>
      <c r="E1" s="396"/>
      <c r="F1" s="397"/>
      <c r="I1" s="364" t="s">
        <v>1324</v>
      </c>
      <c r="J1" s="365"/>
    </row>
    <row r="2" spans="1:12" x14ac:dyDescent="0.5">
      <c r="A2" s="361" t="s">
        <v>208</v>
      </c>
      <c r="B2" s="361" t="s">
        <v>1172</v>
      </c>
      <c r="C2" s="361" t="s">
        <v>288</v>
      </c>
      <c r="D2" s="362" t="s">
        <v>1173</v>
      </c>
      <c r="E2" s="363" t="s">
        <v>863</v>
      </c>
      <c r="F2" s="362" t="s">
        <v>871</v>
      </c>
      <c r="I2" s="361" t="s">
        <v>208</v>
      </c>
      <c r="J2" s="361" t="s">
        <v>871</v>
      </c>
    </row>
    <row r="3" spans="1:12" x14ac:dyDescent="0.5">
      <c r="A3" s="2" t="s">
        <v>31</v>
      </c>
      <c r="B3" s="2" t="s">
        <v>763</v>
      </c>
      <c r="C3" s="3">
        <f>_xlfn.IFNA(VLOOKUP(A3,SKU[],5,0),0)</f>
        <v>20</v>
      </c>
      <c r="D3" s="65">
        <f>C3*F3</f>
        <v>9080</v>
      </c>
      <c r="E3" s="133">
        <f>_xlfn.IFNA(VLOOKUP(A3,SKU[],6,0)*D3,0)</f>
        <v>9080</v>
      </c>
      <c r="F3" s="3">
        <f>_xlfn.IFNA(VLOOKUP(A3,$I$3:$J$71,2,0),0)</f>
        <v>454</v>
      </c>
      <c r="I3" s="2" t="s">
        <v>31</v>
      </c>
      <c r="J3" s="19">
        <v>454</v>
      </c>
    </row>
    <row r="4" spans="1:12" x14ac:dyDescent="0.5">
      <c r="A4" s="2" t="s">
        <v>32</v>
      </c>
      <c r="B4" s="2" t="s">
        <v>764</v>
      </c>
      <c r="C4" s="3">
        <f>_xlfn.IFNA(VLOOKUP(A4,SKU[],5,0),0)</f>
        <v>20</v>
      </c>
      <c r="D4" s="65">
        <f t="shared" ref="D4:D67" si="0">C4*F4</f>
        <v>0</v>
      </c>
      <c r="E4" s="133">
        <f>_xlfn.IFNA(VLOOKUP(A4,SKU[],6,0)*D4,0)</f>
        <v>0</v>
      </c>
      <c r="F4" s="3">
        <f t="shared" ref="F4:F67" si="1">_xlfn.IFNA(VLOOKUP(A4,$I$3:$J$71,2,0),0)</f>
        <v>0</v>
      </c>
      <c r="I4" s="2"/>
      <c r="J4" s="2"/>
    </row>
    <row r="5" spans="1:12" x14ac:dyDescent="0.5">
      <c r="A5" s="2" t="s">
        <v>53</v>
      </c>
      <c r="B5" s="2" t="s">
        <v>765</v>
      </c>
      <c r="C5" s="3">
        <f>_xlfn.IFNA(VLOOKUP(A5,SKU[],5,0),0)</f>
        <v>20</v>
      </c>
      <c r="D5" s="65">
        <f t="shared" si="0"/>
        <v>6020</v>
      </c>
      <c r="E5" s="133">
        <f>_xlfn.IFNA(VLOOKUP(A5,SKU[],6,0)*D5,0)</f>
        <v>6020</v>
      </c>
      <c r="F5" s="3">
        <f t="shared" si="1"/>
        <v>301</v>
      </c>
      <c r="I5" s="2" t="s">
        <v>53</v>
      </c>
      <c r="J5" s="2">
        <v>301</v>
      </c>
    </row>
    <row r="6" spans="1:12" x14ac:dyDescent="0.5">
      <c r="A6" s="2" t="s">
        <v>54</v>
      </c>
      <c r="B6" s="2" t="s">
        <v>766</v>
      </c>
      <c r="C6" s="3">
        <f>_xlfn.IFNA(VLOOKUP(A6,SKU[],5,0),0)</f>
        <v>20</v>
      </c>
      <c r="D6" s="65">
        <f t="shared" si="0"/>
        <v>24300</v>
      </c>
      <c r="E6" s="133">
        <f>_xlfn.IFNA(VLOOKUP(A6,SKU[],6,0)*D6,0)</f>
        <v>24300</v>
      </c>
      <c r="F6" s="3">
        <f t="shared" si="1"/>
        <v>1215</v>
      </c>
      <c r="I6" s="2" t="s">
        <v>54</v>
      </c>
      <c r="J6" s="2">
        <v>1215</v>
      </c>
    </row>
    <row r="7" spans="1:12" x14ac:dyDescent="0.5">
      <c r="A7" s="2" t="s">
        <v>75</v>
      </c>
      <c r="B7" s="2" t="s">
        <v>767</v>
      </c>
      <c r="C7" s="3">
        <f>_xlfn.IFNA(VLOOKUP(A7,SKU[],5,0),0)</f>
        <v>20</v>
      </c>
      <c r="D7" s="65">
        <f t="shared" si="0"/>
        <v>0</v>
      </c>
      <c r="E7" s="133">
        <f>_xlfn.IFNA(VLOOKUP(A7,SKU[],6,0)*D7,0)</f>
        <v>0</v>
      </c>
      <c r="F7" s="3">
        <f t="shared" si="1"/>
        <v>0</v>
      </c>
      <c r="I7" s="2"/>
      <c r="J7" s="2"/>
    </row>
    <row r="8" spans="1:12" x14ac:dyDescent="0.5">
      <c r="A8" s="2" t="s">
        <v>77</v>
      </c>
      <c r="B8" s="2" t="s">
        <v>768</v>
      </c>
      <c r="C8" s="3">
        <f>_xlfn.IFNA(VLOOKUP(A8,SKU[],5,0),0)</f>
        <v>20</v>
      </c>
      <c r="D8" s="65">
        <f t="shared" si="0"/>
        <v>0</v>
      </c>
      <c r="E8" s="133">
        <f>_xlfn.IFNA(VLOOKUP(A8,SKU[],6,0)*D8,0)</f>
        <v>0</v>
      </c>
      <c r="F8" s="3">
        <f t="shared" si="1"/>
        <v>0</v>
      </c>
      <c r="I8" s="2"/>
      <c r="J8" s="2"/>
      <c r="L8" s="195"/>
    </row>
    <row r="9" spans="1:12" x14ac:dyDescent="0.5">
      <c r="A9" s="2" t="s">
        <v>345</v>
      </c>
      <c r="B9" s="2" t="s">
        <v>769</v>
      </c>
      <c r="C9" s="3">
        <f>_xlfn.IFNA(VLOOKUP(A9,SKU[],5,0),0)</f>
        <v>4</v>
      </c>
      <c r="D9" s="65">
        <f t="shared" si="0"/>
        <v>0</v>
      </c>
      <c r="E9" s="133">
        <f>_xlfn.IFNA(VLOOKUP(A9,SKU[],6,0)*D9,0)</f>
        <v>0</v>
      </c>
      <c r="F9" s="3">
        <f t="shared" si="1"/>
        <v>0</v>
      </c>
      <c r="I9" s="2"/>
      <c r="J9" s="2"/>
    </row>
    <row r="10" spans="1:12" x14ac:dyDescent="0.5">
      <c r="A10" s="2" t="s">
        <v>35</v>
      </c>
      <c r="B10" s="2" t="s">
        <v>770</v>
      </c>
      <c r="C10" s="3">
        <f>_xlfn.IFNA(VLOOKUP(A10,SKU[],5,0),0)</f>
        <v>12</v>
      </c>
      <c r="D10" s="65">
        <f t="shared" si="0"/>
        <v>0</v>
      </c>
      <c r="E10" s="133">
        <f>_xlfn.IFNA(VLOOKUP(A10,SKU[],6,0)*D10,0)</f>
        <v>0</v>
      </c>
      <c r="F10" s="3">
        <f t="shared" si="1"/>
        <v>0</v>
      </c>
      <c r="I10" s="2"/>
      <c r="J10" s="2"/>
    </row>
    <row r="11" spans="1:12" x14ac:dyDescent="0.5">
      <c r="A11" s="2" t="s">
        <v>36</v>
      </c>
      <c r="B11" s="2" t="s">
        <v>771</v>
      </c>
      <c r="C11" s="3">
        <f>_xlfn.IFNA(VLOOKUP(A11,SKU[],5,0),0)</f>
        <v>12</v>
      </c>
      <c r="D11" s="65">
        <f t="shared" si="0"/>
        <v>0</v>
      </c>
      <c r="E11" s="133">
        <f>_xlfn.IFNA(VLOOKUP(A11,SKU[],6,0)*D11,0)</f>
        <v>0</v>
      </c>
      <c r="F11" s="3">
        <f t="shared" si="1"/>
        <v>0</v>
      </c>
      <c r="I11" s="2"/>
      <c r="J11" s="2"/>
    </row>
    <row r="12" spans="1:12" x14ac:dyDescent="0.5">
      <c r="A12" s="2" t="s">
        <v>56</v>
      </c>
      <c r="B12" s="2" t="s">
        <v>772</v>
      </c>
      <c r="C12" s="3">
        <f>_xlfn.IFNA(VLOOKUP(A12,SKU[],5,0),0)</f>
        <v>12</v>
      </c>
      <c r="D12" s="65">
        <f t="shared" si="0"/>
        <v>0</v>
      </c>
      <c r="E12" s="133">
        <f>_xlfn.IFNA(VLOOKUP(A12,SKU[],6,0)*D12,0)</f>
        <v>0</v>
      </c>
      <c r="F12" s="3">
        <f t="shared" si="1"/>
        <v>0</v>
      </c>
      <c r="I12" s="2"/>
      <c r="J12" s="2"/>
    </row>
    <row r="13" spans="1:12" x14ac:dyDescent="0.5">
      <c r="A13" s="2" t="s">
        <v>57</v>
      </c>
      <c r="B13" s="2" t="s">
        <v>773</v>
      </c>
      <c r="C13" s="3">
        <f>_xlfn.IFNA(VLOOKUP(A13,SKU[],5,0),0)</f>
        <v>12</v>
      </c>
      <c r="D13" s="65">
        <f t="shared" si="0"/>
        <v>0</v>
      </c>
      <c r="E13" s="133">
        <f>_xlfn.IFNA(VLOOKUP(A13,SKU[],6,0)*D13,0)</f>
        <v>0</v>
      </c>
      <c r="F13" s="3">
        <f t="shared" si="1"/>
        <v>0</v>
      </c>
      <c r="I13" s="2"/>
      <c r="J13" s="2"/>
    </row>
    <row r="14" spans="1:12" x14ac:dyDescent="0.5">
      <c r="A14" s="2" t="s">
        <v>58</v>
      </c>
      <c r="B14" s="2" t="s">
        <v>774</v>
      </c>
      <c r="C14" s="3">
        <f>_xlfn.IFNA(VLOOKUP(A14,SKU[],5,0),0)</f>
        <v>12</v>
      </c>
      <c r="D14" s="65">
        <f t="shared" si="0"/>
        <v>0</v>
      </c>
      <c r="E14" s="133">
        <f>_xlfn.IFNA(VLOOKUP(A14,SKU[],6,0)*D14,0)</f>
        <v>0</v>
      </c>
      <c r="F14" s="3">
        <f t="shared" si="1"/>
        <v>0</v>
      </c>
      <c r="I14" s="2"/>
      <c r="J14" s="2"/>
    </row>
    <row r="15" spans="1:12" x14ac:dyDescent="0.5">
      <c r="A15" s="2" t="s">
        <v>349</v>
      </c>
      <c r="B15" s="2" t="s">
        <v>775</v>
      </c>
      <c r="C15" s="3">
        <f>_xlfn.IFNA(VLOOKUP(A15,SKU[],5,0),0)</f>
        <v>4</v>
      </c>
      <c r="D15" s="65">
        <f t="shared" si="0"/>
        <v>0</v>
      </c>
      <c r="E15" s="133">
        <f>_xlfn.IFNA(VLOOKUP(A15,SKU[],6,0)*D15,0)</f>
        <v>0</v>
      </c>
      <c r="F15" s="3">
        <f t="shared" si="1"/>
        <v>0</v>
      </c>
      <c r="I15" s="2"/>
      <c r="J15" s="2"/>
    </row>
    <row r="16" spans="1:12" x14ac:dyDescent="0.5">
      <c r="A16" s="2" t="s">
        <v>96</v>
      </c>
      <c r="B16" s="2" t="s">
        <v>776</v>
      </c>
      <c r="C16" s="3">
        <f>_xlfn.IFNA(VLOOKUP(A16,SKU[],5,0),0)</f>
        <v>4</v>
      </c>
      <c r="D16" s="65">
        <f t="shared" si="0"/>
        <v>0</v>
      </c>
      <c r="E16" s="133">
        <f>_xlfn.IFNA(VLOOKUP(A16,SKU[],6,0)*D16,0)</f>
        <v>0</v>
      </c>
      <c r="F16" s="3">
        <f t="shared" si="1"/>
        <v>0</v>
      </c>
      <c r="I16" s="2"/>
      <c r="J16" s="2"/>
    </row>
    <row r="17" spans="1:10" x14ac:dyDescent="0.5">
      <c r="A17" s="2" t="s">
        <v>353</v>
      </c>
      <c r="B17" s="2" t="s">
        <v>777</v>
      </c>
      <c r="C17" s="3">
        <f>_xlfn.IFNA(VLOOKUP(A17,SKU[],5,0),0)</f>
        <v>20</v>
      </c>
      <c r="D17" s="65">
        <f t="shared" si="0"/>
        <v>0</v>
      </c>
      <c r="E17" s="133">
        <f>_xlfn.IFNA(VLOOKUP(A17,SKU[],6,0)*D17,0)</f>
        <v>0</v>
      </c>
      <c r="F17" s="3">
        <f t="shared" si="1"/>
        <v>0</v>
      </c>
      <c r="I17" s="2"/>
      <c r="J17" s="2"/>
    </row>
    <row r="18" spans="1:10" x14ac:dyDescent="0.5">
      <c r="A18" s="2" t="s">
        <v>145</v>
      </c>
      <c r="B18" s="2" t="s">
        <v>778</v>
      </c>
      <c r="C18" s="3">
        <f>_xlfn.IFNA(VLOOKUP(A18,SKU[],5,0),0)</f>
        <v>20</v>
      </c>
      <c r="D18" s="65">
        <f t="shared" si="0"/>
        <v>0</v>
      </c>
      <c r="E18" s="133">
        <f>_xlfn.IFNA(VLOOKUP(A18,SKU[],6,0)*D18,0)</f>
        <v>0</v>
      </c>
      <c r="F18" s="3">
        <f t="shared" si="1"/>
        <v>0</v>
      </c>
      <c r="I18" s="2"/>
      <c r="J18" s="2"/>
    </row>
    <row r="19" spans="1:10" x14ac:dyDescent="0.5">
      <c r="A19" s="2" t="s">
        <v>117</v>
      </c>
      <c r="B19" s="2" t="s">
        <v>779</v>
      </c>
      <c r="C19" s="3">
        <f>_xlfn.IFNA(VLOOKUP(A19,SKU[],5,0),0)</f>
        <v>40</v>
      </c>
      <c r="D19" s="65">
        <f t="shared" si="0"/>
        <v>0</v>
      </c>
      <c r="E19" s="133">
        <f>_xlfn.IFNA(VLOOKUP(A19,SKU[],6,0)*D19,0)</f>
        <v>0</v>
      </c>
      <c r="F19" s="3">
        <f t="shared" si="1"/>
        <v>0</v>
      </c>
      <c r="I19" s="2"/>
      <c r="J19" s="2"/>
    </row>
    <row r="20" spans="1:10" x14ac:dyDescent="0.5">
      <c r="A20" s="2" t="s">
        <v>357</v>
      </c>
      <c r="B20" s="2" t="s">
        <v>780</v>
      </c>
      <c r="C20" s="3">
        <f>_xlfn.IFNA(VLOOKUP(A20,SKU[],5,0),0)</f>
        <v>12</v>
      </c>
      <c r="D20" s="65">
        <f t="shared" si="0"/>
        <v>0</v>
      </c>
      <c r="E20" s="133">
        <f>_xlfn.IFNA(VLOOKUP(A20,SKU[],6,0)*D20,0)</f>
        <v>0</v>
      </c>
      <c r="F20" s="3">
        <f t="shared" si="1"/>
        <v>0</v>
      </c>
      <c r="I20" s="2"/>
      <c r="J20" s="2"/>
    </row>
    <row r="21" spans="1:10" x14ac:dyDescent="0.5">
      <c r="A21" s="2" t="s">
        <v>106</v>
      </c>
      <c r="B21" s="2" t="s">
        <v>781</v>
      </c>
      <c r="C21" s="3">
        <f>_xlfn.IFNA(VLOOKUP(A21,SKU[],5,0),0)</f>
        <v>12</v>
      </c>
      <c r="D21" s="65">
        <f t="shared" si="0"/>
        <v>0</v>
      </c>
      <c r="E21" s="133">
        <f>_xlfn.IFNA(VLOOKUP(A21,SKU[],6,0)*D21,0)</f>
        <v>0</v>
      </c>
      <c r="F21" s="3">
        <f t="shared" si="1"/>
        <v>0</v>
      </c>
      <c r="I21" s="2"/>
      <c r="J21" s="2"/>
    </row>
    <row r="22" spans="1:10" x14ac:dyDescent="0.5">
      <c r="A22" s="2" t="s">
        <v>152</v>
      </c>
      <c r="B22" s="2" t="s">
        <v>782</v>
      </c>
      <c r="C22" s="3">
        <f>_xlfn.IFNA(VLOOKUP(A22,SKU[],5,0),0)</f>
        <v>20</v>
      </c>
      <c r="D22" s="65">
        <f t="shared" si="0"/>
        <v>0</v>
      </c>
      <c r="E22" s="133">
        <f>_xlfn.IFNA(VLOOKUP(A22,SKU[],6,0)*D22,0)</f>
        <v>0</v>
      </c>
      <c r="F22" s="3">
        <f t="shared" si="1"/>
        <v>0</v>
      </c>
      <c r="I22" s="2"/>
      <c r="J22" s="2"/>
    </row>
    <row r="23" spans="1:10" x14ac:dyDescent="0.5">
      <c r="A23" s="2" t="s">
        <v>59</v>
      </c>
      <c r="B23" s="2" t="s">
        <v>783</v>
      </c>
      <c r="C23" s="3">
        <f>_xlfn.IFNA(VLOOKUP(A23,SKU[],5,0),0)</f>
        <v>20</v>
      </c>
      <c r="D23" s="65">
        <f t="shared" si="0"/>
        <v>0</v>
      </c>
      <c r="E23" s="133">
        <f>_xlfn.IFNA(VLOOKUP(A23,SKU[],6,0)*D23,0)</f>
        <v>0</v>
      </c>
      <c r="F23" s="3">
        <f t="shared" si="1"/>
        <v>0</v>
      </c>
      <c r="I23" s="2"/>
      <c r="J23" s="2"/>
    </row>
    <row r="24" spans="1:10" x14ac:dyDescent="0.5">
      <c r="A24" s="2" t="s">
        <v>156</v>
      </c>
      <c r="B24" s="2" t="s">
        <v>784</v>
      </c>
      <c r="C24" s="3">
        <f>_xlfn.IFNA(VLOOKUP(A24,SKU[],5,0),0)</f>
        <v>4</v>
      </c>
      <c r="D24" s="65">
        <f t="shared" si="0"/>
        <v>232</v>
      </c>
      <c r="E24" s="133">
        <f>_xlfn.IFNA(VLOOKUP(A24,SKU[],6,0)*D24,0)</f>
        <v>928</v>
      </c>
      <c r="F24" s="3">
        <f t="shared" si="1"/>
        <v>58</v>
      </c>
      <c r="I24" s="2" t="s">
        <v>156</v>
      </c>
      <c r="J24" s="2">
        <v>58</v>
      </c>
    </row>
    <row r="25" spans="1:10" x14ac:dyDescent="0.5">
      <c r="A25" s="2" t="s">
        <v>147</v>
      </c>
      <c r="B25" s="2" t="s">
        <v>785</v>
      </c>
      <c r="C25" s="3">
        <f>_xlfn.IFNA(VLOOKUP(A25,SKU[],5,0),0)</f>
        <v>12</v>
      </c>
      <c r="D25" s="65">
        <f t="shared" si="0"/>
        <v>0</v>
      </c>
      <c r="E25" s="133">
        <f>_xlfn.IFNA(VLOOKUP(A25,SKU[],6,0)*D25,0)</f>
        <v>0</v>
      </c>
      <c r="F25" s="3">
        <f t="shared" si="1"/>
        <v>0</v>
      </c>
      <c r="I25" s="2"/>
      <c r="J25" s="2"/>
    </row>
    <row r="26" spans="1:10" x14ac:dyDescent="0.5">
      <c r="A26" s="2" t="s">
        <v>126</v>
      </c>
      <c r="B26" s="2" t="s">
        <v>786</v>
      </c>
      <c r="C26" s="3">
        <f>_xlfn.IFNA(VLOOKUP(A26,SKU[],5,0),0)</f>
        <v>20</v>
      </c>
      <c r="D26" s="65">
        <f t="shared" si="0"/>
        <v>0</v>
      </c>
      <c r="E26" s="133">
        <f>_xlfn.IFNA(VLOOKUP(A26,SKU[],6,0)*D26,0)</f>
        <v>0</v>
      </c>
      <c r="F26" s="3">
        <f t="shared" si="1"/>
        <v>0</v>
      </c>
      <c r="I26" s="2"/>
      <c r="J26" s="2"/>
    </row>
    <row r="27" spans="1:10" x14ac:dyDescent="0.5">
      <c r="A27" s="2" t="s">
        <v>148</v>
      </c>
      <c r="B27" s="2" t="s">
        <v>787</v>
      </c>
      <c r="C27" s="3">
        <f>_xlfn.IFNA(VLOOKUP(A27,SKU[],5,0),0)</f>
        <v>12</v>
      </c>
      <c r="D27" s="65">
        <f t="shared" si="0"/>
        <v>0</v>
      </c>
      <c r="E27" s="133">
        <f>_xlfn.IFNA(VLOOKUP(A27,SKU[],6,0)*D27,0)</f>
        <v>0</v>
      </c>
      <c r="F27" s="3">
        <f t="shared" si="1"/>
        <v>0</v>
      </c>
      <c r="I27" s="2"/>
      <c r="J27" s="2"/>
    </row>
    <row r="28" spans="1:10" x14ac:dyDescent="0.5">
      <c r="A28" s="2" t="s">
        <v>37</v>
      </c>
      <c r="B28" s="2" t="s">
        <v>788</v>
      </c>
      <c r="C28" s="3">
        <f>_xlfn.IFNA(VLOOKUP(A28,SKU[],5,0),0)</f>
        <v>20</v>
      </c>
      <c r="D28" s="65">
        <f t="shared" si="0"/>
        <v>0</v>
      </c>
      <c r="E28" s="133">
        <f>_xlfn.IFNA(VLOOKUP(A28,SKU[],6,0)*D28,0)</f>
        <v>0</v>
      </c>
      <c r="F28" s="3">
        <f t="shared" si="1"/>
        <v>0</v>
      </c>
      <c r="I28" s="2"/>
      <c r="J28" s="2"/>
    </row>
    <row r="29" spans="1:10" x14ac:dyDescent="0.5">
      <c r="A29" s="2" t="s">
        <v>361</v>
      </c>
      <c r="B29" s="2" t="s">
        <v>789</v>
      </c>
      <c r="C29" s="3">
        <f>_xlfn.IFNA(VLOOKUP(A29,SKU[],5,0),0)</f>
        <v>4</v>
      </c>
      <c r="D29" s="65">
        <f t="shared" si="0"/>
        <v>0</v>
      </c>
      <c r="E29" s="133">
        <f>_xlfn.IFNA(VLOOKUP(A29,SKU[],6,0)*D29,0)</f>
        <v>0</v>
      </c>
      <c r="F29" s="3">
        <f t="shared" si="1"/>
        <v>0</v>
      </c>
      <c r="I29" s="2"/>
      <c r="J29" s="2"/>
    </row>
    <row r="30" spans="1:10" x14ac:dyDescent="0.5">
      <c r="A30" s="2" t="s">
        <v>363</v>
      </c>
      <c r="B30" s="2" t="s">
        <v>790</v>
      </c>
      <c r="C30" s="3">
        <f>_xlfn.IFNA(VLOOKUP(A30,SKU[],5,0),0)</f>
        <v>4</v>
      </c>
      <c r="D30" s="65">
        <f t="shared" si="0"/>
        <v>0</v>
      </c>
      <c r="E30" s="133">
        <f>_xlfn.IFNA(VLOOKUP(A30,SKU[],6,0)*D30,0)</f>
        <v>0</v>
      </c>
      <c r="F30" s="3">
        <f t="shared" si="1"/>
        <v>0</v>
      </c>
      <c r="I30" s="2"/>
      <c r="J30" s="2"/>
    </row>
    <row r="31" spans="1:10" x14ac:dyDescent="0.5">
      <c r="A31" s="2" t="s">
        <v>189</v>
      </c>
      <c r="B31" s="2" t="s">
        <v>791</v>
      </c>
      <c r="C31" s="3">
        <f>_xlfn.IFNA(VLOOKUP(A31,SKU[],5,0),0)</f>
        <v>4</v>
      </c>
      <c r="D31" s="65">
        <f t="shared" si="0"/>
        <v>0</v>
      </c>
      <c r="E31" s="133">
        <f>_xlfn.IFNA(VLOOKUP(A31,SKU[],6,0)*D31,0)</f>
        <v>0</v>
      </c>
      <c r="F31" s="3">
        <f t="shared" si="1"/>
        <v>0</v>
      </c>
      <c r="I31" s="2"/>
      <c r="J31" s="2"/>
    </row>
    <row r="32" spans="1:10" x14ac:dyDescent="0.5">
      <c r="A32" s="2" t="s">
        <v>71</v>
      </c>
      <c r="B32" s="2" t="s">
        <v>792</v>
      </c>
      <c r="C32" s="3">
        <f>_xlfn.IFNA(VLOOKUP(A32,SKU[],5,0),0)</f>
        <v>4</v>
      </c>
      <c r="D32" s="65">
        <f t="shared" si="0"/>
        <v>0</v>
      </c>
      <c r="E32" s="133">
        <f>_xlfn.IFNA(VLOOKUP(A32,SKU[],6,0)*D32,0)</f>
        <v>0</v>
      </c>
      <c r="F32" s="3">
        <f t="shared" si="1"/>
        <v>0</v>
      </c>
      <c r="I32" s="2"/>
      <c r="J32" s="2"/>
    </row>
    <row r="33" spans="1:10" x14ac:dyDescent="0.5">
      <c r="A33" s="2" t="s">
        <v>143</v>
      </c>
      <c r="B33" s="2" t="s">
        <v>793</v>
      </c>
      <c r="C33" s="3">
        <f>_xlfn.IFNA(VLOOKUP(A33,SKU[],5,0),0)</f>
        <v>20</v>
      </c>
      <c r="D33" s="65">
        <f t="shared" si="0"/>
        <v>0</v>
      </c>
      <c r="E33" s="133">
        <f>_xlfn.IFNA(VLOOKUP(A33,SKU[],6,0)*D33,0)</f>
        <v>0</v>
      </c>
      <c r="F33" s="3">
        <f t="shared" si="1"/>
        <v>0</v>
      </c>
      <c r="I33" s="2"/>
      <c r="J33" s="2"/>
    </row>
    <row r="34" spans="1:10" x14ac:dyDescent="0.5">
      <c r="A34" s="2" t="s">
        <v>181</v>
      </c>
      <c r="B34" s="2" t="s">
        <v>794</v>
      </c>
      <c r="C34" s="3">
        <f>_xlfn.IFNA(VLOOKUP(A34,SKU[],5,0),0)</f>
        <v>12</v>
      </c>
      <c r="D34" s="65">
        <f t="shared" si="0"/>
        <v>0</v>
      </c>
      <c r="E34" s="133">
        <f>_xlfn.IFNA(VLOOKUP(A34,SKU[],6,0)*D34,0)</f>
        <v>0</v>
      </c>
      <c r="F34" s="3">
        <f t="shared" si="1"/>
        <v>0</v>
      </c>
      <c r="I34" s="2"/>
      <c r="J34" s="2"/>
    </row>
    <row r="35" spans="1:10" x14ac:dyDescent="0.5">
      <c r="A35" s="2" t="s">
        <v>193</v>
      </c>
      <c r="B35" s="2" t="s">
        <v>795</v>
      </c>
      <c r="C35" s="3">
        <f>_xlfn.IFNA(VLOOKUP(A35,SKU[],5,0),0)</f>
        <v>12</v>
      </c>
      <c r="D35" s="65">
        <f t="shared" si="0"/>
        <v>0</v>
      </c>
      <c r="E35" s="133">
        <f>_xlfn.IFNA(VLOOKUP(A35,SKU[],6,0)*D35,0)</f>
        <v>0</v>
      </c>
      <c r="F35" s="3">
        <f t="shared" si="1"/>
        <v>0</v>
      </c>
      <c r="I35" s="2"/>
      <c r="J35" s="2"/>
    </row>
    <row r="36" spans="1:10" x14ac:dyDescent="0.5">
      <c r="A36" s="2" t="s">
        <v>149</v>
      </c>
      <c r="B36" s="2" t="s">
        <v>796</v>
      </c>
      <c r="C36" s="3">
        <f>_xlfn.IFNA(VLOOKUP(A36,SKU[],5,0),0)</f>
        <v>12</v>
      </c>
      <c r="D36" s="65">
        <f t="shared" si="0"/>
        <v>0</v>
      </c>
      <c r="E36" s="133">
        <f>_xlfn.IFNA(VLOOKUP(A36,SKU[],6,0)*D36,0)</f>
        <v>0</v>
      </c>
      <c r="F36" s="3">
        <f t="shared" si="1"/>
        <v>0</v>
      </c>
      <c r="I36" s="2"/>
      <c r="J36" s="2"/>
    </row>
    <row r="37" spans="1:10" x14ac:dyDescent="0.5">
      <c r="A37" s="2" t="s">
        <v>245</v>
      </c>
      <c r="B37" s="2" t="s">
        <v>797</v>
      </c>
      <c r="C37" s="3">
        <f>_xlfn.IFNA(VLOOKUP(A37,SKU[],5,0),0)</f>
        <v>12</v>
      </c>
      <c r="D37" s="65">
        <f t="shared" si="0"/>
        <v>0</v>
      </c>
      <c r="E37" s="133">
        <f>_xlfn.IFNA(VLOOKUP(A37,SKU[],6,0)*D37,0)</f>
        <v>0</v>
      </c>
      <c r="F37" s="3">
        <f t="shared" si="1"/>
        <v>0</v>
      </c>
      <c r="I37" s="2"/>
      <c r="J37" s="2"/>
    </row>
    <row r="38" spans="1:10" x14ac:dyDescent="0.5">
      <c r="A38" s="2" t="s">
        <v>197</v>
      </c>
      <c r="B38" s="2" t="s">
        <v>798</v>
      </c>
      <c r="C38" s="3">
        <f>_xlfn.IFNA(VLOOKUP(A38,SKU[],5,0),0)</f>
        <v>12</v>
      </c>
      <c r="D38" s="65">
        <f t="shared" si="0"/>
        <v>0</v>
      </c>
      <c r="E38" s="133">
        <f>_xlfn.IFNA(VLOOKUP(A38,SKU[],6,0)*D38,0)</f>
        <v>0</v>
      </c>
      <c r="F38" s="3">
        <f t="shared" si="1"/>
        <v>0</v>
      </c>
      <c r="I38" s="2"/>
      <c r="J38" s="2"/>
    </row>
    <row r="39" spans="1:10" x14ac:dyDescent="0.5">
      <c r="A39" s="2" t="s">
        <v>33</v>
      </c>
      <c r="B39" s="2" t="s">
        <v>799</v>
      </c>
      <c r="C39" s="3">
        <f>_xlfn.IFNA(VLOOKUP(A39,SKU[],5,0),0)</f>
        <v>20</v>
      </c>
      <c r="D39" s="65">
        <f t="shared" si="0"/>
        <v>0</v>
      </c>
      <c r="E39" s="133">
        <f>_xlfn.IFNA(VLOOKUP(A39,SKU[],6,0)*D39,0)</f>
        <v>0</v>
      </c>
      <c r="F39" s="3">
        <f t="shared" si="1"/>
        <v>0</v>
      </c>
      <c r="I39" s="2"/>
      <c r="J39" s="2"/>
    </row>
    <row r="40" spans="1:10" x14ac:dyDescent="0.5">
      <c r="A40" s="2" t="s">
        <v>73</v>
      </c>
      <c r="B40" s="2" t="s">
        <v>800</v>
      </c>
      <c r="C40" s="3">
        <f>_xlfn.IFNA(VLOOKUP(A40,SKU[],5,0),0)</f>
        <v>20</v>
      </c>
      <c r="D40" s="65">
        <f t="shared" si="0"/>
        <v>0</v>
      </c>
      <c r="E40" s="133">
        <f>_xlfn.IFNA(VLOOKUP(A40,SKU[],6,0)*D40,0)</f>
        <v>0</v>
      </c>
      <c r="F40" s="3">
        <f t="shared" si="1"/>
        <v>0</v>
      </c>
      <c r="I40" s="2"/>
      <c r="J40" s="2"/>
    </row>
    <row r="41" spans="1:10" x14ac:dyDescent="0.5">
      <c r="A41" s="2" t="s">
        <v>164</v>
      </c>
      <c r="B41" s="2" t="s">
        <v>801</v>
      </c>
      <c r="C41" s="3">
        <f>_xlfn.IFNA(VLOOKUP(A41,SKU[],5,0),0)</f>
        <v>20</v>
      </c>
      <c r="D41" s="65">
        <f t="shared" si="0"/>
        <v>0</v>
      </c>
      <c r="E41" s="133">
        <f>_xlfn.IFNA(VLOOKUP(A41,SKU[],6,0)*D41,0)</f>
        <v>0</v>
      </c>
      <c r="F41" s="3">
        <f t="shared" si="1"/>
        <v>0</v>
      </c>
      <c r="I41" s="2"/>
      <c r="J41" s="2"/>
    </row>
    <row r="42" spans="1:10" x14ac:dyDescent="0.5">
      <c r="A42" s="2" t="s">
        <v>48</v>
      </c>
      <c r="B42" s="2" t="s">
        <v>802</v>
      </c>
      <c r="C42" s="3">
        <f>_xlfn.IFNA(VLOOKUP(A42,SKU[],5,0),0)</f>
        <v>20</v>
      </c>
      <c r="D42" s="65">
        <f t="shared" si="0"/>
        <v>0</v>
      </c>
      <c r="E42" s="133">
        <f>_xlfn.IFNA(VLOOKUP(A42,SKU[],6,0)*D42,0)</f>
        <v>0</v>
      </c>
      <c r="F42" s="3">
        <f t="shared" si="1"/>
        <v>0</v>
      </c>
      <c r="I42" s="2"/>
      <c r="J42" s="2"/>
    </row>
    <row r="43" spans="1:10" x14ac:dyDescent="0.5">
      <c r="A43" s="2" t="s">
        <v>154</v>
      </c>
      <c r="B43" s="2" t="s">
        <v>803</v>
      </c>
      <c r="C43" s="3">
        <f>_xlfn.IFNA(VLOOKUP(A43,SKU[],5,0),0)</f>
        <v>20</v>
      </c>
      <c r="D43" s="65">
        <f t="shared" si="0"/>
        <v>0</v>
      </c>
      <c r="E43" s="133">
        <f>_xlfn.IFNA(VLOOKUP(A43,SKU[],6,0)*D43,0)</f>
        <v>0</v>
      </c>
      <c r="F43" s="3">
        <f t="shared" si="1"/>
        <v>0</v>
      </c>
      <c r="I43" s="2"/>
      <c r="J43" s="2"/>
    </row>
    <row r="44" spans="1:10" x14ac:dyDescent="0.5">
      <c r="A44" s="2" t="s">
        <v>179</v>
      </c>
      <c r="B44" s="2" t="s">
        <v>804</v>
      </c>
      <c r="C44" s="3">
        <f>_xlfn.IFNA(VLOOKUP(A44,SKU[],5,0),0)</f>
        <v>1</v>
      </c>
      <c r="D44" s="65">
        <f t="shared" si="0"/>
        <v>0</v>
      </c>
      <c r="E44" s="133">
        <f>_xlfn.IFNA(VLOOKUP(A44,SKU[],6,0)*D44,0)</f>
        <v>0</v>
      </c>
      <c r="F44" s="3">
        <f t="shared" si="1"/>
        <v>0</v>
      </c>
      <c r="I44" s="2"/>
      <c r="J44" s="2"/>
    </row>
    <row r="45" spans="1:10" x14ac:dyDescent="0.5">
      <c r="A45" s="2" t="s">
        <v>113</v>
      </c>
      <c r="B45" s="2" t="s">
        <v>805</v>
      </c>
      <c r="C45" s="3">
        <f>_xlfn.IFNA(VLOOKUP(A45,SKU[],5,0),0)</f>
        <v>1</v>
      </c>
      <c r="D45" s="65">
        <f t="shared" si="0"/>
        <v>0</v>
      </c>
      <c r="E45" s="133">
        <f>_xlfn.IFNA(VLOOKUP(A45,SKU[],6,0)*D45,0)</f>
        <v>0</v>
      </c>
      <c r="F45" s="3">
        <f t="shared" si="1"/>
        <v>0</v>
      </c>
      <c r="I45" s="2"/>
      <c r="J45" s="2"/>
    </row>
    <row r="46" spans="1:10" x14ac:dyDescent="0.5">
      <c r="A46" s="2" t="s">
        <v>157</v>
      </c>
      <c r="B46" s="2" t="s">
        <v>806</v>
      </c>
      <c r="C46" s="3">
        <f>_xlfn.IFNA(VLOOKUP(A46,SKU[],5,0),0)</f>
        <v>4</v>
      </c>
      <c r="D46" s="65">
        <f t="shared" si="0"/>
        <v>0</v>
      </c>
      <c r="E46" s="133">
        <f>_xlfn.IFNA(VLOOKUP(A46,SKU[],6,0)*D46,0)</f>
        <v>0</v>
      </c>
      <c r="F46" s="3">
        <f t="shared" si="1"/>
        <v>0</v>
      </c>
      <c r="I46" s="2"/>
      <c r="J46" s="2"/>
    </row>
    <row r="47" spans="1:10" x14ac:dyDescent="0.5">
      <c r="A47" s="2" t="s">
        <v>43</v>
      </c>
      <c r="B47" s="2" t="s">
        <v>807</v>
      </c>
      <c r="C47" s="3">
        <f>_xlfn.IFNA(VLOOKUP(A47,SKU[],5,0),0)</f>
        <v>20</v>
      </c>
      <c r="D47" s="65">
        <f t="shared" si="0"/>
        <v>0</v>
      </c>
      <c r="E47" s="133">
        <f>_xlfn.IFNA(VLOOKUP(A47,SKU[],6,0)*D47,0)</f>
        <v>0</v>
      </c>
      <c r="F47" s="3">
        <f t="shared" si="1"/>
        <v>0</v>
      </c>
      <c r="I47" s="2"/>
      <c r="J47" s="2"/>
    </row>
    <row r="48" spans="1:10" x14ac:dyDescent="0.5">
      <c r="A48" s="2" t="s">
        <v>180</v>
      </c>
      <c r="B48" s="2" t="s">
        <v>808</v>
      </c>
      <c r="C48" s="3">
        <f>_xlfn.IFNA(VLOOKUP(A48,SKU[],5,0),0)</f>
        <v>12</v>
      </c>
      <c r="D48" s="65">
        <f t="shared" si="0"/>
        <v>0</v>
      </c>
      <c r="E48" s="133">
        <f>_xlfn.IFNA(VLOOKUP(A48,SKU[],6,0)*D48,0)</f>
        <v>0</v>
      </c>
      <c r="F48" s="3">
        <f t="shared" si="1"/>
        <v>0</v>
      </c>
      <c r="I48" s="2"/>
      <c r="J48" s="2"/>
    </row>
    <row r="49" spans="1:10" x14ac:dyDescent="0.5">
      <c r="A49" s="2" t="s">
        <v>258</v>
      </c>
      <c r="B49" s="2" t="s">
        <v>809</v>
      </c>
      <c r="C49" s="3">
        <f>_xlfn.IFNA(VLOOKUP(A49,SKU[],5,0),0)</f>
        <v>12</v>
      </c>
      <c r="D49" s="65">
        <f t="shared" si="0"/>
        <v>0</v>
      </c>
      <c r="E49" s="133">
        <f>_xlfn.IFNA(VLOOKUP(A49,SKU[],6,0)*D49,0)</f>
        <v>0</v>
      </c>
      <c r="F49" s="3">
        <f t="shared" si="1"/>
        <v>0</v>
      </c>
      <c r="I49" s="2"/>
      <c r="J49" s="2"/>
    </row>
    <row r="50" spans="1:10" x14ac:dyDescent="0.5">
      <c r="A50" s="2" t="s">
        <v>168</v>
      </c>
      <c r="B50" s="2" t="s">
        <v>810</v>
      </c>
      <c r="C50" s="3">
        <f>_xlfn.IFNA(VLOOKUP(A50,SKU[],5,0),0)</f>
        <v>20</v>
      </c>
      <c r="D50" s="65">
        <f t="shared" si="0"/>
        <v>0</v>
      </c>
      <c r="E50" s="133">
        <f>_xlfn.IFNA(VLOOKUP(A50,SKU[],6,0)*D50,0)</f>
        <v>0</v>
      </c>
      <c r="F50" s="3">
        <f t="shared" si="1"/>
        <v>0</v>
      </c>
      <c r="I50" s="2"/>
      <c r="J50" s="2"/>
    </row>
    <row r="51" spans="1:10" x14ac:dyDescent="0.5">
      <c r="A51" s="2" t="s">
        <v>131</v>
      </c>
      <c r="B51" s="2" t="s">
        <v>811</v>
      </c>
      <c r="C51" s="3">
        <f>_xlfn.IFNA(VLOOKUP(A51,SKU[],5,0),0)</f>
        <v>4</v>
      </c>
      <c r="D51" s="65">
        <f t="shared" si="0"/>
        <v>0</v>
      </c>
      <c r="E51" s="133">
        <f>_xlfn.IFNA(VLOOKUP(A51,SKU[],6,0)*D51,0)</f>
        <v>0</v>
      </c>
      <c r="F51" s="3">
        <f t="shared" si="1"/>
        <v>0</v>
      </c>
      <c r="I51" s="2"/>
      <c r="J51" s="2"/>
    </row>
    <row r="52" spans="1:10" x14ac:dyDescent="0.5">
      <c r="A52" s="2" t="s">
        <v>161</v>
      </c>
      <c r="B52" s="2" t="s">
        <v>812</v>
      </c>
      <c r="C52" s="3">
        <f>_xlfn.IFNA(VLOOKUP(A52,SKU[],5,0),0)</f>
        <v>20</v>
      </c>
      <c r="D52" s="65">
        <f t="shared" si="0"/>
        <v>0</v>
      </c>
      <c r="E52" s="133">
        <f>_xlfn.IFNA(VLOOKUP(A52,SKU[],6,0)*D52,0)</f>
        <v>0</v>
      </c>
      <c r="F52" s="3">
        <f t="shared" si="1"/>
        <v>0</v>
      </c>
      <c r="I52" s="2"/>
      <c r="J52" s="2"/>
    </row>
    <row r="53" spans="1:10" x14ac:dyDescent="0.5">
      <c r="A53" s="2" t="s">
        <v>166</v>
      </c>
      <c r="B53" s="2" t="s">
        <v>813</v>
      </c>
      <c r="C53" s="3">
        <f>_xlfn.IFNA(VLOOKUP(A53,SKU[],5,0),0)</f>
        <v>20</v>
      </c>
      <c r="D53" s="65">
        <f t="shared" si="0"/>
        <v>0</v>
      </c>
      <c r="E53" s="133">
        <f>_xlfn.IFNA(VLOOKUP(A53,SKU[],6,0)*D53,0)</f>
        <v>0</v>
      </c>
      <c r="F53" s="3">
        <f t="shared" si="1"/>
        <v>0</v>
      </c>
      <c r="I53" s="2"/>
      <c r="J53" s="2"/>
    </row>
    <row r="54" spans="1:10" x14ac:dyDescent="0.5">
      <c r="A54" s="2" t="s">
        <v>177</v>
      </c>
      <c r="B54" s="2" t="s">
        <v>814</v>
      </c>
      <c r="C54" s="3">
        <f>_xlfn.IFNA(VLOOKUP(A54,SKU[],5,0),0)</f>
        <v>20</v>
      </c>
      <c r="D54" s="65">
        <f t="shared" si="0"/>
        <v>0</v>
      </c>
      <c r="E54" s="133">
        <f>_xlfn.IFNA(VLOOKUP(A54,SKU[],6,0)*D54,0)</f>
        <v>0</v>
      </c>
      <c r="F54" s="3">
        <f t="shared" si="1"/>
        <v>0</v>
      </c>
      <c r="I54" s="2"/>
      <c r="J54" s="2"/>
    </row>
    <row r="55" spans="1:10" x14ac:dyDescent="0.5">
      <c r="A55" s="2" t="s">
        <v>185</v>
      </c>
      <c r="B55" s="2" t="s">
        <v>815</v>
      </c>
      <c r="C55" s="3">
        <f>_xlfn.IFNA(VLOOKUP(A55,SKU[],5,0),0)</f>
        <v>1</v>
      </c>
      <c r="D55" s="65">
        <f t="shared" si="0"/>
        <v>0</v>
      </c>
      <c r="E55" s="133">
        <f>_xlfn.IFNA(VLOOKUP(A55,SKU[],6,0)*D55,0)</f>
        <v>0</v>
      </c>
      <c r="F55" s="3">
        <f t="shared" si="1"/>
        <v>0</v>
      </c>
      <c r="I55" s="2"/>
      <c r="J55" s="2"/>
    </row>
    <row r="56" spans="1:10" x14ac:dyDescent="0.5">
      <c r="A56" s="2" t="s">
        <v>67</v>
      </c>
      <c r="B56" s="2" t="s">
        <v>816</v>
      </c>
      <c r="C56" s="3">
        <f>_xlfn.IFNA(VLOOKUP(A56,SKU[],5,0),0)</f>
        <v>1</v>
      </c>
      <c r="D56" s="65">
        <f t="shared" si="0"/>
        <v>0</v>
      </c>
      <c r="E56" s="133">
        <f>_xlfn.IFNA(VLOOKUP(A56,SKU[],6,0)*D56,0)</f>
        <v>0</v>
      </c>
      <c r="F56" s="3">
        <f t="shared" si="1"/>
        <v>0</v>
      </c>
      <c r="I56" s="2"/>
      <c r="J56" s="2"/>
    </row>
    <row r="57" spans="1:10" x14ac:dyDescent="0.5">
      <c r="A57" s="2" t="s">
        <v>160</v>
      </c>
      <c r="B57" s="2" t="s">
        <v>817</v>
      </c>
      <c r="C57" s="3">
        <f>_xlfn.IFNA(VLOOKUP(A57,SKU[],5,0),0)</f>
        <v>4</v>
      </c>
      <c r="D57" s="65">
        <f t="shared" si="0"/>
        <v>0</v>
      </c>
      <c r="E57" s="133">
        <f>_xlfn.IFNA(VLOOKUP(A57,SKU[],6,0)*D57,0)</f>
        <v>0</v>
      </c>
      <c r="F57" s="3">
        <f t="shared" si="1"/>
        <v>0</v>
      </c>
      <c r="I57" s="2"/>
      <c r="J57" s="2"/>
    </row>
    <row r="58" spans="1:10" x14ac:dyDescent="0.5">
      <c r="A58" s="2" t="s">
        <v>159</v>
      </c>
      <c r="B58" s="2" t="s">
        <v>818</v>
      </c>
      <c r="C58" s="3">
        <f>_xlfn.IFNA(VLOOKUP(A58,SKU[],5,0),0)</f>
        <v>1</v>
      </c>
      <c r="D58" s="65">
        <f t="shared" si="0"/>
        <v>0</v>
      </c>
      <c r="E58" s="133">
        <f>_xlfn.IFNA(VLOOKUP(A58,SKU[],6,0)*D58,0)</f>
        <v>0</v>
      </c>
      <c r="F58" s="3">
        <f t="shared" si="1"/>
        <v>0</v>
      </c>
      <c r="I58" s="2"/>
      <c r="J58" s="2"/>
    </row>
    <row r="59" spans="1:10" x14ac:dyDescent="0.5">
      <c r="A59" s="2" t="s">
        <v>104</v>
      </c>
      <c r="B59" s="2" t="s">
        <v>819</v>
      </c>
      <c r="C59" s="3">
        <f>_xlfn.IFNA(VLOOKUP(A59,SKU[],5,0),0)</f>
        <v>24</v>
      </c>
      <c r="D59" s="65">
        <f t="shared" si="0"/>
        <v>0</v>
      </c>
      <c r="E59" s="133">
        <f>_xlfn.IFNA(VLOOKUP(A59,SKU[],6,0)*D59,0)</f>
        <v>0</v>
      </c>
      <c r="F59" s="3">
        <f t="shared" si="1"/>
        <v>0</v>
      </c>
      <c r="I59" s="2"/>
      <c r="J59" s="2"/>
    </row>
    <row r="60" spans="1:10" x14ac:dyDescent="0.5">
      <c r="A60" s="2" t="s">
        <v>107</v>
      </c>
      <c r="B60" s="2" t="s">
        <v>820</v>
      </c>
      <c r="C60" s="3">
        <f>_xlfn.IFNA(VLOOKUP(A60,SKU[],5,0),0)</f>
        <v>40</v>
      </c>
      <c r="D60" s="65">
        <f t="shared" si="0"/>
        <v>0</v>
      </c>
      <c r="E60" s="133">
        <f>_xlfn.IFNA(VLOOKUP(A60,SKU[],6,0)*D60,0)</f>
        <v>0</v>
      </c>
      <c r="F60" s="3">
        <f t="shared" si="1"/>
        <v>0</v>
      </c>
      <c r="I60" s="2"/>
      <c r="J60" s="2"/>
    </row>
    <row r="61" spans="1:10" x14ac:dyDescent="0.5">
      <c r="A61" s="2" t="s">
        <v>105</v>
      </c>
      <c r="B61" s="2" t="s">
        <v>821</v>
      </c>
      <c r="C61" s="3">
        <f>_xlfn.IFNA(VLOOKUP(A61,SKU[],5,0),0)</f>
        <v>24</v>
      </c>
      <c r="D61" s="65">
        <f t="shared" si="0"/>
        <v>0</v>
      </c>
      <c r="E61" s="133">
        <f>_xlfn.IFNA(VLOOKUP(A61,SKU[],6,0)*D61,0)</f>
        <v>0</v>
      </c>
      <c r="F61" s="3">
        <f t="shared" si="1"/>
        <v>0</v>
      </c>
      <c r="I61" s="2"/>
      <c r="J61" s="2"/>
    </row>
    <row r="62" spans="1:10" x14ac:dyDescent="0.5">
      <c r="A62" s="2" t="s">
        <v>81</v>
      </c>
      <c r="B62" s="2" t="s">
        <v>822</v>
      </c>
      <c r="C62" s="3">
        <f>_xlfn.IFNA(VLOOKUP(A62,SKU[],5,0),0)</f>
        <v>20</v>
      </c>
      <c r="D62" s="65">
        <f t="shared" si="0"/>
        <v>260</v>
      </c>
      <c r="E62" s="133">
        <f>_xlfn.IFNA(VLOOKUP(A62,SKU[],6,0)*D62,0)</f>
        <v>260</v>
      </c>
      <c r="F62" s="3">
        <f t="shared" si="1"/>
        <v>13</v>
      </c>
      <c r="I62" s="2" t="s">
        <v>81</v>
      </c>
      <c r="J62" s="2">
        <v>13</v>
      </c>
    </row>
    <row r="63" spans="1:10" x14ac:dyDescent="0.5">
      <c r="A63" s="2" t="s">
        <v>99</v>
      </c>
      <c r="B63" s="2" t="s">
        <v>823</v>
      </c>
      <c r="C63" s="3">
        <f>_xlfn.IFNA(VLOOKUP(A63,SKU[],5,0),0)</f>
        <v>20</v>
      </c>
      <c r="D63" s="65">
        <f t="shared" si="0"/>
        <v>0</v>
      </c>
      <c r="E63" s="133">
        <f>_xlfn.IFNA(VLOOKUP(A63,SKU[],6,0)*D63,0)</f>
        <v>0</v>
      </c>
      <c r="F63" s="3">
        <f t="shared" si="1"/>
        <v>0</v>
      </c>
      <c r="I63" s="2"/>
      <c r="J63" s="2"/>
    </row>
    <row r="64" spans="1:10" x14ac:dyDescent="0.5">
      <c r="A64" s="2" t="s">
        <v>243</v>
      </c>
      <c r="B64" s="2" t="s">
        <v>824</v>
      </c>
      <c r="C64" s="3">
        <f>_xlfn.IFNA(VLOOKUP(A64,SKU[],5,0),0)</f>
        <v>24</v>
      </c>
      <c r="D64" s="65">
        <f t="shared" si="0"/>
        <v>0</v>
      </c>
      <c r="E64" s="133">
        <f>_xlfn.IFNA(VLOOKUP(A64,SKU[],6,0)*D64,0)</f>
        <v>0</v>
      </c>
      <c r="F64" s="3">
        <f t="shared" si="1"/>
        <v>0</v>
      </c>
      <c r="I64" s="2"/>
      <c r="J64" s="2"/>
    </row>
    <row r="65" spans="1:10" x14ac:dyDescent="0.5">
      <c r="A65" s="2" t="s">
        <v>247</v>
      </c>
      <c r="B65" s="2" t="s">
        <v>825</v>
      </c>
      <c r="C65" s="3">
        <f>_xlfn.IFNA(VLOOKUP(A65,SKU[],5,0),0)</f>
        <v>24</v>
      </c>
      <c r="D65" s="65">
        <f t="shared" si="0"/>
        <v>0</v>
      </c>
      <c r="E65" s="133">
        <f>_xlfn.IFNA(VLOOKUP(A65,SKU[],6,0)*D65,0)</f>
        <v>0</v>
      </c>
      <c r="F65" s="3">
        <f t="shared" si="1"/>
        <v>0</v>
      </c>
      <c r="I65" s="2"/>
      <c r="J65" s="2"/>
    </row>
    <row r="66" spans="1:10" x14ac:dyDescent="0.5">
      <c r="A66" s="2" t="s">
        <v>135</v>
      </c>
      <c r="B66" s="2" t="s">
        <v>826</v>
      </c>
      <c r="C66" s="3">
        <f>_xlfn.IFNA(VLOOKUP(A66,SKU[],5,0),0)</f>
        <v>20</v>
      </c>
      <c r="D66" s="65">
        <f t="shared" si="0"/>
        <v>0</v>
      </c>
      <c r="E66" s="133">
        <f>_xlfn.IFNA(VLOOKUP(A66,SKU[],6,0)*D66,0)</f>
        <v>0</v>
      </c>
      <c r="F66" s="3">
        <f t="shared" si="1"/>
        <v>0</v>
      </c>
      <c r="I66" s="2"/>
      <c r="J66" s="2"/>
    </row>
    <row r="67" spans="1:10" x14ac:dyDescent="0.5">
      <c r="A67" s="2" t="s">
        <v>136</v>
      </c>
      <c r="B67" s="2" t="s">
        <v>827</v>
      </c>
      <c r="C67" s="3">
        <f>_xlfn.IFNA(VLOOKUP(A67,SKU[],5,0),0)</f>
        <v>4</v>
      </c>
      <c r="D67" s="65">
        <f t="shared" si="0"/>
        <v>0</v>
      </c>
      <c r="E67" s="133">
        <f>_xlfn.IFNA(VLOOKUP(A67,SKU[],6,0)*D67,0)</f>
        <v>0</v>
      </c>
      <c r="F67" s="3">
        <f t="shared" si="1"/>
        <v>0</v>
      </c>
      <c r="I67" s="2"/>
      <c r="J67" s="2"/>
    </row>
    <row r="68" spans="1:10" x14ac:dyDescent="0.5">
      <c r="A68" s="2" t="s">
        <v>137</v>
      </c>
      <c r="B68" s="2" t="s">
        <v>828</v>
      </c>
      <c r="C68" s="3">
        <f>_xlfn.IFNA(VLOOKUP(A68,SKU[],5,0),0)</f>
        <v>1</v>
      </c>
      <c r="D68" s="65">
        <f t="shared" ref="D68:D71" si="2">C68*F68</f>
        <v>36</v>
      </c>
      <c r="E68" s="133">
        <f>_xlfn.IFNA(VLOOKUP(A68,SKU[],6,0)*D68,0)</f>
        <v>270</v>
      </c>
      <c r="F68" s="3">
        <f t="shared" ref="F68:F71" si="3">_xlfn.IFNA(VLOOKUP(A68,$I$3:$J$71,2,0),0)</f>
        <v>36</v>
      </c>
      <c r="I68" s="2" t="s">
        <v>137</v>
      </c>
      <c r="J68" s="2">
        <v>36</v>
      </c>
    </row>
    <row r="69" spans="1:10" x14ac:dyDescent="0.5">
      <c r="A69" s="2" t="s">
        <v>138</v>
      </c>
      <c r="B69" s="2" t="s">
        <v>829</v>
      </c>
      <c r="C69" s="3">
        <f>_xlfn.IFNA(VLOOKUP(A69,SKU[],5,0),0)</f>
        <v>1</v>
      </c>
      <c r="D69" s="65">
        <f t="shared" si="2"/>
        <v>131</v>
      </c>
      <c r="E69" s="133">
        <f>_xlfn.IFNA(VLOOKUP(A69,SKU[],6,0)*D69,0)</f>
        <v>1310</v>
      </c>
      <c r="F69" s="3">
        <f t="shared" si="3"/>
        <v>131</v>
      </c>
      <c r="I69" s="2" t="s">
        <v>138</v>
      </c>
      <c r="J69" s="2">
        <v>131</v>
      </c>
    </row>
    <row r="70" spans="1:10" x14ac:dyDescent="0.5">
      <c r="A70" s="2" t="s">
        <v>369</v>
      </c>
      <c r="B70" s="2" t="s">
        <v>830</v>
      </c>
      <c r="C70" s="3">
        <f>_xlfn.IFNA(VLOOKUP(A70,SKU[],5,0),0)</f>
        <v>36</v>
      </c>
      <c r="D70" s="65">
        <f t="shared" si="2"/>
        <v>0</v>
      </c>
      <c r="E70" s="133">
        <f>_xlfn.IFNA(VLOOKUP(A70,SKU[],6,0)*D70,0)</f>
        <v>0</v>
      </c>
      <c r="F70" s="3">
        <f t="shared" si="3"/>
        <v>0</v>
      </c>
      <c r="I70" s="2"/>
      <c r="J70" s="2"/>
    </row>
    <row r="71" spans="1:10" ht="17" thickBot="1" x14ac:dyDescent="0.55000000000000004">
      <c r="A71" s="4" t="s">
        <v>372</v>
      </c>
      <c r="B71" s="4" t="s">
        <v>831</v>
      </c>
      <c r="C71" s="5">
        <f>_xlfn.IFNA(VLOOKUP(A71,SKU[],5,0),0)</f>
        <v>12</v>
      </c>
      <c r="D71" s="144">
        <f t="shared" si="2"/>
        <v>0</v>
      </c>
      <c r="E71" s="145">
        <f>_xlfn.IFNA(VLOOKUP(A71,SKU[],6,0)*D71,0)</f>
        <v>0</v>
      </c>
      <c r="F71" s="3">
        <f t="shared" si="3"/>
        <v>0</v>
      </c>
      <c r="I71" s="2"/>
      <c r="J71" s="2"/>
    </row>
    <row r="72" spans="1:10" ht="17" thickBot="1" x14ac:dyDescent="0.55000000000000004">
      <c r="A72" s="392" t="s">
        <v>206</v>
      </c>
      <c r="B72" s="393"/>
      <c r="C72" s="394"/>
      <c r="D72" s="146">
        <f>SUM(D3:D71)</f>
        <v>40059</v>
      </c>
      <c r="E72" s="146">
        <f>SUM(E3:E71)</f>
        <v>42168</v>
      </c>
      <c r="F72" s="147">
        <f>SUM(F3:F71)</f>
        <v>2208</v>
      </c>
      <c r="I72" s="50" t="s">
        <v>206</v>
      </c>
      <c r="J72" s="50">
        <f>SUM(J3:J71)</f>
        <v>2208</v>
      </c>
    </row>
  </sheetData>
  <autoFilter ref="B2:F72" xr:uid="{57EF2D52-2CAF-469A-A299-2D0F0E053B7D}"/>
  <mergeCells count="2">
    <mergeCell ref="A72:C72"/>
    <mergeCell ref="A1:F1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C4794-2155-4437-A65E-D1DF15A651A4}">
  <sheetPr codeName="Sheet10">
    <tabColor rgb="FF00B0F0"/>
  </sheetPr>
  <dimension ref="A1:Z43"/>
  <sheetViews>
    <sheetView zoomScale="70" zoomScaleNormal="70" workbookViewId="0">
      <pane xSplit="3" ySplit="5" topLeftCell="K6" activePane="bottomRight" state="frozen"/>
      <selection pane="topRight" activeCell="D1" sqref="D1"/>
      <selection pane="bottomLeft" activeCell="A6" sqref="A6"/>
      <selection pane="bottomRight" activeCell="G18" sqref="G18"/>
    </sheetView>
  </sheetViews>
  <sheetFormatPr defaultRowHeight="16.5" x14ac:dyDescent="0.5"/>
  <cols>
    <col min="1" max="1" width="10.1796875" customWidth="1"/>
    <col min="2" max="2" width="19.26953125" bestFit="1" customWidth="1"/>
    <col min="3" max="3" width="31.81640625" bestFit="1" customWidth="1"/>
    <col min="4" max="4" width="11.90625" customWidth="1"/>
    <col min="5" max="5" width="9.1796875" customWidth="1"/>
    <col min="6" max="6" width="16.90625" customWidth="1"/>
    <col min="7" max="7" width="13" customWidth="1"/>
    <col min="8" max="8" width="18.36328125" customWidth="1"/>
    <col min="9" max="9" width="17.54296875" customWidth="1"/>
    <col min="10" max="10" width="12" customWidth="1"/>
    <col min="11" max="11" width="11.6328125" customWidth="1"/>
    <col min="12" max="13" width="16.26953125" customWidth="1"/>
    <col min="14" max="14" width="14.453125" customWidth="1"/>
    <col min="15" max="15" width="15.36328125" customWidth="1"/>
    <col min="16" max="16" width="21.54296875" customWidth="1"/>
    <col min="17" max="17" width="17.453125" bestFit="1" customWidth="1"/>
    <col min="18" max="18" width="16.81640625" customWidth="1"/>
    <col min="19" max="19" width="5.81640625" customWidth="1"/>
    <col min="20" max="20" width="12.90625" bestFit="1" customWidth="1"/>
    <col min="21" max="21" width="9.54296875" customWidth="1"/>
    <col min="22" max="22" width="13.1796875" customWidth="1"/>
    <col min="23" max="23" width="10.453125" customWidth="1"/>
    <col min="24" max="24" width="5.81640625" customWidth="1"/>
    <col min="25" max="25" width="25.81640625" bestFit="1" customWidth="1"/>
    <col min="26" max="26" width="9.26953125" customWidth="1"/>
    <col min="27" max="27" width="6.90625" customWidth="1"/>
  </cols>
  <sheetData>
    <row r="1" spans="1:25" ht="36.5" customHeight="1" thickTop="1" thickBot="1" x14ac:dyDescent="0.55000000000000004">
      <c r="A1" s="429" t="s">
        <v>726</v>
      </c>
      <c r="B1" s="430"/>
      <c r="C1" s="333" t="str" cm="1">
        <f t="array" aca="1" ref="C1" ca="1">IFERROR(_xlfn.XLOOKUP(IF($Q$1="Sales Reciept",IF(ISNUMBER(SEARCH("p",$R$1,1)),"Fs-"&amp;LEFT($R$1,LEN($R$1)-1),"F-"&amp;$R$1),VALUE($R$1)),INDIRECT($Y$1),Primary_Order[Retailer],"nothing",0,1),"")</f>
        <v>M/S Hasan Traders</v>
      </c>
      <c r="D1" s="429" t="s">
        <v>725</v>
      </c>
      <c r="E1" s="430"/>
      <c r="F1" s="444" t="str">
        <f ca="1">IFERROR(VLOOKUP(O4,MMD[],3,0),"")</f>
        <v>Hasibul Hasan</v>
      </c>
      <c r="G1" s="445"/>
      <c r="H1" s="434" t="s">
        <v>719</v>
      </c>
      <c r="I1" s="435"/>
      <c r="J1" s="435"/>
      <c r="K1" s="436"/>
      <c r="L1" s="237" t="s">
        <v>1120</v>
      </c>
      <c r="M1" s="238" cm="1">
        <f t="array" aca="1" ref="M1" ca="1">IFERROR(_xlfn.XLOOKUP(IF($Q$1="Sales Reciept",IF(ISNUMBER(SEARCH("p",R1,1)),"Fs-"&amp;LEFT(R1,LEN(R1)-1),"F-"&amp;R1),VALUE($R$1)),INDIRECT($Y$1),Primary_Order[Date],"nothing",0,1),"")</f>
        <v>45775</v>
      </c>
      <c r="N1" s="236" t="s">
        <v>2</v>
      </c>
      <c r="O1" s="239" t="str" cm="1">
        <f t="array" aca="1" ref="O1" ca="1">IFERROR(_xlfn.XLOOKUP(IF($Q$1="Sales Reciept",IF(ISNUMBER(SEARCH("p",R1,1)),"Fs-"&amp;LEFT(R1,LEN(R1)-1),"F-"&amp;R1),VALUE($R$1)),INDIRECT($Y$1),Primary_Order[AM],"nothing",0,1),"")</f>
        <v>Abdul Matin</v>
      </c>
      <c r="P1" s="263" t="s">
        <v>1366</v>
      </c>
      <c r="Q1" s="264" t="s">
        <v>6</v>
      </c>
      <c r="R1" s="240" t="s">
        <v>1510</v>
      </c>
      <c r="S1" s="454" t="s">
        <v>1122</v>
      </c>
      <c r="T1" s="148" t="s">
        <v>1071</v>
      </c>
      <c r="U1" s="149">
        <v>45712</v>
      </c>
      <c r="V1" s="150" t="s">
        <v>742</v>
      </c>
      <c r="W1" s="151" t="s">
        <v>1130</v>
      </c>
      <c r="X1" s="404" t="str">
        <f>S1</f>
        <v>Search Here</v>
      </c>
      <c r="Y1" s="157" t="str">
        <f>"Primary_Order["&amp;Q1&amp;"]"</f>
        <v>Primary_Order[Sales Reciept]</v>
      </c>
    </row>
    <row r="2" spans="1:25" ht="19" customHeight="1" thickBot="1" x14ac:dyDescent="0.55000000000000004">
      <c r="A2" s="432" t="s">
        <v>728</v>
      </c>
      <c r="B2" s="433"/>
      <c r="C2" s="431" t="str" cm="1">
        <f t="array" aca="1" ref="C2" ca="1">IFERROR(_xlfn.XLOOKUP(IF($Q$1="Sales Reciept",IF(ISNUMBER(SEARCH("p",R1,1)),"Fs-"&amp;LEFT(R1,LEN(R1)-1),"F-"&amp;R1),VALUE($R$1)),INDIRECT($Y$1),Primary_Order[Delvery Address],"nothing",0,1),"")</f>
        <v>Rajbari</v>
      </c>
      <c r="D2" s="440" t="s">
        <v>440</v>
      </c>
      <c r="E2" s="441"/>
      <c r="F2" s="442" t="str" cm="1">
        <f t="array" aca="1" ref="F2" ca="1">IFERROR(_xlfn.XLOOKUP(IF($Q$1="Sales Reciept",IF(ISNUMBER(SEARCH("p",R1,1)),"Fs-"&amp;LEFT(R1,LEN(R1)-1),"F-"&amp;R1),VALUE($R$1)),INDIRECT($Y$1),Primary_Order[MMD],"nothing",0,1),"")</f>
        <v>M/S Hasan Traders</v>
      </c>
      <c r="G2" s="443"/>
      <c r="H2" s="437" t="s">
        <v>720</v>
      </c>
      <c r="I2" s="438"/>
      <c r="J2" s="438"/>
      <c r="K2" s="439"/>
      <c r="L2" s="456" t="s">
        <v>1121</v>
      </c>
      <c r="M2" s="457" t="str" cm="1">
        <f t="array" aca="1" ref="M2" ca="1">IFERROR(_xlfn.XLOOKUP(IF($Q$1="Sales Reciept",IF(ISNUMBER(SEARCH("p",R1,1)),"Fs-"&amp;LEFT(R1,LEN(R1)-1),"F-"&amp;R1),VALUE($R$1)),INDIRECT($Y$1),Primary_Order[Delivery Date],"nothing",0,1),"")</f>
        <v/>
      </c>
      <c r="N2" s="458" t="s">
        <v>388</v>
      </c>
      <c r="O2" s="419" t="str" cm="1">
        <f t="array" aca="1" ref="O2" ca="1">_xlfn.IFNA(_xlfn.XLOOKUP(IF($Q$1="Sales Reciept",IF(ISNUMBER(SEARCH("p",R1,1)),"Fs-"&amp;LEFT(R1,LEN(R1)-1),"F-"&amp;R1),VALUE($R$1)),INDIRECT($Y$1),Primary_Order[TSM/TSE],"nothing",0,1),"")</f>
        <v>Md.Mahfuzur Rahman</v>
      </c>
      <c r="P2" s="459" t="s">
        <v>722</v>
      </c>
      <c r="Q2" s="460"/>
      <c r="R2" s="241" t="str" cm="1">
        <f t="array" aca="1" ref="R2" ca="1">IFERROR(_xlfn.XLOOKUP(IF($Q$1="Sales Reciept",IF(ISNUMBER(SEARCH("p",R1,1)),"Fs-"&amp;LEFT(R1,LEN(R1)-1),"F-"&amp;R1),VALUE($R$1)),INDIRECT($Y$1),Primary_Order[Payment Type],"nothing",0,1),"")</f>
        <v>Cash</v>
      </c>
      <c r="S2" s="455"/>
      <c r="T2" s="452" t="s">
        <v>1070</v>
      </c>
      <c r="U2" s="453"/>
      <c r="V2" s="415" t="str">
        <f>_xlfn.IFNA(VLOOKUP(W1,MMD[],2,0),"")</f>
        <v>Rancon Motor Bikes Ltd</v>
      </c>
      <c r="W2" s="416"/>
      <c r="X2" s="405"/>
    </row>
    <row r="3" spans="1:25" ht="24.5" customHeight="1" thickBot="1" x14ac:dyDescent="0.55000000000000004">
      <c r="A3" s="432"/>
      <c r="B3" s="433"/>
      <c r="C3" s="431"/>
      <c r="D3" s="440" t="s">
        <v>727</v>
      </c>
      <c r="E3" s="441"/>
      <c r="F3" s="446" t="str">
        <f ca="1">IFERROR(VLOOKUP(O4,MMD[],5,0),"")</f>
        <v>Pangsha</v>
      </c>
      <c r="G3" s="447"/>
      <c r="H3" s="420" t="s">
        <v>721</v>
      </c>
      <c r="I3" s="421"/>
      <c r="J3" s="421"/>
      <c r="K3" s="422"/>
      <c r="L3" s="456"/>
      <c r="M3" s="457"/>
      <c r="N3" s="458"/>
      <c r="O3" s="419"/>
      <c r="P3" s="461" t="s">
        <v>723</v>
      </c>
      <c r="Q3" s="462"/>
      <c r="R3" s="242" cm="1">
        <f t="array" aca="1" ref="R3" ca="1">IFERROR(SUM(_xlfn._xlws.FILTER(Primary_Order[Transport Discount],ISNUMBER(SEARCH($R$1,INDIRECT($Y$1)))))/SUM(_xlfn._xlws.FILTER(Primary_Order[Order Volume(ltr)],ISNUMBER(SEARCH($R$1,INDIRECT($Y$1))))),0)</f>
        <v>0</v>
      </c>
      <c r="S3" s="455"/>
      <c r="T3" s="452" t="s">
        <v>835</v>
      </c>
      <c r="U3" s="453"/>
      <c r="V3" s="417">
        <f>_xlfn.IFNA(VLOOKUP($U$4,Primary_Order[[Sales Reciept]:[Mushok]],27,0),"")</f>
        <v>648</v>
      </c>
      <c r="W3" s="418"/>
      <c r="X3" s="405"/>
    </row>
    <row r="4" spans="1:25" ht="22" thickTop="1" thickBot="1" x14ac:dyDescent="0.55000000000000004">
      <c r="A4" s="427" t="s">
        <v>730</v>
      </c>
      <c r="B4" s="428"/>
      <c r="C4" s="243" t="str" cm="1">
        <f t="array" aca="1" ref="C4" ca="1">IFERROR(_xlfn.XLOOKUP(IF($Q$1="Sales Reciept",IF(ISNUMBER(SEARCH("p",R1,1)),"Fs-"&amp;LEFT(R1,LEN(R1)-1),"F-"&amp;R1),VALUE($R$1)),INDIRECT($Y$1),Primary_Order[To Dealer(Contact no)],"nothing",0,1),"")</f>
        <v/>
      </c>
      <c r="D4" s="427" t="s">
        <v>729</v>
      </c>
      <c r="E4" s="428"/>
      <c r="F4" s="448" t="str">
        <f ca="1">IFERROR(VLOOKUP(O4,MMD[],4,0),"")</f>
        <v>01711154387</v>
      </c>
      <c r="G4" s="449"/>
      <c r="H4" s="425" t="s">
        <v>836</v>
      </c>
      <c r="I4" s="426"/>
      <c r="J4" s="423" cm="1">
        <f t="array" aca="1" ref="J4" ca="1">IFERROR(_xlfn.XLOOKUP(IF($Q$1="Sales Reciept",IF(ISNUMBER(SEARCH("p",R1,1)),"Fs-"&amp;LEFT(R1,LEN(R1)-1),"F-"&amp;R1),VALUE($R$1)),INDIRECT($Y$1),Primary_Order[Mushok],"nothing",0,1),"")</f>
        <v>715</v>
      </c>
      <c r="K4" s="424"/>
      <c r="L4" s="244" t="s">
        <v>747</v>
      </c>
      <c r="M4" s="245" t="str" cm="1">
        <f t="array" aca="1" ref="M4" ca="1">IFERROR(_xlfn.XLOOKUP(IF($Q$1="Sales Reciept",IF(ISNUMBER(SEARCH("p",R1,1)),"Fs-"&amp;LEFT(R1,LEN(R1)-1),"F-"&amp;R1),VALUE($R$1)),INDIRECT($Y$1),Primary_Order[Order Type],"nothing",0,1),"")</f>
        <v>Flat Discount</v>
      </c>
      <c r="N4" s="246" t="s">
        <v>724</v>
      </c>
      <c r="O4" s="245" t="str" cm="1">
        <f t="array" aca="1" ref="O4" ca="1">_xlfn.IFNA(_xlfn.XLOOKUP(IF($Q$1="Sales Reciept",IF(ISNUMBER(SEARCH("p",R1,1)),"Fs-"&amp;LEFT(R1,LEN(R1)-1),"F-"&amp;R1),VALUE($R$1)),INDIRECT($Y$1),Primary_Order[MMD ID],"nothing",0,1),"")</f>
        <v>D-0001</v>
      </c>
      <c r="P4" s="450" t="s">
        <v>1069</v>
      </c>
      <c r="Q4" s="451"/>
      <c r="R4" s="247" t="str" cm="1">
        <f t="array" aca="1" ref="R4" ca="1">IFERROR(_xlfn.XLOOKUP(IF($Q$1="Sales Reciept",IF(ISNUMBER(SEARCH("p",R1,1)),"Fs-"&amp;LEFT(R1,LEN(R1)-1),"F-"&amp;R1),VALUE($R$1)),INDIRECT($Y$1),Primary_Order[Status],"nothing",0,1),"")</f>
        <v>Delivered</v>
      </c>
      <c r="S4" s="288"/>
      <c r="T4" s="59" t="s">
        <v>743</v>
      </c>
      <c r="U4" s="60" t="str">
        <f>_xlfn.IFNA(_xlfn.XLOOKUP("O-"&amp;U1&amp;"-"&amp;W1,Primary_Order[Order Search],Primary_Order[Sales Reciept],,0,1),"")</f>
        <v>F-181</v>
      </c>
      <c r="V4" s="61" t="s">
        <v>444</v>
      </c>
      <c r="W4" s="62" t="str">
        <f>_xlfn.IFNA(VLOOKUP(W1,MMD[],10,0),"")</f>
        <v>Captive</v>
      </c>
      <c r="X4" s="405"/>
    </row>
    <row r="5" spans="1:25" ht="60.5" customHeight="1" thickBot="1" x14ac:dyDescent="0.55000000000000004">
      <c r="A5" s="248" t="s">
        <v>731</v>
      </c>
      <c r="B5" s="249" t="s">
        <v>18</v>
      </c>
      <c r="C5" s="249" t="s">
        <v>732</v>
      </c>
      <c r="D5" s="249" t="s">
        <v>717</v>
      </c>
      <c r="E5" s="334" t="s">
        <v>873</v>
      </c>
      <c r="F5" s="251" t="s">
        <v>868</v>
      </c>
      <c r="G5" s="249" t="s">
        <v>21</v>
      </c>
      <c r="H5" s="249" t="s">
        <v>869</v>
      </c>
      <c r="I5" s="249" t="s">
        <v>875</v>
      </c>
      <c r="J5" s="249" t="s">
        <v>733</v>
      </c>
      <c r="K5" s="252" t="s">
        <v>863</v>
      </c>
      <c r="L5" s="253" t="s">
        <v>871</v>
      </c>
      <c r="M5" s="249" t="s">
        <v>874</v>
      </c>
      <c r="N5" s="254" t="s">
        <v>867</v>
      </c>
      <c r="O5" s="249" t="s">
        <v>24</v>
      </c>
      <c r="P5" s="250" t="s">
        <v>734</v>
      </c>
      <c r="Q5" s="254" t="s">
        <v>750</v>
      </c>
      <c r="R5" s="250" t="s">
        <v>751</v>
      </c>
      <c r="S5" s="156"/>
      <c r="T5" s="152" t="s">
        <v>836</v>
      </c>
      <c r="U5" s="153">
        <v>651</v>
      </c>
      <c r="V5" s="154" t="s">
        <v>743</v>
      </c>
      <c r="W5" s="155" t="str">
        <f>_xlfn.IFNA(_xlfn.XLOOKUP(U5,Primary_Order[Mushok],Primary_Order[Sales Reciept],_xlfn.XLOOKUP(VALUE(U5),Primary_Order[Mushok],Primary_Order[Sales Reciept],,0,1),0,1),"")</f>
        <v>F-184</v>
      </c>
      <c r="X5" s="405"/>
    </row>
    <row r="6" spans="1:25" ht="18.5" x14ac:dyDescent="0.5">
      <c r="A6" s="335">
        <v>1</v>
      </c>
      <c r="B6" s="336" t="str" cm="1">
        <f t="array" aca="1" ref="B6:B8" ca="1">IFERROR(_xlfn._xlws.FILTER(Primary_Order[Product ID],ISNUMBER(SEARCH(IF($Q$1="Sales Reciept",IF(ISNUMBER(SEARCH("p",$R$1,1)),"Fs-"&amp;LEFT($R$1,LEN($R$1)-1),"F-"&amp;$R$1),VALUE($R$1)),INDIRECT($Y$1))),"nothing"),"")</f>
        <v>LO00043</v>
      </c>
      <c r="C6" s="337" t="str">
        <f ca="1">IFERROR(VLOOKUP($B6,SKU[],3,0),0)</f>
        <v>3000 4T PLUS 10W40</v>
      </c>
      <c r="D6" s="338" t="str">
        <f ca="1">IFERROR(VLOOKUP($B6,SKU[],4,0),0)</f>
        <v>20x1L</v>
      </c>
      <c r="E6" s="339" cm="1">
        <f t="array" aca="1" ref="E6" ca="1">IFERROR(VLOOKUP($B6,_xlfn._xlws.FILTER(Primary_Order[[Product ID]:[Price/Piece]],ISNUMBER(SEARCH(IF($Q$1="Sales Reciept",IF(ISNUMBER(SEARCH("p",$R$1,1)),"Fs-"&amp;LEFT($R$1,LEN($R$1)-1),"F-"&amp;$R$1),VALUE($R$1)),INDIRECT($Y$1))),"nothing"),4,0),0)</f>
        <v>515</v>
      </c>
      <c r="F6" s="340">
        <f ca="1">E6-H6</f>
        <v>0</v>
      </c>
      <c r="G6" s="339" cm="1">
        <f t="array" aca="1" ref="G6" ca="1">IFERROR(VLOOKUP(B6,_xlfn._xlws.FILTER(Primary_Order[[Product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6" s="339" cm="1">
        <f t="array" aca="1" ref="H6" ca="1">IFERROR(VLOOKUP(B6,_xlfn._xlws.FILTER(Primary_Order[[Product ID]:[After Discount Price/Piece]],ISNUMBER(SEARCH(IF($Q$1="Sales Reciept",IF(ISNUMBER(SEARCH("p",$R$1,1)),"Fs-"&amp;LEFT($R$1,LEN($R$1)-1),"F-"&amp;$R$1),VALUE($R$1)),INDIRECT($Y$1))),"nothing"),8,0),0)</f>
        <v>515</v>
      </c>
      <c r="I6" s="339" cm="1">
        <f t="array" aca="1" ref="I6" ca="1">IFERROR(VLOOKUP(B6,_xlfn._xlws.FILTER(Primary_Order[[Product ID]:[Price/Piece]],ISNUMBER(SEARCH(IF($Q$1="Sales Reciept",IF(ISNUMBER(SEARCH("p",$R$1,1)),"Fs-"&amp;LEFT($R$1,LEN($R$1)-1),"F-"&amp;$R$1),VALUE($R$1)),INDIRECT($Y$1))),"nothing"),3,0),0)</f>
        <v>1280</v>
      </c>
      <c r="J6" s="337">
        <f ca="1">IFERROR(G6+I6,0)</f>
        <v>1280</v>
      </c>
      <c r="K6" s="341">
        <f ca="1">_xlfn.IFNA(VLOOKUP(B6,SKU[],6,0)*S.Order!J6,0)</f>
        <v>1280</v>
      </c>
      <c r="L6" s="342">
        <f ca="1">_xlfn.IFNA(J6/VLOOKUP(B6,SKU[],5,0),0)</f>
        <v>64</v>
      </c>
      <c r="M6" s="343">
        <f t="shared" ref="M6:M24" ca="1" si="0">IFERROR((E6*100)/115,"")</f>
        <v>447.82608695652175</v>
      </c>
      <c r="N6" s="344">
        <f ca="1">IFERROR(M6*I6,0)</f>
        <v>573217.3913043479</v>
      </c>
      <c r="O6" s="342">
        <f t="shared" ref="O6:O24" ca="1" si="1">P6-N6</f>
        <v>85982.608695652103</v>
      </c>
      <c r="P6" s="337">
        <f t="shared" ref="P6:P24" ca="1" si="2">IFERROR(H6*I6,0)</f>
        <v>659200</v>
      </c>
      <c r="Q6" s="344" cm="1">
        <f t="array" aca="1" ref="Q6" ca="1">IFERROR(VLOOKUP(B6,_xlfn._xlws.FILTER(Primary_Order[[Product ID]:[Cost]],ISNUMBER(SEARCH(IF($Q$1="Sales Reciept",IF(ISNUMBER(SEARCH("p",$R$1,1)),"Fs-"&amp;LEFT($R$1,LEN($R$1)-1),"F-"&amp;$R$1),VALUE($R$1)),INDIRECT($Y$1))),"nothing"),28,0),0)</f>
        <v>492608</v>
      </c>
      <c r="R6" s="345">
        <f ca="1">N6-Q6</f>
        <v>80609.391304347897</v>
      </c>
      <c r="S6" s="42"/>
      <c r="T6" s="58"/>
      <c r="U6" s="58"/>
      <c r="V6" s="58"/>
      <c r="W6" s="58"/>
    </row>
    <row r="7" spans="1:25" ht="18.5" x14ac:dyDescent="0.5">
      <c r="A7" s="346">
        <f ca="1">IF(B7="","",A6+1)</f>
        <v>2</v>
      </c>
      <c r="B7" s="347" t="str">
        <f ca="1"/>
        <v>LO00046</v>
      </c>
      <c r="C7" s="339" t="str">
        <f ca="1">IFERROR(VLOOKUP($B7,SKU[],3,0),0)</f>
        <v>51004T 10W40 ESTER</v>
      </c>
      <c r="D7" s="348" t="str">
        <f ca="1">IFERROR(VLOOKUP($B7,SKU[],4,0),0)</f>
        <v>12x1L</v>
      </c>
      <c r="E7" s="339" cm="1">
        <f t="array" aca="1" ref="E7" ca="1">IFERROR(VLOOKUP($B7,_xlfn._xlws.FILTER(Primary_Order[[Product ID]:[Price/Piece]],ISNUMBER(SEARCH(IF($Q$1="Sales Reciept",IF(ISNUMBER(SEARCH("p",$R$1,1)),"Fs-"&amp;LEFT($R$1,LEN($R$1)-1),"F-"&amp;$R$1),VALUE($R$1)),INDIRECT($Y$1))),"nothing"),4,0),0)</f>
        <v>820</v>
      </c>
      <c r="F7" s="340">
        <f t="shared" ref="F7:F30" ca="1" si="3">E7-H7</f>
        <v>0</v>
      </c>
      <c r="G7" s="339" cm="1">
        <f t="array" aca="1" ref="G7" ca="1">IFERROR(VLOOKUP(B7,_xlfn._xlws.FILTER(Primary_Order[[Product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7" s="339" cm="1">
        <f t="array" aca="1" ref="H7" ca="1">IFERROR(VLOOKUP(B7,_xlfn._xlws.FILTER(Primary_Order[[Product ID]:[After Discount Price/Piece]],ISNUMBER(SEARCH(IF($Q$1="Sales Reciept",IF(ISNUMBER(SEARCH("p",$R$1,1)),"Fs-"&amp;LEFT($R$1,LEN($R$1)-1),"F-"&amp;$R$1),VALUE($R$1)),INDIRECT($Y$1))),"nothing"),8,0),0)</f>
        <v>820</v>
      </c>
      <c r="I7" s="339" cm="1">
        <f t="array" aca="1" ref="I7" ca="1">IFERROR(VLOOKUP(B7,_xlfn._xlws.FILTER(Primary_Order[[Product ID]:[Price/Piece]],ISNUMBER(SEARCH(IF($Q$1="Sales Reciept",IF(ISNUMBER(SEARCH("p",$R$1,1)),"Fs-"&amp;LEFT($R$1,LEN($R$1)-1),"F-"&amp;$R$1),VALUE($R$1)),INDIRECT($Y$1))),"nothing"),3,0),0)</f>
        <v>240</v>
      </c>
      <c r="J7" s="339">
        <f t="shared" ref="J7:J12" ca="1" si="4">IFERROR(G7+I7,0)</f>
        <v>240</v>
      </c>
      <c r="K7" s="344">
        <f ca="1">_xlfn.IFNA(VLOOKUP(B7,SKU[],6,0)*S.Order!J7,0)</f>
        <v>240</v>
      </c>
      <c r="L7" s="349">
        <f ca="1">_xlfn.IFNA(J7/VLOOKUP(B7,SKU[],5,0),0)</f>
        <v>20</v>
      </c>
      <c r="M7" s="349">
        <f t="shared" ca="1" si="0"/>
        <v>713.04347826086962</v>
      </c>
      <c r="N7" s="344">
        <f t="shared" ref="N7:N30" ca="1" si="5">IFERROR(M7*I7,0)</f>
        <v>171130.4347826087</v>
      </c>
      <c r="O7" s="349">
        <f t="shared" ca="1" si="1"/>
        <v>25669.565217391297</v>
      </c>
      <c r="P7" s="339">
        <f t="shared" ca="1" si="2"/>
        <v>196800</v>
      </c>
      <c r="Q7" s="344" cm="1">
        <f t="array" aca="1" ref="Q7" ca="1">IFERROR(VLOOKUP(B7,_xlfn._xlws.FILTER(Primary_Order[[Product ID]:[Cost]],ISNUMBER(SEARCH(IF($Q$1="Sales Reciept",IF(ISNUMBER(SEARCH("p",$R$1,1)),"Fs-"&amp;LEFT($R$1,LEN($R$1)-1),"F-"&amp;$R$1),VALUE($R$1)),INDIRECT($Y$1))),"nothing"),28,0),0)</f>
        <v>145999.20000000001</v>
      </c>
      <c r="R7" s="350">
        <f t="shared" ref="R7:R30" ca="1" si="6">N7-Q7</f>
        <v>25131.234782608692</v>
      </c>
      <c r="S7" s="42"/>
    </row>
    <row r="8" spans="1:25" x14ac:dyDescent="0.5">
      <c r="A8" s="346">
        <f t="shared" ref="A8:A12" ca="1" si="7">IF(B8="","",A7+1)</f>
        <v>3</v>
      </c>
      <c r="B8" s="347" t="str">
        <f ca="1"/>
        <v>LO00119</v>
      </c>
      <c r="C8" s="339" t="str">
        <f ca="1">IFERROR(VLOOKUP($B8,SKU[],3,0),0)</f>
        <v>3000 4T 20W50</v>
      </c>
      <c r="D8" s="348" t="str">
        <f ca="1">IFERROR(VLOOKUP($B8,SKU[],4,0),0)</f>
        <v>20x1L</v>
      </c>
      <c r="E8" s="339" cm="1">
        <f t="array" aca="1" ref="E8" ca="1">IFERROR(VLOOKUP($B8,_xlfn._xlws.FILTER(Primary_Order[[Product ID]:[Price/Piece]],ISNUMBER(SEARCH(IF($Q$1="Sales Reciept",IF(ISNUMBER(SEARCH("p",$R$1,1)),"Fs-"&amp;LEFT($R$1,LEN($R$1)-1),"F-"&amp;$R$1),VALUE($R$1)),INDIRECT($Y$1))),"nothing"),4,0),0)</f>
        <v>400</v>
      </c>
      <c r="F8" s="340">
        <f t="shared" ca="1" si="3"/>
        <v>0</v>
      </c>
      <c r="G8" s="339" cm="1">
        <f t="array" aca="1" ref="G8" ca="1">IFERROR(VLOOKUP(B8,_xlfn._xlws.FILTER(Primary_Order[[Product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8" s="339" cm="1">
        <f t="array" aca="1" ref="H8" ca="1">IFERROR(VLOOKUP(B8,_xlfn._xlws.FILTER(Primary_Order[[Product ID]:[After Discount Price/Piece]],ISNUMBER(SEARCH(IF($Q$1="Sales Reciept",IF(ISNUMBER(SEARCH("p",$R$1,1)),"Fs-"&amp;LEFT($R$1,LEN($R$1)-1),"F-"&amp;$R$1),VALUE($R$1)),INDIRECT($Y$1))),"nothing"),8,0),0)</f>
        <v>400</v>
      </c>
      <c r="I8" s="339" cm="1">
        <f t="array" aca="1" ref="I8" ca="1">IFERROR(VLOOKUP(B8,_xlfn._xlws.FILTER(Primary_Order[[Product ID]:[Price/Piece]],ISNUMBER(SEARCH(IF($Q$1="Sales Reciept",IF(ISNUMBER(SEARCH("p",$R$1,1)),"Fs-"&amp;LEFT($R$1,LEN($R$1)-1),"F-"&amp;$R$1),VALUE($R$1)),INDIRECT($Y$1))),"nothing"),3,0),0)</f>
        <v>400</v>
      </c>
      <c r="J8" s="339">
        <f t="shared" ca="1" si="4"/>
        <v>400</v>
      </c>
      <c r="K8" s="344">
        <f ca="1">_xlfn.IFNA(VLOOKUP(B8,SKU[],6,0)*S.Order!J8,0)</f>
        <v>400</v>
      </c>
      <c r="L8" s="349">
        <f ca="1">_xlfn.IFNA(J8/VLOOKUP(B8,SKU[],5,0),0)</f>
        <v>20</v>
      </c>
      <c r="M8" s="349">
        <f ca="1">IFERROR((E8*100)/115,"")</f>
        <v>347.82608695652175</v>
      </c>
      <c r="N8" s="344">
        <f t="shared" ca="1" si="5"/>
        <v>139130.4347826087</v>
      </c>
      <c r="O8" s="349">
        <f t="shared" ca="1" si="1"/>
        <v>20869.565217391297</v>
      </c>
      <c r="P8" s="339">
        <f t="shared" ca="1" si="2"/>
        <v>160000</v>
      </c>
      <c r="Q8" s="344" cm="1">
        <f t="array" aca="1" ref="Q8" ca="1">IFERROR(VLOOKUP(B8,_xlfn._xlws.FILTER(Primary_Order[[Product ID]:[Cost]],ISNUMBER(SEARCH(IF($Q$1="Sales Reciept",IF(ISNUMBER(SEARCH("p",$R$1,1)),"Fs-"&amp;LEFT($R$1,LEN($R$1)-1),"F-"&amp;$R$1),VALUE($R$1)),INDIRECT($Y$1))),"nothing"),28,0),0)</f>
        <v>145968</v>
      </c>
      <c r="R8" s="350">
        <f t="shared" ca="1" si="6"/>
        <v>-6837.5652173912968</v>
      </c>
    </row>
    <row r="9" spans="1:25" x14ac:dyDescent="0.5">
      <c r="A9" s="346" t="str">
        <f t="shared" si="7"/>
        <v/>
      </c>
      <c r="B9" s="347"/>
      <c r="C9" s="339">
        <f>IFERROR(VLOOKUP($B9,SKU[],3,0),0)</f>
        <v>0</v>
      </c>
      <c r="D9" s="348">
        <f>IFERROR(VLOOKUP($B9,SKU[],4,0),0)</f>
        <v>0</v>
      </c>
      <c r="E9" s="339" cm="1">
        <f t="array" aca="1" ref="E9" ca="1">IFERROR(VLOOKUP($B9,_xlfn._xlws.FILTER(Primary_Order[[Product ID]:[Price/Piece]],ISNUMBER(SEARCH(IF($Q$1="Sales Reciept",IF(ISNUMBER(SEARCH("p",$R$1,1)),"Fs-"&amp;LEFT($R$1,LEN($R$1)-1),"F-"&amp;$R$1),VALUE($R$1)),INDIRECT($Y$1))),"nothing"),4,0),0)</f>
        <v>0</v>
      </c>
      <c r="F9" s="340">
        <f t="shared" ca="1" si="3"/>
        <v>0</v>
      </c>
      <c r="G9" s="339" cm="1">
        <f t="array" aca="1" ref="G9" ca="1">IFERROR(VLOOKUP(B9,_xlfn._xlws.FILTER(Primary_Order[[Product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9" s="339" cm="1">
        <f t="array" aca="1" ref="H9" ca="1">IFERROR(VLOOKUP(B9,_xlfn._xlws.FILTER(Primary_Order[[Product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9" s="339" cm="1">
        <f t="array" aca="1" ref="I9" ca="1">IFERROR(VLOOKUP(B9,_xlfn._xlws.FILTER(Primary_Order[[Product ID]:[Price/Piece]],ISNUMBER(SEARCH(IF($Q$1="Sales Reciept",IF(ISNUMBER(SEARCH("p",$R$1,1)),"Fs-"&amp;LEFT($R$1,LEN($R$1)-1),"F-"&amp;$R$1),VALUE($R$1)),INDIRECT($Y$1))),"nothing"),3,0),0)</f>
        <v>0</v>
      </c>
      <c r="J9" s="339">
        <f t="shared" ca="1" si="4"/>
        <v>0</v>
      </c>
      <c r="K9" s="344">
        <f ca="1">_xlfn.IFNA(VLOOKUP(B9,SKU[],6,0)*S.Order!J9,0)</f>
        <v>0</v>
      </c>
      <c r="L9" s="349">
        <f ca="1">_xlfn.IFNA(J9/VLOOKUP(B9,SKU[],5,0),0)</f>
        <v>0</v>
      </c>
      <c r="M9" s="349">
        <f t="shared" ca="1" si="0"/>
        <v>0</v>
      </c>
      <c r="N9" s="344">
        <f t="shared" ca="1" si="5"/>
        <v>0</v>
      </c>
      <c r="O9" s="349">
        <f t="shared" ca="1" si="1"/>
        <v>0</v>
      </c>
      <c r="P9" s="339">
        <f t="shared" ca="1" si="2"/>
        <v>0</v>
      </c>
      <c r="Q9" s="344" cm="1">
        <f t="array" aca="1" ref="Q9" ca="1">IFERROR(VLOOKUP(B9,_xlfn._xlws.FILTER(Primary_Order[[Product ID]:[Cost]],ISNUMBER(SEARCH(IF($Q$1="Sales Reciept",IF(ISNUMBER(SEARCH("p",$R$1,1)),"Fs-"&amp;LEFT($R$1,LEN($R$1)-1),"F-"&amp;$R$1),VALUE($R$1)),INDIRECT($Y$1))),"nothing"),28,0),0)</f>
        <v>0</v>
      </c>
      <c r="R9" s="350">
        <f t="shared" ca="1" si="6"/>
        <v>0</v>
      </c>
    </row>
    <row r="10" spans="1:25" x14ac:dyDescent="0.5">
      <c r="A10" s="346" t="str">
        <f t="shared" si="7"/>
        <v/>
      </c>
      <c r="B10" s="347"/>
      <c r="C10" s="339">
        <f>IFERROR(VLOOKUP($B10,SKU[],3,0),0)</f>
        <v>0</v>
      </c>
      <c r="D10" s="348">
        <f>IFERROR(VLOOKUP($B10,SKU[],4,0),0)</f>
        <v>0</v>
      </c>
      <c r="E10" s="339" cm="1">
        <f t="array" aca="1" ref="E10" ca="1">IFERROR(VLOOKUP($B10,_xlfn._xlws.FILTER(Primary_Order[[Product ID]:[Price/Piece]],ISNUMBER(SEARCH(IF($Q$1="Sales Reciept",IF(ISNUMBER(SEARCH("p",$R$1,1)),"Fs-"&amp;LEFT($R$1,LEN($R$1)-1),"F-"&amp;$R$1),VALUE($R$1)),INDIRECT($Y$1))),"nothing"),4,0),0)</f>
        <v>0</v>
      </c>
      <c r="F10" s="340">
        <f t="shared" ca="1" si="3"/>
        <v>0</v>
      </c>
      <c r="G10" s="339" cm="1">
        <f t="array" aca="1" ref="G10" ca="1">IFERROR(VLOOKUP(B10,_xlfn._xlws.FILTER(Primary_Order[[Product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0" s="339" cm="1">
        <f t="array" aca="1" ref="H10" ca="1">IFERROR(VLOOKUP(B10,_xlfn._xlws.FILTER(Primary_Order[[Product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0" s="339" cm="1">
        <f t="array" aca="1" ref="I10" ca="1">IFERROR(VLOOKUP(B10,_xlfn._xlws.FILTER(Primary_Order[[Product ID]:[Price/Piece]],ISNUMBER(SEARCH(IF($Q$1="Sales Reciept",IF(ISNUMBER(SEARCH("p",$R$1,1)),"Fs-"&amp;LEFT($R$1,LEN($R$1)-1),"F-"&amp;$R$1),VALUE($R$1)),INDIRECT($Y$1))),"nothing"),3,0),0)</f>
        <v>0</v>
      </c>
      <c r="J10" s="339">
        <f t="shared" ca="1" si="4"/>
        <v>0</v>
      </c>
      <c r="K10" s="344">
        <f ca="1">_xlfn.IFNA(VLOOKUP(B10,SKU[],6,0)*S.Order!J10,0)</f>
        <v>0</v>
      </c>
      <c r="L10" s="349">
        <f ca="1">_xlfn.IFNA(J10/VLOOKUP(B10,SKU[],5,0),0)</f>
        <v>0</v>
      </c>
      <c r="M10" s="349">
        <f t="shared" ca="1" si="0"/>
        <v>0</v>
      </c>
      <c r="N10" s="344">
        <f t="shared" ca="1" si="5"/>
        <v>0</v>
      </c>
      <c r="O10" s="349">
        <f t="shared" ca="1" si="1"/>
        <v>0</v>
      </c>
      <c r="P10" s="339">
        <f t="shared" ca="1" si="2"/>
        <v>0</v>
      </c>
      <c r="Q10" s="344" cm="1">
        <f t="array" aca="1" ref="Q10" ca="1">IFERROR(VLOOKUP(B10,_xlfn._xlws.FILTER(Primary_Order[[Product ID]:[Cost]],ISNUMBER(SEARCH(IF($Q$1="Sales Reciept",IF(ISNUMBER(SEARCH("p",$R$1,1)),"Fs-"&amp;LEFT($R$1,LEN($R$1)-1),"F-"&amp;$R$1),VALUE($R$1)),INDIRECT($Y$1))),"nothing"),28,0),0)</f>
        <v>0</v>
      </c>
      <c r="R10" s="350">
        <f t="shared" ca="1" si="6"/>
        <v>0</v>
      </c>
    </row>
    <row r="11" spans="1:25" x14ac:dyDescent="0.5">
      <c r="A11" s="346" t="str">
        <f t="shared" si="7"/>
        <v/>
      </c>
      <c r="B11" s="347"/>
      <c r="C11" s="339">
        <f>IFERROR(VLOOKUP($B11,SKU[],3,0),0)</f>
        <v>0</v>
      </c>
      <c r="D11" s="348">
        <f>IFERROR(VLOOKUP($B11,SKU[],4,0),0)</f>
        <v>0</v>
      </c>
      <c r="E11" s="339" cm="1">
        <f t="array" aca="1" ref="E11" ca="1">IFERROR(VLOOKUP($B11,_xlfn._xlws.FILTER(Primary_Order[[Product ID]:[Price/Piece]],ISNUMBER(SEARCH(IF($Q$1="Sales Reciept",IF(ISNUMBER(SEARCH("p",$R$1,1)),"Fs-"&amp;LEFT($R$1,LEN($R$1)-1),"F-"&amp;$R$1),VALUE($R$1)),INDIRECT($Y$1))),"nothing"),4,0),0)</f>
        <v>0</v>
      </c>
      <c r="F11" s="340">
        <f t="shared" ca="1" si="3"/>
        <v>0</v>
      </c>
      <c r="G11" s="339" cm="1">
        <f t="array" aca="1" ref="G11" ca="1">IFERROR(VLOOKUP(B11,_xlfn._xlws.FILTER(Primary_Order[[Product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1" s="339" cm="1">
        <f t="array" aca="1" ref="H11" ca="1">IFERROR(VLOOKUP(B11,_xlfn._xlws.FILTER(Primary_Order[[Product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1" s="339" cm="1">
        <f t="array" aca="1" ref="I11" ca="1">IFERROR(VLOOKUP(B11,_xlfn._xlws.FILTER(Primary_Order[[Product ID]:[Price/Piece]],ISNUMBER(SEARCH(IF($Q$1="Sales Reciept",IF(ISNUMBER(SEARCH("p",$R$1,1)),"Fs-"&amp;LEFT($R$1,LEN($R$1)-1),"F-"&amp;$R$1),VALUE($R$1)),INDIRECT($Y$1))),"nothing"),3,0),0)</f>
        <v>0</v>
      </c>
      <c r="J11" s="339">
        <f t="shared" ca="1" si="4"/>
        <v>0</v>
      </c>
      <c r="K11" s="344">
        <f ca="1">_xlfn.IFNA(VLOOKUP(B11,SKU[],6,0)*S.Order!J11,0)</f>
        <v>0</v>
      </c>
      <c r="L11" s="349">
        <f ca="1">_xlfn.IFNA(J11/VLOOKUP(B11,SKU[],5,0),0)</f>
        <v>0</v>
      </c>
      <c r="M11" s="349">
        <f t="shared" ca="1" si="0"/>
        <v>0</v>
      </c>
      <c r="N11" s="344">
        <f t="shared" ca="1" si="5"/>
        <v>0</v>
      </c>
      <c r="O11" s="349">
        <f t="shared" ca="1" si="1"/>
        <v>0</v>
      </c>
      <c r="P11" s="339">
        <f t="shared" ca="1" si="2"/>
        <v>0</v>
      </c>
      <c r="Q11" s="344" cm="1">
        <f t="array" aca="1" ref="Q11" ca="1">IFERROR(VLOOKUP(B11,_xlfn._xlws.FILTER(Primary_Order[[Product ID]:[Cost]],ISNUMBER(SEARCH(IF($Q$1="Sales Reciept",IF(ISNUMBER(SEARCH("p",$R$1,1)),"Fs-"&amp;LEFT($R$1,LEN($R$1)-1),"F-"&amp;$R$1),VALUE($R$1)),INDIRECT($Y$1))),"nothing"),28,0),0)</f>
        <v>0</v>
      </c>
      <c r="R11" s="350">
        <f t="shared" ca="1" si="6"/>
        <v>0</v>
      </c>
    </row>
    <row r="12" spans="1:25" x14ac:dyDescent="0.5">
      <c r="A12" s="346" t="str">
        <f t="shared" si="7"/>
        <v/>
      </c>
      <c r="B12" s="347"/>
      <c r="C12" s="339">
        <f>IFERROR(VLOOKUP($B12,SKU[],3,0),0)</f>
        <v>0</v>
      </c>
      <c r="D12" s="348">
        <f>IFERROR(VLOOKUP($B12,SKU[],4,0),0)</f>
        <v>0</v>
      </c>
      <c r="E12" s="339" cm="1">
        <f t="array" aca="1" ref="E12" ca="1">IFERROR(VLOOKUP($B12,_xlfn._xlws.FILTER(Primary_Order[[Product ID]:[Price/Piece]],ISNUMBER(SEARCH(IF($Q$1="Sales Reciept",IF(ISNUMBER(SEARCH("p",$R$1,1)),"Fs-"&amp;LEFT($R$1,LEN($R$1)-1),"F-"&amp;$R$1),VALUE($R$1)),INDIRECT($Y$1))),"nothing"),4,0),0)</f>
        <v>0</v>
      </c>
      <c r="F12" s="340">
        <f t="shared" ca="1" si="3"/>
        <v>0</v>
      </c>
      <c r="G12" s="339" cm="1">
        <f t="array" aca="1" ref="G12" ca="1">IFERROR(VLOOKUP(B12,_xlfn._xlws.FILTER(Primary_Order[[Product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2" s="339" cm="1">
        <f t="array" aca="1" ref="H12" ca="1">IFERROR(VLOOKUP(B12,_xlfn._xlws.FILTER(Primary_Order[[Product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2" s="339" cm="1">
        <f t="array" aca="1" ref="I12" ca="1">IFERROR(VLOOKUP(B12,_xlfn._xlws.FILTER(Primary_Order[[Product ID]:[Price/Piece]],ISNUMBER(SEARCH(IF($Q$1="Sales Reciept",IF(ISNUMBER(SEARCH("p",$R$1,1)),"Fs-"&amp;LEFT($R$1,LEN($R$1)-1),"F-"&amp;$R$1),VALUE($R$1)),INDIRECT($Y$1))),"nothing"),3,0),0)</f>
        <v>0</v>
      </c>
      <c r="J12" s="339">
        <f t="shared" ca="1" si="4"/>
        <v>0</v>
      </c>
      <c r="K12" s="344">
        <f ca="1">_xlfn.IFNA(VLOOKUP(B12,SKU[],6,0)*S.Order!J12,0)</f>
        <v>0</v>
      </c>
      <c r="L12" s="349">
        <f ca="1">_xlfn.IFNA(J12/VLOOKUP(B12,SKU[],5,0),0)</f>
        <v>0</v>
      </c>
      <c r="M12" s="349">
        <f t="shared" ca="1" si="0"/>
        <v>0</v>
      </c>
      <c r="N12" s="344">
        <f t="shared" ca="1" si="5"/>
        <v>0</v>
      </c>
      <c r="O12" s="349">
        <f t="shared" ca="1" si="1"/>
        <v>0</v>
      </c>
      <c r="P12" s="339">
        <f t="shared" ca="1" si="2"/>
        <v>0</v>
      </c>
      <c r="Q12" s="344" cm="1">
        <f t="array" aca="1" ref="Q12" ca="1">IFERROR(VLOOKUP(B12,_xlfn._xlws.FILTER(Primary_Order[[Product ID]:[Cost]],ISNUMBER(SEARCH(IF($Q$1="Sales Reciept",IF(ISNUMBER(SEARCH("p",$R$1,1)),"Fs-"&amp;LEFT($R$1,LEN($R$1)-1),"F-"&amp;$R$1),VALUE($R$1)),INDIRECT($Y$1))),"nothing"),28,0),0)</f>
        <v>0</v>
      </c>
      <c r="R12" s="350">
        <f t="shared" ca="1" si="6"/>
        <v>0</v>
      </c>
    </row>
    <row r="13" spans="1:25" x14ac:dyDescent="0.5">
      <c r="A13" s="346" t="str">
        <f t="shared" ref="A13:A24" si="8">IF(B13="","",A12+1)</f>
        <v/>
      </c>
      <c r="B13" s="347"/>
      <c r="C13" s="339">
        <f>IFERROR(VLOOKUP($B13,SKU[],3,0),0)</f>
        <v>0</v>
      </c>
      <c r="D13" s="348">
        <f>IFERROR(VLOOKUP($B13,SKU[],4,0),0)</f>
        <v>0</v>
      </c>
      <c r="E13" s="339" cm="1">
        <f t="array" aca="1" ref="E13" ca="1">IFERROR(VLOOKUP($B13,_xlfn._xlws.FILTER(Primary_Order[[Product ID]:[Price/Piece]],ISNUMBER(SEARCH(IF($Q$1="Sales Reciept",IF(ISNUMBER(SEARCH("p",$R$1,1)),"Fs-"&amp;LEFT($R$1,LEN($R$1)-1),"F-"&amp;$R$1),VALUE($R$1)),INDIRECT($Y$1))),"nothing"),4,0),0)</f>
        <v>0</v>
      </c>
      <c r="F13" s="340">
        <f t="shared" ca="1" si="3"/>
        <v>0</v>
      </c>
      <c r="G13" s="339" cm="1">
        <f t="array" aca="1" ref="G13" ca="1">IFERROR(VLOOKUP(B13,_xlfn._xlws.FILTER(Primary_Order[[Product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3" s="339" cm="1">
        <f t="array" aca="1" ref="H13" ca="1">IFERROR(VLOOKUP(B13,_xlfn._xlws.FILTER(Primary_Order[[Product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3" s="339" cm="1">
        <f t="array" aca="1" ref="I13" ca="1">IFERROR(VLOOKUP(B13,_xlfn._xlws.FILTER(Primary_Order[[Product ID]:[Price/Piece]],ISNUMBER(SEARCH(IF($Q$1="Sales Reciept",IF(ISNUMBER(SEARCH("p",$R$1,1)),"Fs-"&amp;LEFT($R$1,LEN($R$1)-1),"F-"&amp;$R$1),VALUE($R$1)),INDIRECT($Y$1))),"nothing"),3,0),0)</f>
        <v>0</v>
      </c>
      <c r="J13" s="339">
        <f t="shared" ref="J13:J24" ca="1" si="9">IFERROR(G13+I13,0)</f>
        <v>0</v>
      </c>
      <c r="K13" s="344">
        <f ca="1">_xlfn.IFNA(VLOOKUP(B13,SKU[],6,0)*S.Order!J13,0)</f>
        <v>0</v>
      </c>
      <c r="L13" s="349">
        <f ca="1">_xlfn.IFNA(J13/VLOOKUP(B13,SKU[],5,0),0)</f>
        <v>0</v>
      </c>
      <c r="M13" s="349">
        <f t="shared" ca="1" si="0"/>
        <v>0</v>
      </c>
      <c r="N13" s="344">
        <f t="shared" ca="1" si="5"/>
        <v>0</v>
      </c>
      <c r="O13" s="349">
        <f t="shared" ca="1" si="1"/>
        <v>0</v>
      </c>
      <c r="P13" s="339">
        <f t="shared" ca="1" si="2"/>
        <v>0</v>
      </c>
      <c r="Q13" s="344" cm="1">
        <f t="array" aca="1" ref="Q13" ca="1">IFERROR(VLOOKUP(B13,_xlfn._xlws.FILTER(Primary_Order[[Product ID]:[Cost]],ISNUMBER(SEARCH(IF($Q$1="Sales Reciept",IF(ISNUMBER(SEARCH("p",$R$1,1)),"Fs-"&amp;LEFT($R$1,LEN($R$1)-1),"F-"&amp;$R$1),VALUE($R$1)),INDIRECT($Y$1))),"nothing"),28,0),0)</f>
        <v>0</v>
      </c>
      <c r="R13" s="350">
        <f t="shared" ca="1" si="6"/>
        <v>0</v>
      </c>
    </row>
    <row r="14" spans="1:25" x14ac:dyDescent="0.5">
      <c r="A14" s="346" t="str">
        <f t="shared" si="8"/>
        <v/>
      </c>
      <c r="B14" s="347"/>
      <c r="C14" s="339">
        <f>IFERROR(VLOOKUP($B14,SKU[],3,0),0)</f>
        <v>0</v>
      </c>
      <c r="D14" s="348">
        <f>IFERROR(VLOOKUP($B14,SKU[],4,0),0)</f>
        <v>0</v>
      </c>
      <c r="E14" s="339" cm="1">
        <f t="array" aca="1" ref="E14" ca="1">IFERROR(VLOOKUP($B14,_xlfn._xlws.FILTER(Primary_Order[[Product ID]:[Price/Piece]],ISNUMBER(SEARCH(IF($Q$1="Sales Reciept",IF(ISNUMBER(SEARCH("p",$R$1,1)),"Fs-"&amp;LEFT($R$1,LEN($R$1)-1),"F-"&amp;$R$1),VALUE($R$1)),INDIRECT($Y$1))),"nothing"),4,0),0)</f>
        <v>0</v>
      </c>
      <c r="F14" s="340">
        <f t="shared" ca="1" si="3"/>
        <v>0</v>
      </c>
      <c r="G14" s="339" cm="1">
        <f t="array" aca="1" ref="G14" ca="1">IFERROR(VLOOKUP(B14,_xlfn._xlws.FILTER(Primary_Order[[Product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4" s="339" cm="1">
        <f t="array" aca="1" ref="H14" ca="1">IFERROR(VLOOKUP(B14,_xlfn._xlws.FILTER(Primary_Order[[Product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4" s="339" cm="1">
        <f t="array" aca="1" ref="I14" ca="1">IFERROR(VLOOKUP(B14,_xlfn._xlws.FILTER(Primary_Order[[Product ID]:[Price/Piece]],ISNUMBER(SEARCH(IF($Q$1="Sales Reciept",IF(ISNUMBER(SEARCH("p",$R$1,1)),"Fs-"&amp;LEFT($R$1,LEN($R$1)-1),"F-"&amp;$R$1),VALUE($R$1)),INDIRECT($Y$1))),"nothing"),3,0),0)</f>
        <v>0</v>
      </c>
      <c r="J14" s="339">
        <f t="shared" ca="1" si="9"/>
        <v>0</v>
      </c>
      <c r="K14" s="344">
        <f ca="1">_xlfn.IFNA(VLOOKUP(B14,SKU[],6,0)*S.Order!J14,0)</f>
        <v>0</v>
      </c>
      <c r="L14" s="349">
        <f ca="1">_xlfn.IFNA(J14/VLOOKUP(B14,SKU[],5,0),0)</f>
        <v>0</v>
      </c>
      <c r="M14" s="349">
        <f t="shared" ca="1" si="0"/>
        <v>0</v>
      </c>
      <c r="N14" s="344">
        <f t="shared" ca="1" si="5"/>
        <v>0</v>
      </c>
      <c r="O14" s="349">
        <f t="shared" ca="1" si="1"/>
        <v>0</v>
      </c>
      <c r="P14" s="339">
        <f t="shared" ca="1" si="2"/>
        <v>0</v>
      </c>
      <c r="Q14" s="344" cm="1">
        <f t="array" aca="1" ref="Q14" ca="1">IFERROR(VLOOKUP(B14,_xlfn._xlws.FILTER(Primary_Order[[Product ID]:[Cost]],ISNUMBER(SEARCH(IF($Q$1="Sales Reciept",IF(ISNUMBER(SEARCH("p",$R$1,1)),"Fs-"&amp;LEFT($R$1,LEN($R$1)-1),"F-"&amp;$R$1),VALUE($R$1)),INDIRECT($Y$1))),"nothing"),28,0),0)</f>
        <v>0</v>
      </c>
      <c r="R14" s="350">
        <f t="shared" ca="1" si="6"/>
        <v>0</v>
      </c>
    </row>
    <row r="15" spans="1:25" x14ac:dyDescent="0.5">
      <c r="A15" s="346" t="str">
        <f t="shared" si="8"/>
        <v/>
      </c>
      <c r="B15" s="347"/>
      <c r="C15" s="339">
        <f>IFERROR(VLOOKUP($B15,SKU[],3,0),0)</f>
        <v>0</v>
      </c>
      <c r="D15" s="348">
        <f>IFERROR(VLOOKUP($B15,SKU[],4,0),0)</f>
        <v>0</v>
      </c>
      <c r="E15" s="339" cm="1">
        <f t="array" aca="1" ref="E15" ca="1">IFERROR(VLOOKUP($B15,_xlfn._xlws.FILTER(Primary_Order[[Product ID]:[Price/Piece]],ISNUMBER(SEARCH(IF($Q$1="Sales Reciept",IF(ISNUMBER(SEARCH("p",$R$1,1)),"Fs-"&amp;LEFT($R$1,LEN($R$1)-1),"F-"&amp;$R$1),VALUE($R$1)),INDIRECT($Y$1))),"nothing"),4,0),0)</f>
        <v>0</v>
      </c>
      <c r="F15" s="340">
        <f t="shared" ca="1" si="3"/>
        <v>0</v>
      </c>
      <c r="G15" s="339" cm="1">
        <f t="array" aca="1" ref="G15" ca="1">IFERROR(VLOOKUP(B15,_xlfn._xlws.FILTER(Primary_Order[[Product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5" s="339" cm="1">
        <f t="array" aca="1" ref="H15" ca="1">IFERROR(VLOOKUP(B15,_xlfn._xlws.FILTER(Primary_Order[[Product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5" s="339" cm="1">
        <f t="array" aca="1" ref="I15" ca="1">IFERROR(VLOOKUP(B15,_xlfn._xlws.FILTER(Primary_Order[[Product ID]:[Price/Piece]],ISNUMBER(SEARCH(IF($Q$1="Sales Reciept",IF(ISNUMBER(SEARCH("p",$R$1,1)),"Fs-"&amp;LEFT($R$1,LEN($R$1)-1),"F-"&amp;$R$1),VALUE($R$1)),INDIRECT($Y$1))),"nothing"),3,0),0)</f>
        <v>0</v>
      </c>
      <c r="J15" s="339">
        <f t="shared" ca="1" si="9"/>
        <v>0</v>
      </c>
      <c r="K15" s="344">
        <f ca="1">_xlfn.IFNA(VLOOKUP(B15,SKU[],6,0)*S.Order!J15,0)</f>
        <v>0</v>
      </c>
      <c r="L15" s="349">
        <f ca="1">_xlfn.IFNA(J15/VLOOKUP(B15,SKU[],5,0),0)</f>
        <v>0</v>
      </c>
      <c r="M15" s="349">
        <f t="shared" ca="1" si="0"/>
        <v>0</v>
      </c>
      <c r="N15" s="344">
        <f t="shared" ca="1" si="5"/>
        <v>0</v>
      </c>
      <c r="O15" s="349">
        <f t="shared" ca="1" si="1"/>
        <v>0</v>
      </c>
      <c r="P15" s="339">
        <f t="shared" ca="1" si="2"/>
        <v>0</v>
      </c>
      <c r="Q15" s="344" cm="1">
        <f t="array" aca="1" ref="Q15" ca="1">IFERROR(VLOOKUP(B15,_xlfn._xlws.FILTER(Primary_Order[[Product ID]:[Cost]],ISNUMBER(SEARCH(IF($Q$1="Sales Reciept",IF(ISNUMBER(SEARCH("p",$R$1,1)),"Fs-"&amp;LEFT($R$1,LEN($R$1)-1),"F-"&amp;$R$1),VALUE($R$1)),INDIRECT($Y$1))),"nothing"),28,0),0)</f>
        <v>0</v>
      </c>
      <c r="R15" s="350">
        <f t="shared" ca="1" si="6"/>
        <v>0</v>
      </c>
    </row>
    <row r="16" spans="1:25" x14ac:dyDescent="0.5">
      <c r="A16" s="346" t="str">
        <f t="shared" si="8"/>
        <v/>
      </c>
      <c r="B16" s="347"/>
      <c r="C16" s="339">
        <f>IFERROR(VLOOKUP($B16,SKU[],3,0),0)</f>
        <v>0</v>
      </c>
      <c r="D16" s="348">
        <f>IFERROR(VLOOKUP($B16,SKU[],4,0),0)</f>
        <v>0</v>
      </c>
      <c r="E16" s="339" cm="1">
        <f t="array" aca="1" ref="E16" ca="1">IFERROR(VLOOKUP($B16,_xlfn._xlws.FILTER(Primary_Order[[Product ID]:[Price/Piece]],ISNUMBER(SEARCH(IF($Q$1="Sales Reciept",IF(ISNUMBER(SEARCH("p",$R$1,1)),"Fs-"&amp;LEFT($R$1,LEN($R$1)-1),"F-"&amp;$R$1),VALUE($R$1)),INDIRECT($Y$1))),"nothing"),4,0),0)</f>
        <v>0</v>
      </c>
      <c r="F16" s="340">
        <f t="shared" ca="1" si="3"/>
        <v>0</v>
      </c>
      <c r="G16" s="339" cm="1">
        <f t="array" aca="1" ref="G16" ca="1">IFERROR(VLOOKUP(B16,_xlfn._xlws.FILTER(Primary_Order[[Product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6" s="339" cm="1">
        <f t="array" aca="1" ref="H16" ca="1">IFERROR(VLOOKUP(B16,_xlfn._xlws.FILTER(Primary_Order[[Product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6" s="339" cm="1">
        <f t="array" aca="1" ref="I16" ca="1">IFERROR(VLOOKUP(B16,_xlfn._xlws.FILTER(Primary_Order[[Product ID]:[Price/Piece]],ISNUMBER(SEARCH(IF($Q$1="Sales Reciept",IF(ISNUMBER(SEARCH("p",$R$1,1)),"Fs-"&amp;LEFT($R$1,LEN($R$1)-1),"F-"&amp;$R$1),VALUE($R$1)),INDIRECT($Y$1))),"nothing"),3,0),0)</f>
        <v>0</v>
      </c>
      <c r="J16" s="339">
        <f t="shared" ca="1" si="9"/>
        <v>0</v>
      </c>
      <c r="K16" s="344">
        <f ca="1">_xlfn.IFNA(VLOOKUP(B16,SKU[],6,0)*S.Order!J16,0)</f>
        <v>0</v>
      </c>
      <c r="L16" s="349">
        <f ca="1">_xlfn.IFNA(J16/VLOOKUP(B16,SKU[],5,0),0)</f>
        <v>0</v>
      </c>
      <c r="M16" s="349">
        <f t="shared" ca="1" si="0"/>
        <v>0</v>
      </c>
      <c r="N16" s="344">
        <f t="shared" ca="1" si="5"/>
        <v>0</v>
      </c>
      <c r="O16" s="349">
        <f t="shared" ca="1" si="1"/>
        <v>0</v>
      </c>
      <c r="P16" s="339">
        <f t="shared" ca="1" si="2"/>
        <v>0</v>
      </c>
      <c r="Q16" s="344" cm="1">
        <f t="array" aca="1" ref="Q16" ca="1">IFERROR(VLOOKUP(B16,_xlfn._xlws.FILTER(Primary_Order[[Product ID]:[Cost]],ISNUMBER(SEARCH(IF($Q$1="Sales Reciept",IF(ISNUMBER(SEARCH("p",$R$1,1)),"Fs-"&amp;LEFT($R$1,LEN($R$1)-1),"F-"&amp;$R$1),VALUE($R$1)),INDIRECT($Y$1))),"nothing"),28,0),0)</f>
        <v>0</v>
      </c>
      <c r="R16" s="350">
        <f t="shared" ca="1" si="6"/>
        <v>0</v>
      </c>
    </row>
    <row r="17" spans="1:26" x14ac:dyDescent="0.5">
      <c r="A17" s="346" t="str">
        <f t="shared" si="8"/>
        <v/>
      </c>
      <c r="B17" s="347"/>
      <c r="C17" s="339">
        <f>IFERROR(VLOOKUP($B17,SKU[],3,0),0)</f>
        <v>0</v>
      </c>
      <c r="D17" s="348">
        <f>IFERROR(VLOOKUP($B17,SKU[],4,0),0)</f>
        <v>0</v>
      </c>
      <c r="E17" s="339" cm="1">
        <f t="array" aca="1" ref="E17" ca="1">IFERROR(VLOOKUP($B17,_xlfn._xlws.FILTER(Primary_Order[[Product ID]:[Price/Piece]],ISNUMBER(SEARCH(IF($Q$1="Sales Reciept",IF(ISNUMBER(SEARCH("p",$R$1,1)),"Fs-"&amp;LEFT($R$1,LEN($R$1)-1),"F-"&amp;$R$1),VALUE($R$1)),INDIRECT($Y$1))),"nothing"),4,0),0)</f>
        <v>0</v>
      </c>
      <c r="F17" s="340">
        <f t="shared" ca="1" si="3"/>
        <v>0</v>
      </c>
      <c r="G17" s="339" cm="1">
        <f t="array" aca="1" ref="G17" ca="1">IFERROR(VLOOKUP(B17,_xlfn._xlws.FILTER(Primary_Order[[Product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7" s="339" cm="1">
        <f t="array" aca="1" ref="H17" ca="1">IFERROR(VLOOKUP(B17,_xlfn._xlws.FILTER(Primary_Order[[Product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7" s="339" cm="1">
        <f t="array" aca="1" ref="I17" ca="1">IFERROR(VLOOKUP(B17,_xlfn._xlws.FILTER(Primary_Order[[Product ID]:[Price/Piece]],ISNUMBER(SEARCH(IF($Q$1="Sales Reciept",IF(ISNUMBER(SEARCH("p",$R$1,1)),"Fs-"&amp;LEFT($R$1,LEN($R$1)-1),"F-"&amp;$R$1),VALUE($R$1)),INDIRECT($Y$1))),"nothing"),3,0),0)</f>
        <v>0</v>
      </c>
      <c r="J17" s="339">
        <f t="shared" ca="1" si="9"/>
        <v>0</v>
      </c>
      <c r="K17" s="344">
        <f ca="1">_xlfn.IFNA(VLOOKUP(B17,SKU[],6,0)*S.Order!J17,0)</f>
        <v>0</v>
      </c>
      <c r="L17" s="349">
        <f ca="1">_xlfn.IFNA(J17/VLOOKUP(B17,SKU[],5,0),0)</f>
        <v>0</v>
      </c>
      <c r="M17" s="349">
        <f t="shared" ca="1" si="0"/>
        <v>0</v>
      </c>
      <c r="N17" s="344">
        <f t="shared" ca="1" si="5"/>
        <v>0</v>
      </c>
      <c r="O17" s="349">
        <f t="shared" ca="1" si="1"/>
        <v>0</v>
      </c>
      <c r="P17" s="339">
        <f t="shared" ca="1" si="2"/>
        <v>0</v>
      </c>
      <c r="Q17" s="344" cm="1">
        <f t="array" aca="1" ref="Q17" ca="1">IFERROR(VLOOKUP(B17,_xlfn._xlws.FILTER(Primary_Order[[Product ID]:[Cost]],ISNUMBER(SEARCH(IF($Q$1="Sales Reciept",IF(ISNUMBER(SEARCH("p",$R$1,1)),"Fs-"&amp;LEFT($R$1,LEN($R$1)-1),"F-"&amp;$R$1),VALUE($R$1)),INDIRECT($Y$1))),"nothing"),28,0),0)</f>
        <v>0</v>
      </c>
      <c r="R17" s="350">
        <f t="shared" ca="1" si="6"/>
        <v>0</v>
      </c>
    </row>
    <row r="18" spans="1:26" x14ac:dyDescent="0.5">
      <c r="A18" s="346" t="str">
        <f t="shared" si="8"/>
        <v/>
      </c>
      <c r="B18" s="347"/>
      <c r="C18" s="339">
        <f>IFERROR(VLOOKUP($B18,SKU[],3,0),0)</f>
        <v>0</v>
      </c>
      <c r="D18" s="348">
        <f>IFERROR(VLOOKUP($B18,SKU[],4,0),0)</f>
        <v>0</v>
      </c>
      <c r="E18" s="339" cm="1">
        <f t="array" aca="1" ref="E18" ca="1">IFERROR(VLOOKUP($B18,_xlfn._xlws.FILTER(Primary_Order[[Product ID]:[Price/Piece]],ISNUMBER(SEARCH(IF($Q$1="Sales Reciept",IF(ISNUMBER(SEARCH("p",$R$1,1)),"Fs-"&amp;LEFT($R$1,LEN($R$1)-1),"F-"&amp;$R$1),VALUE($R$1)),INDIRECT($Y$1))),"nothing"),4,0),0)</f>
        <v>0</v>
      </c>
      <c r="F18" s="340">
        <f t="shared" ca="1" si="3"/>
        <v>0</v>
      </c>
      <c r="G18" s="339" cm="1">
        <f t="array" aca="1" ref="G18" ca="1">IFERROR(VLOOKUP(B18,_xlfn._xlws.FILTER(Primary_Order[[Product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8" s="339" cm="1">
        <f t="array" aca="1" ref="H18" ca="1">IFERROR(VLOOKUP(B18,_xlfn._xlws.FILTER(Primary_Order[[Product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8" s="339" cm="1">
        <f t="array" aca="1" ref="I18" ca="1">IFERROR(VLOOKUP(B18,_xlfn._xlws.FILTER(Primary_Order[[Product ID]:[Price/Piece]],ISNUMBER(SEARCH(IF($Q$1="Sales Reciept",IF(ISNUMBER(SEARCH("p",$R$1,1)),"Fs-"&amp;LEFT($R$1,LEN($R$1)-1),"F-"&amp;$R$1),VALUE($R$1)),INDIRECT($Y$1))),"nothing"),3,0),0)</f>
        <v>0</v>
      </c>
      <c r="J18" s="339">
        <f t="shared" ca="1" si="9"/>
        <v>0</v>
      </c>
      <c r="K18" s="344">
        <f ca="1">_xlfn.IFNA(VLOOKUP(B18,SKU[],6,0)*S.Order!J18,0)</f>
        <v>0</v>
      </c>
      <c r="L18" s="349">
        <f ca="1">_xlfn.IFNA(J18/VLOOKUP(B18,SKU[],5,0),0)</f>
        <v>0</v>
      </c>
      <c r="M18" s="349">
        <f t="shared" ca="1" si="0"/>
        <v>0</v>
      </c>
      <c r="N18" s="344">
        <f t="shared" ca="1" si="5"/>
        <v>0</v>
      </c>
      <c r="O18" s="349">
        <f t="shared" ca="1" si="1"/>
        <v>0</v>
      </c>
      <c r="P18" s="339">
        <f t="shared" ca="1" si="2"/>
        <v>0</v>
      </c>
      <c r="Q18" s="344" cm="1">
        <f t="array" aca="1" ref="Q18" ca="1">IFERROR(VLOOKUP(B18,_xlfn._xlws.FILTER(Primary_Order[[Product ID]:[Cost]],ISNUMBER(SEARCH(IF($Q$1="Sales Reciept",IF(ISNUMBER(SEARCH("p",$R$1,1)),"Fs-"&amp;LEFT($R$1,LEN($R$1)-1),"F-"&amp;$R$1),VALUE($R$1)),INDIRECT($Y$1))),"nothing"),28,0),0)</f>
        <v>0</v>
      </c>
      <c r="R18" s="350">
        <f t="shared" ca="1" si="6"/>
        <v>0</v>
      </c>
    </row>
    <row r="19" spans="1:26" x14ac:dyDescent="0.5">
      <c r="A19" s="346" t="str">
        <f t="shared" si="8"/>
        <v/>
      </c>
      <c r="B19" s="347"/>
      <c r="C19" s="339">
        <f>IFERROR(VLOOKUP($B19,SKU[],3,0),0)</f>
        <v>0</v>
      </c>
      <c r="D19" s="348">
        <f>IFERROR(VLOOKUP($B19,SKU[],4,0),0)</f>
        <v>0</v>
      </c>
      <c r="E19" s="339" cm="1">
        <f t="array" aca="1" ref="E19" ca="1">IFERROR(VLOOKUP($B19,_xlfn._xlws.FILTER(Primary_Order[[Product ID]:[Price/Piece]],ISNUMBER(SEARCH(IF($Q$1="Sales Reciept",IF(ISNUMBER(SEARCH("p",$R$1,1)),"Fs-"&amp;LEFT($R$1,LEN($R$1)-1),"F-"&amp;$R$1),VALUE($R$1)),INDIRECT($Y$1))),"nothing"),4,0),0)</f>
        <v>0</v>
      </c>
      <c r="F19" s="340">
        <f t="shared" ca="1" si="3"/>
        <v>0</v>
      </c>
      <c r="G19" s="339" cm="1">
        <f t="array" aca="1" ref="G19" ca="1">IFERROR(VLOOKUP(B19,_xlfn._xlws.FILTER(Primary_Order[[Product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19" s="339" cm="1">
        <f t="array" aca="1" ref="H19" ca="1">IFERROR(VLOOKUP(B19,_xlfn._xlws.FILTER(Primary_Order[[Product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19" s="339" cm="1">
        <f t="array" aca="1" ref="I19" ca="1">IFERROR(VLOOKUP(B19,_xlfn._xlws.FILTER(Primary_Order[[Product ID]:[Price/Piece]],ISNUMBER(SEARCH(IF($Q$1="Sales Reciept",IF(ISNUMBER(SEARCH("p",$R$1,1)),"Fs-"&amp;LEFT($R$1,LEN($R$1)-1),"F-"&amp;$R$1),VALUE($R$1)),INDIRECT($Y$1))),"nothing"),3,0),0)</f>
        <v>0</v>
      </c>
      <c r="J19" s="339">
        <f t="shared" ca="1" si="9"/>
        <v>0</v>
      </c>
      <c r="K19" s="344">
        <f ca="1">_xlfn.IFNA(VLOOKUP(B19,SKU[],6,0)*S.Order!J19,0)</f>
        <v>0</v>
      </c>
      <c r="L19" s="349">
        <f ca="1">_xlfn.IFNA(J19/VLOOKUP(B19,SKU[],5,0),0)</f>
        <v>0</v>
      </c>
      <c r="M19" s="349">
        <f t="shared" ca="1" si="0"/>
        <v>0</v>
      </c>
      <c r="N19" s="344">
        <f t="shared" ca="1" si="5"/>
        <v>0</v>
      </c>
      <c r="O19" s="349">
        <f t="shared" ca="1" si="1"/>
        <v>0</v>
      </c>
      <c r="P19" s="339">
        <f t="shared" ca="1" si="2"/>
        <v>0</v>
      </c>
      <c r="Q19" s="344" cm="1">
        <f t="array" aca="1" ref="Q19" ca="1">IFERROR(VLOOKUP(B19,_xlfn._xlws.FILTER(Primary_Order[[Product ID]:[Cost]],ISNUMBER(SEARCH(IF($Q$1="Sales Reciept",IF(ISNUMBER(SEARCH("p",$R$1,1)),"Fs-"&amp;LEFT($R$1,LEN($R$1)-1),"F-"&amp;$R$1),VALUE($R$1)),INDIRECT($Y$1))),"nothing"),28,0),0)</f>
        <v>0</v>
      </c>
      <c r="R19" s="350">
        <f t="shared" ca="1" si="6"/>
        <v>0</v>
      </c>
    </row>
    <row r="20" spans="1:26" x14ac:dyDescent="0.5">
      <c r="A20" s="346" t="str">
        <f t="shared" si="8"/>
        <v/>
      </c>
      <c r="B20" s="347"/>
      <c r="C20" s="339">
        <f>IFERROR(VLOOKUP($B20,SKU[],3,0),0)</f>
        <v>0</v>
      </c>
      <c r="D20" s="348">
        <f>IFERROR(VLOOKUP($B20,SKU[],4,0),0)</f>
        <v>0</v>
      </c>
      <c r="E20" s="339" cm="1">
        <f t="array" aca="1" ref="E20" ca="1">IFERROR(VLOOKUP($B20,_xlfn._xlws.FILTER(Primary_Order[[Product ID]:[Price/Piece]],ISNUMBER(SEARCH(IF($Q$1="Sales Reciept",IF(ISNUMBER(SEARCH("p",$R$1,1)),"Fs-"&amp;LEFT($R$1,LEN($R$1)-1),"F-"&amp;$R$1),VALUE($R$1)),INDIRECT($Y$1))),"nothing"),4,0),0)</f>
        <v>0</v>
      </c>
      <c r="F20" s="340">
        <f t="shared" ca="1" si="3"/>
        <v>0</v>
      </c>
      <c r="G20" s="339" cm="1">
        <f t="array" aca="1" ref="G20" ca="1">IFERROR(VLOOKUP(B20,_xlfn._xlws.FILTER(Primary_Order[[Product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0" s="339" cm="1">
        <f t="array" aca="1" ref="H20" ca="1">IFERROR(VLOOKUP(B20,_xlfn._xlws.FILTER(Primary_Order[[Product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0" s="339" cm="1">
        <f t="array" aca="1" ref="I20" ca="1">IFERROR(VLOOKUP(B20,_xlfn._xlws.FILTER(Primary_Order[[Product ID]:[Price/Piece]],ISNUMBER(SEARCH(IF($Q$1="Sales Reciept",IF(ISNUMBER(SEARCH("p",$R$1,1)),"Fs-"&amp;LEFT($R$1,LEN($R$1)-1),"F-"&amp;$R$1),VALUE($R$1)),INDIRECT($Y$1))),"nothing"),3,0),0)</f>
        <v>0</v>
      </c>
      <c r="J20" s="339">
        <f t="shared" ca="1" si="9"/>
        <v>0</v>
      </c>
      <c r="K20" s="344">
        <f ca="1">_xlfn.IFNA(VLOOKUP(B20,SKU[],6,0)*S.Order!J20,0)</f>
        <v>0</v>
      </c>
      <c r="L20" s="349">
        <f ca="1">_xlfn.IFNA(J20/VLOOKUP(B20,SKU[],5,0),0)</f>
        <v>0</v>
      </c>
      <c r="M20" s="349">
        <f t="shared" ca="1" si="0"/>
        <v>0</v>
      </c>
      <c r="N20" s="344">
        <f t="shared" ca="1" si="5"/>
        <v>0</v>
      </c>
      <c r="O20" s="349">
        <f t="shared" ca="1" si="1"/>
        <v>0</v>
      </c>
      <c r="P20" s="339">
        <f t="shared" ca="1" si="2"/>
        <v>0</v>
      </c>
      <c r="Q20" s="344" cm="1">
        <f t="array" aca="1" ref="Q20" ca="1">IFERROR(VLOOKUP(B20,_xlfn._xlws.FILTER(Primary_Order[[Product ID]:[Cost]],ISNUMBER(SEARCH(IF($Q$1="Sales Reciept",IF(ISNUMBER(SEARCH("p",$R$1,1)),"Fs-"&amp;LEFT($R$1,LEN($R$1)-1),"F-"&amp;$R$1),VALUE($R$1)),INDIRECT($Y$1))),"nothing"),28,0),0)</f>
        <v>0</v>
      </c>
      <c r="R20" s="350">
        <f t="shared" ca="1" si="6"/>
        <v>0</v>
      </c>
    </row>
    <row r="21" spans="1:26" x14ac:dyDescent="0.5">
      <c r="A21" s="346" t="str">
        <f t="shared" si="8"/>
        <v/>
      </c>
      <c r="B21" s="347"/>
      <c r="C21" s="339">
        <f>IFERROR(VLOOKUP($B21,SKU[],3,0),0)</f>
        <v>0</v>
      </c>
      <c r="D21" s="348">
        <f>IFERROR(VLOOKUP($B21,SKU[],4,0),0)</f>
        <v>0</v>
      </c>
      <c r="E21" s="339" cm="1">
        <f t="array" aca="1" ref="E21" ca="1">IFERROR(VLOOKUP($B21,_xlfn._xlws.FILTER(Primary_Order[[Product ID]:[Price/Piece]],ISNUMBER(SEARCH(IF($Q$1="Sales Reciept",IF(ISNUMBER(SEARCH("p",$R$1,1)),"Fs-"&amp;LEFT($R$1,LEN($R$1)-1),"F-"&amp;$R$1),VALUE($R$1)),INDIRECT($Y$1))),"nothing"),4,0),0)</f>
        <v>0</v>
      </c>
      <c r="F21" s="340">
        <f t="shared" ca="1" si="3"/>
        <v>0</v>
      </c>
      <c r="G21" s="339" cm="1">
        <f t="array" aca="1" ref="G21" ca="1">IFERROR(VLOOKUP(B21,_xlfn._xlws.FILTER(Primary_Order[[Product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1" s="339" cm="1">
        <f t="array" aca="1" ref="H21" ca="1">IFERROR(VLOOKUP(B21,_xlfn._xlws.FILTER(Primary_Order[[Product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1" s="339" cm="1">
        <f t="array" aca="1" ref="I21" ca="1">IFERROR(VLOOKUP(B21,_xlfn._xlws.FILTER(Primary_Order[[Product ID]:[Price/Piece]],ISNUMBER(SEARCH(IF($Q$1="Sales Reciept",IF(ISNUMBER(SEARCH("p",$R$1,1)),"Fs-"&amp;LEFT($R$1,LEN($R$1)-1),"F-"&amp;$R$1),VALUE($R$1)),INDIRECT($Y$1))),"nothing"),3,0),0)</f>
        <v>0</v>
      </c>
      <c r="J21" s="339">
        <f t="shared" ca="1" si="9"/>
        <v>0</v>
      </c>
      <c r="K21" s="344">
        <f ca="1">_xlfn.IFNA(VLOOKUP(B21,SKU[],6,0)*S.Order!J21,0)</f>
        <v>0</v>
      </c>
      <c r="L21" s="349">
        <f ca="1">_xlfn.IFNA(J21/VLOOKUP(B21,SKU[],5,0),0)</f>
        <v>0</v>
      </c>
      <c r="M21" s="349">
        <f t="shared" ca="1" si="0"/>
        <v>0</v>
      </c>
      <c r="N21" s="344">
        <f t="shared" ca="1" si="5"/>
        <v>0</v>
      </c>
      <c r="O21" s="349">
        <f t="shared" ca="1" si="1"/>
        <v>0</v>
      </c>
      <c r="P21" s="339">
        <f t="shared" ca="1" si="2"/>
        <v>0</v>
      </c>
      <c r="Q21" s="344" cm="1">
        <f t="array" aca="1" ref="Q21" ca="1">IFERROR(VLOOKUP(B21,_xlfn._xlws.FILTER(Primary_Order[[Product ID]:[Cost]],ISNUMBER(SEARCH(IF($Q$1="Sales Reciept",IF(ISNUMBER(SEARCH("p",$R$1,1)),"Fs-"&amp;LEFT($R$1,LEN($R$1)-1),"F-"&amp;$R$1),VALUE($R$1)),INDIRECT($Y$1))),"nothing"),28,0),0)</f>
        <v>0</v>
      </c>
      <c r="R21" s="350">
        <f t="shared" ca="1" si="6"/>
        <v>0</v>
      </c>
      <c r="Z21" s="262"/>
    </row>
    <row r="22" spans="1:26" x14ac:dyDescent="0.5">
      <c r="A22" s="346" t="str">
        <f t="shared" si="8"/>
        <v/>
      </c>
      <c r="B22" s="347"/>
      <c r="C22" s="339">
        <f>IFERROR(VLOOKUP($B22,SKU[],3,0),0)</f>
        <v>0</v>
      </c>
      <c r="D22" s="348">
        <f>IFERROR(VLOOKUP($B22,SKU[],4,0),0)</f>
        <v>0</v>
      </c>
      <c r="E22" s="339" cm="1">
        <f t="array" aca="1" ref="E22" ca="1">IFERROR(VLOOKUP($B22,_xlfn._xlws.FILTER(Primary_Order[[Product ID]:[Price/Piece]],ISNUMBER(SEARCH(IF($Q$1="Sales Reciept",IF(ISNUMBER(SEARCH("p",$R$1,1)),"Fs-"&amp;LEFT($R$1,LEN($R$1)-1),"F-"&amp;$R$1),VALUE($R$1)),INDIRECT($Y$1))),"nothing"),4,0),0)</f>
        <v>0</v>
      </c>
      <c r="F22" s="340">
        <f t="shared" ca="1" si="3"/>
        <v>0</v>
      </c>
      <c r="G22" s="339" cm="1">
        <f t="array" aca="1" ref="G22" ca="1">IFERROR(VLOOKUP(B22,_xlfn._xlws.FILTER(Primary_Order[[Product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2" s="339" cm="1">
        <f t="array" aca="1" ref="H22" ca="1">IFERROR(VLOOKUP(B22,_xlfn._xlws.FILTER(Primary_Order[[Product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2" s="339" cm="1">
        <f t="array" aca="1" ref="I22" ca="1">IFERROR(VLOOKUP(B22,_xlfn._xlws.FILTER(Primary_Order[[Product ID]:[Price/Piece]],ISNUMBER(SEARCH(IF($Q$1="Sales Reciept",IF(ISNUMBER(SEARCH("p",$R$1,1)),"Fs-"&amp;LEFT($R$1,LEN($R$1)-1),"F-"&amp;$R$1),VALUE($R$1)),INDIRECT($Y$1))),"nothing"),3,0),0)</f>
        <v>0</v>
      </c>
      <c r="J22" s="339">
        <f t="shared" ca="1" si="9"/>
        <v>0</v>
      </c>
      <c r="K22" s="344">
        <f ca="1">_xlfn.IFNA(VLOOKUP(B22,SKU[],6,0)*S.Order!J22,0)</f>
        <v>0</v>
      </c>
      <c r="L22" s="349">
        <f ca="1">_xlfn.IFNA(J22/VLOOKUP(B22,SKU[],5,0),0)</f>
        <v>0</v>
      </c>
      <c r="M22" s="349">
        <f t="shared" ca="1" si="0"/>
        <v>0</v>
      </c>
      <c r="N22" s="344">
        <f t="shared" ca="1" si="5"/>
        <v>0</v>
      </c>
      <c r="O22" s="349">
        <f t="shared" ca="1" si="1"/>
        <v>0</v>
      </c>
      <c r="P22" s="339">
        <f t="shared" ca="1" si="2"/>
        <v>0</v>
      </c>
      <c r="Q22" s="344" cm="1">
        <f t="array" aca="1" ref="Q22" ca="1">IFERROR(VLOOKUP(B22,_xlfn._xlws.FILTER(Primary_Order[[Product ID]:[Cost]],ISNUMBER(SEARCH(IF($Q$1="Sales Reciept",IF(ISNUMBER(SEARCH("p",$R$1,1)),"Fs-"&amp;LEFT($R$1,LEN($R$1)-1),"F-"&amp;$R$1),VALUE($R$1)),INDIRECT($Y$1))),"nothing"),28,0),0)</f>
        <v>0</v>
      </c>
      <c r="R22" s="350">
        <f t="shared" ca="1" si="6"/>
        <v>0</v>
      </c>
    </row>
    <row r="23" spans="1:26" x14ac:dyDescent="0.5">
      <c r="A23" s="346" t="str">
        <f t="shared" si="8"/>
        <v/>
      </c>
      <c r="B23" s="347"/>
      <c r="C23" s="339">
        <f>IFERROR(VLOOKUP($B23,SKU[],3,0),0)</f>
        <v>0</v>
      </c>
      <c r="D23" s="348">
        <f>IFERROR(VLOOKUP($B23,SKU[],4,0),0)</f>
        <v>0</v>
      </c>
      <c r="E23" s="339" cm="1">
        <f t="array" aca="1" ref="E23" ca="1">IFERROR(VLOOKUP($B23,_xlfn._xlws.FILTER(Primary_Order[[Product ID]:[Price/Piece]],ISNUMBER(SEARCH(IF($Q$1="Sales Reciept",IF(ISNUMBER(SEARCH("p",$R$1,1)),"Fs-"&amp;LEFT($R$1,LEN($R$1)-1),"F-"&amp;$R$1),VALUE($R$1)),INDIRECT($Y$1))),"nothing"),4,0),0)</f>
        <v>0</v>
      </c>
      <c r="F23" s="340">
        <f t="shared" ca="1" si="3"/>
        <v>0</v>
      </c>
      <c r="G23" s="339" cm="1">
        <f t="array" aca="1" ref="G23" ca="1">IFERROR(VLOOKUP(B23,_xlfn._xlws.FILTER(Primary_Order[[Product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3" s="339" cm="1">
        <f t="array" aca="1" ref="H23" ca="1">IFERROR(VLOOKUP(B23,_xlfn._xlws.FILTER(Primary_Order[[Product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3" s="339" cm="1">
        <f t="array" aca="1" ref="I23" ca="1">IFERROR(VLOOKUP(B23,_xlfn._xlws.FILTER(Primary_Order[[Product ID]:[Price/Piece]],ISNUMBER(SEARCH(IF($Q$1="Sales Reciept",IF(ISNUMBER(SEARCH("p",$R$1,1)),"Fs-"&amp;LEFT($R$1,LEN($R$1)-1),"F-"&amp;$R$1),VALUE($R$1)),INDIRECT($Y$1))),"nothing"),3,0),0)</f>
        <v>0</v>
      </c>
      <c r="J23" s="339">
        <f t="shared" ca="1" si="9"/>
        <v>0</v>
      </c>
      <c r="K23" s="344">
        <f ca="1">_xlfn.IFNA(VLOOKUP(B23,SKU[],6,0)*S.Order!J23,0)</f>
        <v>0</v>
      </c>
      <c r="L23" s="349">
        <f ca="1">_xlfn.IFNA(J23/VLOOKUP(B23,SKU[],5,0),0)</f>
        <v>0</v>
      </c>
      <c r="M23" s="349">
        <f t="shared" ca="1" si="0"/>
        <v>0</v>
      </c>
      <c r="N23" s="344">
        <f t="shared" ca="1" si="5"/>
        <v>0</v>
      </c>
      <c r="O23" s="349">
        <f t="shared" ca="1" si="1"/>
        <v>0</v>
      </c>
      <c r="P23" s="339">
        <f t="shared" ca="1" si="2"/>
        <v>0</v>
      </c>
      <c r="Q23" s="344" cm="1">
        <f t="array" aca="1" ref="Q23" ca="1">IFERROR(VLOOKUP(B23,_xlfn._xlws.FILTER(Primary_Order[[Product ID]:[Cost]],ISNUMBER(SEARCH(IF($Q$1="Sales Reciept",IF(ISNUMBER(SEARCH("p",$R$1,1)),"Fs-"&amp;LEFT($R$1,LEN($R$1)-1),"F-"&amp;$R$1),VALUE($R$1)),INDIRECT($Y$1))),"nothing"),28,0),0)</f>
        <v>0</v>
      </c>
      <c r="R23" s="350">
        <f t="shared" ca="1" si="6"/>
        <v>0</v>
      </c>
    </row>
    <row r="24" spans="1:26" x14ac:dyDescent="0.5">
      <c r="A24" s="346" t="str">
        <f t="shared" si="8"/>
        <v/>
      </c>
      <c r="B24" s="347"/>
      <c r="C24" s="339">
        <f>IFERROR(VLOOKUP($B24,SKU[],3,0),0)</f>
        <v>0</v>
      </c>
      <c r="D24" s="348">
        <f>IFERROR(VLOOKUP($B24,SKU[],4,0),0)</f>
        <v>0</v>
      </c>
      <c r="E24" s="339" cm="1">
        <f t="array" aca="1" ref="E24" ca="1">IFERROR(VLOOKUP($B24,_xlfn._xlws.FILTER(Primary_Order[[Product ID]:[Price/Piece]],ISNUMBER(SEARCH(IF($Q$1="Sales Reciept",IF(ISNUMBER(SEARCH("p",$R$1,1)),"Fs-"&amp;LEFT($R$1,LEN($R$1)-1),"F-"&amp;$R$1),VALUE($R$1)),INDIRECT($Y$1))),"nothing"),4,0),0)</f>
        <v>0</v>
      </c>
      <c r="F24" s="340">
        <f t="shared" ca="1" si="3"/>
        <v>0</v>
      </c>
      <c r="G24" s="339" cm="1">
        <f t="array" aca="1" ref="G24" ca="1">IFERROR(VLOOKUP(B24,_xlfn._xlws.FILTER(Primary_Order[[Product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4" s="339" cm="1">
        <f t="array" aca="1" ref="H24" ca="1">IFERROR(VLOOKUP(B24,_xlfn._xlws.FILTER(Primary_Order[[Product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4" s="339" cm="1">
        <f t="array" aca="1" ref="I24" ca="1">IFERROR(VLOOKUP(B24,_xlfn._xlws.FILTER(Primary_Order[[Product ID]:[Price/Piece]],ISNUMBER(SEARCH(IF($Q$1="Sales Reciept",IF(ISNUMBER(SEARCH("p",$R$1,1)),"Fs-"&amp;LEFT($R$1,LEN($R$1)-1),"F-"&amp;$R$1),VALUE($R$1)),INDIRECT($Y$1))),"nothing"),3,0),0)</f>
        <v>0</v>
      </c>
      <c r="J24" s="339">
        <f t="shared" ca="1" si="9"/>
        <v>0</v>
      </c>
      <c r="K24" s="344">
        <f ca="1">_xlfn.IFNA(VLOOKUP(B24,SKU[],6,0)*S.Order!J24,0)</f>
        <v>0</v>
      </c>
      <c r="L24" s="349">
        <f ca="1">_xlfn.IFNA(J24/VLOOKUP(B24,SKU[],5,0),0)</f>
        <v>0</v>
      </c>
      <c r="M24" s="349">
        <f t="shared" ca="1" si="0"/>
        <v>0</v>
      </c>
      <c r="N24" s="344">
        <f t="shared" ca="1" si="5"/>
        <v>0</v>
      </c>
      <c r="O24" s="349">
        <f t="shared" ca="1" si="1"/>
        <v>0</v>
      </c>
      <c r="P24" s="339">
        <f t="shared" ca="1" si="2"/>
        <v>0</v>
      </c>
      <c r="Q24" s="344" cm="1">
        <f t="array" aca="1" ref="Q24" ca="1">IFERROR(VLOOKUP(B24,_xlfn._xlws.FILTER(Primary_Order[[Product ID]:[Cost]],ISNUMBER(SEARCH(IF($Q$1="Sales Reciept",IF(ISNUMBER(SEARCH("p",$R$1,1)),"Fs-"&amp;LEFT($R$1,LEN($R$1)-1),"F-"&amp;$R$1),VALUE($R$1)),INDIRECT($Y$1))),"nothing"),28,0),0)</f>
        <v>0</v>
      </c>
      <c r="R24" s="350">
        <f t="shared" ca="1" si="6"/>
        <v>0</v>
      </c>
    </row>
    <row r="25" spans="1:26" x14ac:dyDescent="0.5">
      <c r="A25" s="346" t="str">
        <f t="shared" ref="A25:A30" si="10">IF(B25="","",A24+1)</f>
        <v/>
      </c>
      <c r="B25" s="347"/>
      <c r="C25" s="339">
        <f>IFERROR(VLOOKUP($B25,SKU[],3,0),0)</f>
        <v>0</v>
      </c>
      <c r="D25" s="348">
        <f>IFERROR(VLOOKUP($B25,SKU[],4,0),0)</f>
        <v>0</v>
      </c>
      <c r="E25" s="339" cm="1">
        <f t="array" aca="1" ref="E25" ca="1">IFERROR(VLOOKUP($B25,_xlfn._xlws.FILTER(Primary_Order[[Product ID]:[Price/Piece]],ISNUMBER(SEARCH(IF($Q$1="Sales Reciept",IF(ISNUMBER(SEARCH("p",$R$1,1)),"Fs-"&amp;LEFT($R$1,LEN($R$1)-1),"F-"&amp;$R$1),VALUE($R$1)),INDIRECT($Y$1))),"nothing"),4,0),0)</f>
        <v>0</v>
      </c>
      <c r="F25" s="340">
        <f t="shared" ca="1" si="3"/>
        <v>0</v>
      </c>
      <c r="G25" s="339" cm="1">
        <f t="array" aca="1" ref="G25" ca="1">IFERROR(VLOOKUP(B25,_xlfn._xlws.FILTER(Primary_Order[[Product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5" s="339" cm="1">
        <f t="array" aca="1" ref="H25" ca="1">IFERROR(VLOOKUP(B25,_xlfn._xlws.FILTER(Primary_Order[[Product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5" s="339" cm="1">
        <f t="array" aca="1" ref="I25" ca="1">IFERROR(VLOOKUP(B25,_xlfn._xlws.FILTER(Primary_Order[[Product ID]:[Price/Piece]],ISNUMBER(SEARCH(IF($Q$1="Sales Reciept",IF(ISNUMBER(SEARCH("p",$R$1,1)),"Fs-"&amp;LEFT($R$1,LEN($R$1)-1),"F-"&amp;$R$1),VALUE($R$1)),INDIRECT($Y$1))),"nothing"),3,0),0)</f>
        <v>0</v>
      </c>
      <c r="J25" s="339">
        <f t="shared" ref="J25:J30" ca="1" si="11">IFERROR(G25+I25,0)</f>
        <v>0</v>
      </c>
      <c r="K25" s="344">
        <f ca="1">_xlfn.IFNA(VLOOKUP(B25,SKU[],6,0)*S.Order!J25,0)</f>
        <v>0</v>
      </c>
      <c r="L25" s="349">
        <f ca="1">_xlfn.IFNA(J25/VLOOKUP(B25,SKU[],5,0),0)</f>
        <v>0</v>
      </c>
      <c r="M25" s="349">
        <f t="shared" ref="M25:M30" ca="1" si="12">IFERROR((E25*100)/115,"")</f>
        <v>0</v>
      </c>
      <c r="N25" s="344">
        <f t="shared" ca="1" si="5"/>
        <v>0</v>
      </c>
      <c r="O25" s="349">
        <f t="shared" ref="O25:O30" ca="1" si="13">P25-N25</f>
        <v>0</v>
      </c>
      <c r="P25" s="339">
        <f t="shared" ref="P25:P30" ca="1" si="14">IFERROR(H25*I25,0)</f>
        <v>0</v>
      </c>
      <c r="Q25" s="344" cm="1">
        <f t="array" aca="1" ref="Q25" ca="1">IFERROR(VLOOKUP(B25,_xlfn._xlws.FILTER(Primary_Order[[Product ID]:[Cost]],ISNUMBER(SEARCH(IF($Q$1="Sales Reciept",IF(ISNUMBER(SEARCH("p",$R$1,1)),"Fs-"&amp;LEFT($R$1,LEN($R$1)-1),"F-"&amp;$R$1),VALUE($R$1)),INDIRECT($Y$1))),"nothing"),28,0),0)</f>
        <v>0</v>
      </c>
      <c r="R25" s="350">
        <f t="shared" ca="1" si="6"/>
        <v>0</v>
      </c>
    </row>
    <row r="26" spans="1:26" x14ac:dyDescent="0.5">
      <c r="A26" s="346" t="str">
        <f t="shared" si="10"/>
        <v/>
      </c>
      <c r="B26" s="347"/>
      <c r="C26" s="339">
        <f>IFERROR(VLOOKUP($B26,SKU[],3,0),0)</f>
        <v>0</v>
      </c>
      <c r="D26" s="348">
        <f>IFERROR(VLOOKUP($B26,SKU[],4,0),0)</f>
        <v>0</v>
      </c>
      <c r="E26" s="339" cm="1">
        <f t="array" aca="1" ref="E26" ca="1">IFERROR(VLOOKUP($B26,_xlfn._xlws.FILTER(Primary_Order[[Product ID]:[Price/Piece]],ISNUMBER(SEARCH(IF($Q$1="Sales Reciept",IF(ISNUMBER(SEARCH("p",$R$1,1)),"Fs-"&amp;LEFT($R$1,LEN($R$1)-1),"F-"&amp;$R$1),VALUE($R$1)),INDIRECT($Y$1))),"nothing"),4,0),0)</f>
        <v>0</v>
      </c>
      <c r="F26" s="340">
        <f t="shared" ca="1" si="3"/>
        <v>0</v>
      </c>
      <c r="G26" s="339" cm="1">
        <f t="array" aca="1" ref="G26" ca="1">IFERROR(VLOOKUP(B26,_xlfn._xlws.FILTER(Primary_Order[[Product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6" s="339" cm="1">
        <f t="array" aca="1" ref="H26" ca="1">IFERROR(VLOOKUP(B26,_xlfn._xlws.FILTER(Primary_Order[[Product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6" s="339" cm="1">
        <f t="array" aca="1" ref="I26" ca="1">IFERROR(VLOOKUP(B26,_xlfn._xlws.FILTER(Primary_Order[[Product ID]:[Price/Piece]],ISNUMBER(SEARCH(IF($Q$1="Sales Reciept",IF(ISNUMBER(SEARCH("p",$R$1,1)),"Fs-"&amp;LEFT($R$1,LEN($R$1)-1),"F-"&amp;$R$1),VALUE($R$1)),INDIRECT($Y$1))),"nothing"),3,0),0)</f>
        <v>0</v>
      </c>
      <c r="J26" s="339">
        <f t="shared" ca="1" si="11"/>
        <v>0</v>
      </c>
      <c r="K26" s="344">
        <f ca="1">_xlfn.IFNA(VLOOKUP(B26,SKU[],6,0)*S.Order!J26,0)</f>
        <v>0</v>
      </c>
      <c r="L26" s="349">
        <f ca="1">_xlfn.IFNA(J26/VLOOKUP(B26,SKU[],5,0),0)</f>
        <v>0</v>
      </c>
      <c r="M26" s="349">
        <f t="shared" ca="1" si="12"/>
        <v>0</v>
      </c>
      <c r="N26" s="344">
        <f t="shared" ca="1" si="5"/>
        <v>0</v>
      </c>
      <c r="O26" s="349">
        <f t="shared" ca="1" si="13"/>
        <v>0</v>
      </c>
      <c r="P26" s="339">
        <f t="shared" ca="1" si="14"/>
        <v>0</v>
      </c>
      <c r="Q26" s="344" cm="1">
        <f t="array" aca="1" ref="Q26" ca="1">IFERROR(VLOOKUP(B26,_xlfn._xlws.FILTER(Primary_Order[[Product ID]:[Cost]],ISNUMBER(SEARCH(IF($Q$1="Sales Reciept",IF(ISNUMBER(SEARCH("p",$R$1,1)),"Fs-"&amp;LEFT($R$1,LEN($R$1)-1),"F-"&amp;$R$1),VALUE($R$1)),INDIRECT($Y$1))),"nothing"),28,0),0)</f>
        <v>0</v>
      </c>
      <c r="R26" s="350">
        <f t="shared" ca="1" si="6"/>
        <v>0</v>
      </c>
    </row>
    <row r="27" spans="1:26" x14ac:dyDescent="0.5">
      <c r="A27" s="346" t="str">
        <f t="shared" si="10"/>
        <v/>
      </c>
      <c r="B27" s="347"/>
      <c r="C27" s="339">
        <f>IFERROR(VLOOKUP($B27,SKU[],3,0),0)</f>
        <v>0</v>
      </c>
      <c r="D27" s="348">
        <f>IFERROR(VLOOKUP($B27,SKU[],4,0),0)</f>
        <v>0</v>
      </c>
      <c r="E27" s="339" cm="1">
        <f t="array" aca="1" ref="E27" ca="1">IFERROR(VLOOKUP($B27,_xlfn._xlws.FILTER(Primary_Order[[Product ID]:[Price/Piece]],ISNUMBER(SEARCH(IF($Q$1="Sales Reciept",IF(ISNUMBER(SEARCH("p",$R$1,1)),"Fs-"&amp;LEFT($R$1,LEN($R$1)-1),"F-"&amp;$R$1),VALUE($R$1)),INDIRECT($Y$1))),"nothing"),4,0),0)</f>
        <v>0</v>
      </c>
      <c r="F27" s="340">
        <f t="shared" ca="1" si="3"/>
        <v>0</v>
      </c>
      <c r="G27" s="339" cm="1">
        <f t="array" aca="1" ref="G27" ca="1">IFERROR(VLOOKUP(B27,_xlfn._xlws.FILTER(Primary_Order[[Product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7" s="339" cm="1">
        <f t="array" aca="1" ref="H27" ca="1">IFERROR(VLOOKUP(B27,_xlfn._xlws.FILTER(Primary_Order[[Product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7" s="339" cm="1">
        <f t="array" aca="1" ref="I27" ca="1">IFERROR(VLOOKUP(B27,_xlfn._xlws.FILTER(Primary_Order[[Product ID]:[Price/Piece]],ISNUMBER(SEARCH(IF($Q$1="Sales Reciept",IF(ISNUMBER(SEARCH("p",$R$1,1)),"Fs-"&amp;LEFT($R$1,LEN($R$1)-1),"F-"&amp;$R$1),VALUE($R$1)),INDIRECT($Y$1))),"nothing"),3,0),0)</f>
        <v>0</v>
      </c>
      <c r="J27" s="339">
        <f t="shared" ca="1" si="11"/>
        <v>0</v>
      </c>
      <c r="K27" s="344">
        <f ca="1">_xlfn.IFNA(VLOOKUP(B27,SKU[],6,0)*S.Order!J27,0)</f>
        <v>0</v>
      </c>
      <c r="L27" s="349">
        <f ca="1">_xlfn.IFNA(J27/VLOOKUP(B27,SKU[],5,0),0)</f>
        <v>0</v>
      </c>
      <c r="M27" s="349">
        <f t="shared" ca="1" si="12"/>
        <v>0</v>
      </c>
      <c r="N27" s="344">
        <f t="shared" ca="1" si="5"/>
        <v>0</v>
      </c>
      <c r="O27" s="349">
        <f t="shared" ca="1" si="13"/>
        <v>0</v>
      </c>
      <c r="P27" s="339">
        <f t="shared" ca="1" si="14"/>
        <v>0</v>
      </c>
      <c r="Q27" s="344" cm="1">
        <f t="array" aca="1" ref="Q27" ca="1">IFERROR(VLOOKUP(B27,_xlfn._xlws.FILTER(Primary_Order[[Product ID]:[Cost]],ISNUMBER(SEARCH(IF($Q$1="Sales Reciept",IF(ISNUMBER(SEARCH("p",$R$1,1)),"Fs-"&amp;LEFT($R$1,LEN($R$1)-1),"F-"&amp;$R$1),VALUE($R$1)),INDIRECT($Y$1))),"nothing"),28,0),0)</f>
        <v>0</v>
      </c>
      <c r="R27" s="350">
        <f t="shared" ca="1" si="6"/>
        <v>0</v>
      </c>
      <c r="X27" s="193"/>
    </row>
    <row r="28" spans="1:26" x14ac:dyDescent="0.5">
      <c r="A28" s="346" t="str">
        <f t="shared" si="10"/>
        <v/>
      </c>
      <c r="B28" s="347"/>
      <c r="C28" s="339">
        <f>IFERROR(VLOOKUP($B28,SKU[],3,0),0)</f>
        <v>0</v>
      </c>
      <c r="D28" s="348">
        <f>IFERROR(VLOOKUP($B28,SKU[],4,0),0)</f>
        <v>0</v>
      </c>
      <c r="E28" s="339" cm="1">
        <f t="array" aca="1" ref="E28" ca="1">IFERROR(VLOOKUP($B28,_xlfn._xlws.FILTER(Primary_Order[[Product ID]:[Price/Piece]],ISNUMBER(SEARCH(IF($Q$1="Sales Reciept",IF(ISNUMBER(SEARCH("p",$R$1,1)),"Fs-"&amp;LEFT($R$1,LEN($R$1)-1),"F-"&amp;$R$1),VALUE($R$1)),INDIRECT($Y$1))),"nothing"),4,0),0)</f>
        <v>0</v>
      </c>
      <c r="F28" s="340">
        <f t="shared" ca="1" si="3"/>
        <v>0</v>
      </c>
      <c r="G28" s="339" cm="1">
        <f t="array" aca="1" ref="G28" ca="1">IFERROR(VLOOKUP(B28,_xlfn._xlws.FILTER(Primary_Order[[Product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8" s="339" cm="1">
        <f t="array" aca="1" ref="H28" ca="1">IFERROR(VLOOKUP(B28,_xlfn._xlws.FILTER(Primary_Order[[Product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8" s="339" cm="1">
        <f t="array" aca="1" ref="I28" ca="1">IFERROR(VLOOKUP(B28,_xlfn._xlws.FILTER(Primary_Order[[Product ID]:[Price/Piece]],ISNUMBER(SEARCH(IF($Q$1="Sales Reciept",IF(ISNUMBER(SEARCH("p",$R$1,1)),"Fs-"&amp;LEFT($R$1,LEN($R$1)-1),"F-"&amp;$R$1),VALUE($R$1)),INDIRECT($Y$1))),"nothing"),3,0),0)</f>
        <v>0</v>
      </c>
      <c r="J28" s="339">
        <f t="shared" ca="1" si="11"/>
        <v>0</v>
      </c>
      <c r="K28" s="344">
        <f ca="1">_xlfn.IFNA(VLOOKUP(B28,SKU[],6,0)*S.Order!J28,0)</f>
        <v>0</v>
      </c>
      <c r="L28" s="349">
        <f ca="1">_xlfn.IFNA(J28/VLOOKUP(B28,SKU[],5,0),0)</f>
        <v>0</v>
      </c>
      <c r="M28" s="349">
        <f t="shared" ca="1" si="12"/>
        <v>0</v>
      </c>
      <c r="N28" s="344">
        <f t="shared" ca="1" si="5"/>
        <v>0</v>
      </c>
      <c r="O28" s="349">
        <f t="shared" ca="1" si="13"/>
        <v>0</v>
      </c>
      <c r="P28" s="339">
        <f t="shared" ca="1" si="14"/>
        <v>0</v>
      </c>
      <c r="Q28" s="344" cm="1">
        <f t="array" aca="1" ref="Q28" ca="1">IFERROR(VLOOKUP(B28,_xlfn._xlws.FILTER(Primary_Order[[Product ID]:[Cost]],ISNUMBER(SEARCH(IF($Q$1="Sales Reciept",IF(ISNUMBER(SEARCH("p",$R$1,1)),"Fs-"&amp;LEFT($R$1,LEN($R$1)-1),"F-"&amp;$R$1),VALUE($R$1)),INDIRECT($Y$1))),"nothing"),28,0),0)</f>
        <v>0</v>
      </c>
      <c r="R28" s="350">
        <f t="shared" ca="1" si="6"/>
        <v>0</v>
      </c>
    </row>
    <row r="29" spans="1:26" x14ac:dyDescent="0.5">
      <c r="A29" s="346" t="str">
        <f t="shared" si="10"/>
        <v/>
      </c>
      <c r="B29" s="347"/>
      <c r="C29" s="339">
        <f>IFERROR(VLOOKUP($B29,SKU[],3,0),0)</f>
        <v>0</v>
      </c>
      <c r="D29" s="348">
        <f>IFERROR(VLOOKUP($B29,SKU[],4,0),0)</f>
        <v>0</v>
      </c>
      <c r="E29" s="339" cm="1">
        <f t="array" aca="1" ref="E29" ca="1">IFERROR(VLOOKUP($B29,_xlfn._xlws.FILTER(Primary_Order[[Product ID]:[Price/Piece]],ISNUMBER(SEARCH(IF($Q$1="Sales Reciept",IF(ISNUMBER(SEARCH("p",$R$1,1)),"Fs-"&amp;LEFT($R$1,LEN($R$1)-1),"F-"&amp;$R$1),VALUE($R$1)),INDIRECT($Y$1))),"nothing"),4,0),0)</f>
        <v>0</v>
      </c>
      <c r="F29" s="340">
        <f t="shared" ca="1" si="3"/>
        <v>0</v>
      </c>
      <c r="G29" s="339" cm="1">
        <f t="array" aca="1" ref="G29" ca="1">IFERROR(VLOOKUP(B29,_xlfn._xlws.FILTER(Primary_Order[[Product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29" s="339" cm="1">
        <f t="array" aca="1" ref="H29" ca="1">IFERROR(VLOOKUP(B29,_xlfn._xlws.FILTER(Primary_Order[[Product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29" s="339" cm="1">
        <f t="array" aca="1" ref="I29" ca="1">IFERROR(VLOOKUP(B29,_xlfn._xlws.FILTER(Primary_Order[[Product ID]:[Price/Piece]],ISNUMBER(SEARCH(IF($Q$1="Sales Reciept",IF(ISNUMBER(SEARCH("p",$R$1,1)),"Fs-"&amp;LEFT($R$1,LEN($R$1)-1),"F-"&amp;$R$1),VALUE($R$1)),INDIRECT($Y$1))),"nothing"),3,0),0)</f>
        <v>0</v>
      </c>
      <c r="J29" s="339">
        <f t="shared" ca="1" si="11"/>
        <v>0</v>
      </c>
      <c r="K29" s="344">
        <f ca="1">_xlfn.IFNA(VLOOKUP(B29,SKU[],6,0)*S.Order!J29,0)</f>
        <v>0</v>
      </c>
      <c r="L29" s="349">
        <f ca="1">_xlfn.IFNA(J29/VLOOKUP(B29,SKU[],5,0),0)</f>
        <v>0</v>
      </c>
      <c r="M29" s="349">
        <f t="shared" ca="1" si="12"/>
        <v>0</v>
      </c>
      <c r="N29" s="344">
        <f t="shared" ca="1" si="5"/>
        <v>0</v>
      </c>
      <c r="O29" s="349">
        <f t="shared" ca="1" si="13"/>
        <v>0</v>
      </c>
      <c r="P29" s="339">
        <f t="shared" ca="1" si="14"/>
        <v>0</v>
      </c>
      <c r="Q29" s="344" cm="1">
        <f t="array" aca="1" ref="Q29" ca="1">IFERROR(VLOOKUP(B29,_xlfn._xlws.FILTER(Primary_Order[[Product ID]:[Cost]],ISNUMBER(SEARCH(IF($Q$1="Sales Reciept",IF(ISNUMBER(SEARCH("p",$R$1,1)),"Fs-"&amp;LEFT($R$1,LEN($R$1)-1),"F-"&amp;$R$1),VALUE($R$1)),INDIRECT($Y$1))),"nothing"),28,0),0)</f>
        <v>0</v>
      </c>
      <c r="R29" s="350">
        <f t="shared" ca="1" si="6"/>
        <v>0</v>
      </c>
    </row>
    <row r="30" spans="1:26" ht="17" thickBot="1" x14ac:dyDescent="0.55000000000000004">
      <c r="A30" s="351" t="str">
        <f t="shared" si="10"/>
        <v/>
      </c>
      <c r="B30" s="352"/>
      <c r="C30" s="353">
        <f>IFERROR(VLOOKUP($B30,SKU[],3,0),0)</f>
        <v>0</v>
      </c>
      <c r="D30" s="354">
        <f>IFERROR(VLOOKUP($B30,SKU[],4,0),0)</f>
        <v>0</v>
      </c>
      <c r="E30" s="355" cm="1">
        <f t="array" aca="1" ref="E30" ca="1">IFERROR(VLOOKUP($B30,_xlfn._xlws.FILTER(Primary_Order[[Product ID]:[Price/Piece]],ISNUMBER(SEARCH(IF($Q$1="Sales Reciept",IF(ISNUMBER(SEARCH("p",$R$1,1)),"Fs-"&amp;LEFT($R$1,LEN($R$1)-1),"F-"&amp;$R$1),VALUE($R$1)),INDIRECT($Y$1))),"nothing"),4,0),0)</f>
        <v>0</v>
      </c>
      <c r="F30" s="356">
        <f t="shared" ca="1" si="3"/>
        <v>0</v>
      </c>
      <c r="G30" s="339" cm="1">
        <f t="array" aca="1" ref="G30" ca="1">IFERROR(VLOOKUP(B30,_xlfn._xlws.FILTER(Primary_Order[[Product ID]:[After Discount Price/Piece]],ISNUMBER(SEARCH(IF($Q$1="Sales Reciept",IF(ISNUMBER(SEARCH("p",$R$1,1)),"Fs-"&amp;LEFT($R$1,LEN($R$1)-1),"F-"&amp;$R$1),VALUE($R$1)),INDIRECT($Y$1))),"nothing"),7,0),0)</f>
        <v>0</v>
      </c>
      <c r="H30" s="339" cm="1">
        <f t="array" aca="1" ref="H30" ca="1">IFERROR(VLOOKUP(B30,_xlfn._xlws.FILTER(Primary_Order[[Product ID]:[After Discount Price/Piece]],ISNUMBER(SEARCH(IF($Q$1="Sales Reciept",IF(ISNUMBER(SEARCH("p",$R$1,1)),"Fs-"&amp;LEFT($R$1,LEN($R$1)-1),"F-"&amp;$R$1),VALUE($R$1)),INDIRECT($Y$1))),"nothing"),8,0),0)</f>
        <v>0</v>
      </c>
      <c r="I30" s="339" cm="1">
        <f t="array" aca="1" ref="I30" ca="1">IFERROR(VLOOKUP(B30,_xlfn._xlws.FILTER(Primary_Order[[Product ID]:[Price/Piece]],ISNUMBER(SEARCH(IF($Q$1="Sales Reciept",IF(ISNUMBER(SEARCH("p",$R$1,1)),"Fs-"&amp;LEFT($R$1,LEN($R$1)-1),"F-"&amp;$R$1),VALUE($R$1)),INDIRECT($Y$1))),"nothing"),3,0),0)</f>
        <v>0</v>
      </c>
      <c r="J30" s="353">
        <f t="shared" ca="1" si="11"/>
        <v>0</v>
      </c>
      <c r="K30" s="357">
        <f ca="1">_xlfn.IFNA(VLOOKUP(B30,SKU[],6,0)*S.Order!J30,0)</f>
        <v>0</v>
      </c>
      <c r="L30" s="358">
        <f ca="1">_xlfn.IFNA(J30/VLOOKUP(B30,SKU[],5,0),0)</f>
        <v>0</v>
      </c>
      <c r="M30" s="358">
        <f t="shared" ca="1" si="12"/>
        <v>0</v>
      </c>
      <c r="N30" s="359">
        <f t="shared" ca="1" si="5"/>
        <v>0</v>
      </c>
      <c r="O30" s="358">
        <f t="shared" ca="1" si="13"/>
        <v>0</v>
      </c>
      <c r="P30" s="353">
        <f t="shared" ca="1" si="14"/>
        <v>0</v>
      </c>
      <c r="Q30" s="344" cm="1">
        <f t="array" aca="1" ref="Q30" ca="1">IFERROR(VLOOKUP(B30,_xlfn._xlws.FILTER(Primary_Order[[Product ID]:[Cost]],ISNUMBER(SEARCH(IF($Q$1="Sales Reciept",IF(ISNUMBER(SEARCH("p",$R$1,1)),"Fs-"&amp;LEFT($R$1,LEN($R$1)-1),"F-"&amp;$R$1),VALUE($R$1)),INDIRECT($Y$1))),"nothing"),28,0),0)</f>
        <v>0</v>
      </c>
      <c r="R30" s="360">
        <f t="shared" ca="1" si="6"/>
        <v>0</v>
      </c>
    </row>
    <row r="31" spans="1:26" ht="21.5" thickBot="1" x14ac:dyDescent="0.65">
      <c r="A31" s="411" t="s">
        <v>872</v>
      </c>
      <c r="B31" s="412"/>
      <c r="C31" s="255">
        <f ca="1">COUNT(A6:A30)</f>
        <v>3</v>
      </c>
      <c r="D31" s="413" t="s">
        <v>708</v>
      </c>
      <c r="E31" s="413"/>
      <c r="F31" s="413"/>
      <c r="G31" s="255">
        <f ca="1">SUM(G6:G30)</f>
        <v>0</v>
      </c>
      <c r="H31" s="256"/>
      <c r="I31" s="255">
        <f ca="1">SUM(I6:I30)</f>
        <v>1920</v>
      </c>
      <c r="J31" s="255">
        <f t="shared" ref="J31:N31" ca="1" si="15">SUM(J6:J30)</f>
        <v>1920</v>
      </c>
      <c r="K31" s="255">
        <f t="shared" ca="1" si="15"/>
        <v>1920</v>
      </c>
      <c r="L31" s="255">
        <f t="shared" ca="1" si="15"/>
        <v>104</v>
      </c>
      <c r="M31" s="257"/>
      <c r="N31" s="255">
        <f t="shared" ca="1" si="15"/>
        <v>883478.26086956519</v>
      </c>
      <c r="O31" s="255">
        <f t="shared" ref="O31" ca="1" si="16">SUM(O6:O30)</f>
        <v>132521.7391304347</v>
      </c>
      <c r="P31" s="255">
        <f t="shared" ref="P31:R31" ca="1" si="17">SUM(P6:P30)</f>
        <v>1016000</v>
      </c>
      <c r="Q31" s="255">
        <f t="shared" ca="1" si="17"/>
        <v>784575.2</v>
      </c>
      <c r="R31" s="258">
        <f t="shared" ca="1" si="17"/>
        <v>98903.060869565292</v>
      </c>
    </row>
    <row r="32" spans="1:26" ht="21" x14ac:dyDescent="0.5">
      <c r="A32" s="407" t="s">
        <v>864</v>
      </c>
      <c r="B32" s="408"/>
      <c r="C32" s="409"/>
      <c r="D32" s="414" cm="1">
        <f t="array" aca="1" ref="D32" ca="1">IFERROR(SUM(_xlfn._xlws.FILTER(Primary_Order[Transport Discount],ISNUMBER(SEARCH(IF($Q$1="Sales Reciept",IF(ISNUMBER(SEARCH("p",$R$1,1)),"Fs-"&amp;LEFT($R$1,LEN($R$1)-1),"F-"&amp;$R$1),VALUE($R$1)),INDIRECT($Y$1))),"nothing")),0)</f>
        <v>0</v>
      </c>
      <c r="E32" s="414"/>
      <c r="F32" s="407" t="s">
        <v>870</v>
      </c>
      <c r="G32" s="408"/>
      <c r="H32" s="409"/>
      <c r="I32" s="259">
        <f ca="1">SUMPRODUCT(F6:F30,I6:I30)</f>
        <v>0</v>
      </c>
      <c r="J32" s="398" t="s">
        <v>865</v>
      </c>
      <c r="K32" s="399"/>
      <c r="L32" s="400"/>
      <c r="M32" s="401" t="str" cm="1">
        <f t="array" aca="1" ref="M32" ca="1">spellnumber(R32)</f>
        <v>One Million Sixteen Thousand  Taka Only</v>
      </c>
      <c r="N32" s="402"/>
      <c r="O32" s="402"/>
      <c r="P32" s="402"/>
      <c r="Q32" s="403"/>
      <c r="R32" s="287" cm="1">
        <f t="array" aca="1" ref="R32" ca="1">IFERROR(SUM(_xlfn._xlws.FILTER(Primary_Order[Final Price],ISNUMBER(SEARCH(IF($Q$1="Sales Reciept",IF(ISNUMBER(SEARCH("p",$R$1,1)),"Fs-"&amp;LEFT($R$1,LEN($R$1)-1),"F-"&amp;$R$1),VALUE($R$1)),INDIRECT($Y$1))),"nothing")),0)</f>
        <v>1016000</v>
      </c>
    </row>
    <row r="33" spans="1:18" ht="29.5" x14ac:dyDescent="0.5">
      <c r="A33" s="406" t="s">
        <v>63</v>
      </c>
      <c r="B33" s="406"/>
      <c r="C33" s="406"/>
      <c r="D33" s="406"/>
      <c r="E33" s="406"/>
      <c r="F33" s="406"/>
      <c r="G33" s="406"/>
      <c r="H33" s="410" t="str" cm="1">
        <f t="array" aca="1" ref="H33" ca="1">IFERROR(_xlfn.XLOOKUP(IF($Q$1="Sales Reciept",IF(ISNUMBER(SEARCH("p",$R$1,1)),"Fs-"&amp;LEFT($R$1,LEN($R$1)-1),"F-"&amp;$R$1),VALUE($R$1)),INDIRECT($Y$1),Primary_Order[Remarks],"nothing",0,1),"-")</f>
        <v/>
      </c>
      <c r="I33" s="410"/>
      <c r="J33" s="410"/>
      <c r="K33" s="410"/>
      <c r="L33" s="410"/>
      <c r="M33" s="410"/>
      <c r="N33" s="410"/>
      <c r="O33" s="410"/>
      <c r="P33" s="410"/>
      <c r="Q33" s="410"/>
      <c r="R33" s="410"/>
    </row>
    <row r="39" spans="1:18" x14ac:dyDescent="0.5">
      <c r="A39" s="34"/>
      <c r="B39" s="35"/>
      <c r="C39" s="35"/>
      <c r="D39" s="35"/>
      <c r="E39" s="35"/>
      <c r="F39" s="35"/>
      <c r="G39" s="35"/>
      <c r="H39" s="35"/>
      <c r="I39" s="35"/>
      <c r="J39" s="35"/>
      <c r="K39" s="35"/>
    </row>
    <row r="43" spans="1:18" x14ac:dyDescent="0.5">
      <c r="N43" s="43"/>
    </row>
  </sheetData>
  <sheetProtection formatColumns="0" autoFilter="0"/>
  <autoFilter ref="A5:R33" xr:uid="{AD2C4794-2155-4437-A65E-D1DF15A651A4}"/>
  <mergeCells count="39">
    <mergeCell ref="P4:Q4"/>
    <mergeCell ref="T2:U2"/>
    <mergeCell ref="T3:U3"/>
    <mergeCell ref="S1:S3"/>
    <mergeCell ref="L2:L3"/>
    <mergeCell ref="M2:M3"/>
    <mergeCell ref="N2:N3"/>
    <mergeCell ref="P2:Q2"/>
    <mergeCell ref="P3:Q3"/>
    <mergeCell ref="A4:B4"/>
    <mergeCell ref="A1:B1"/>
    <mergeCell ref="C2:C3"/>
    <mergeCell ref="A2:B3"/>
    <mergeCell ref="H1:K1"/>
    <mergeCell ref="H2:K2"/>
    <mergeCell ref="D2:E2"/>
    <mergeCell ref="F2:G2"/>
    <mergeCell ref="F1:G1"/>
    <mergeCell ref="D1:E1"/>
    <mergeCell ref="F3:G3"/>
    <mergeCell ref="D3:E3"/>
    <mergeCell ref="D4:E4"/>
    <mergeCell ref="F4:G4"/>
    <mergeCell ref="J32:L32"/>
    <mergeCell ref="M32:Q32"/>
    <mergeCell ref="X1:X5"/>
    <mergeCell ref="A33:G33"/>
    <mergeCell ref="A32:C32"/>
    <mergeCell ref="H33:R33"/>
    <mergeCell ref="A31:B31"/>
    <mergeCell ref="D31:F31"/>
    <mergeCell ref="D32:E32"/>
    <mergeCell ref="F32:H32"/>
    <mergeCell ref="V2:W2"/>
    <mergeCell ref="V3:W3"/>
    <mergeCell ref="O2:O3"/>
    <mergeCell ref="H3:K3"/>
    <mergeCell ref="J4:K4"/>
    <mergeCell ref="H4:I4"/>
  </mergeCells>
  <conditionalFormatting sqref="R4">
    <cfRule type="cellIs" dxfId="197" priority="1" operator="equal">
      <formula>"Delivered"</formula>
    </cfRule>
    <cfRule type="containsText" dxfId="196" priority="2" operator="containsText" text="pending">
      <formula>NOT(ISERROR(SEARCH("pending",R4)))</formula>
    </cfRule>
  </conditionalFormatting>
  <dataValidations count="8">
    <dataValidation allowBlank="1" showDropDown="1" showInputMessage="1" showErrorMessage="1" prompt="Input Only Product Id" sqref="B6" xr:uid="{82D885EC-0639-40F1-AAB1-557404FB7A8C}"/>
    <dataValidation type="decimal" allowBlank="1" showInputMessage="1" showErrorMessage="1" sqref="R3" xr:uid="{484722D2-6009-47E5-8412-5E8260FB5695}">
      <formula1>0</formula1>
      <formula2>10</formula2>
    </dataValidation>
    <dataValidation allowBlank="1" showInputMessage="1" showErrorMessage="1" promptTitle="mm/dd/yy" prompt="month/date/year" sqref="M1" xr:uid="{19004E9F-BC4A-4E03-8380-C1A953F5C238}"/>
    <dataValidation allowBlank="1" showInputMessage="1" showErrorMessage="1" prompt="Input Only Product Id" sqref="B7:B30" xr:uid="{0B54EB3E-6897-4DDE-BD2B-870662856D7B}"/>
    <dataValidation allowBlank="1" showInputMessage="1" showErrorMessage="1" prompt="Total Dues" sqref="H33" xr:uid="{F73A6727-5E88-48CD-B89B-9A90A7E4A7EB}"/>
    <dataValidation allowBlank="1" showInputMessage="1" showErrorMessage="1" prompt="Cash / Credit" sqref="R2" xr:uid="{11EE70DA-3F08-4433-B52A-05D7BCFDAC70}"/>
    <dataValidation type="date" allowBlank="1" showInputMessage="1" showErrorMessage="1" sqref="U1" xr:uid="{0B7F9C72-70FF-4DDB-8803-FB759CC8168C}">
      <formula1>45658</formula1>
      <formula2>46022</formula2>
    </dataValidation>
    <dataValidation allowBlank="1" showDropDown="1" showInputMessage="1" showErrorMessage="1" sqref="F2 O4" xr:uid="{675685FC-854D-46B5-98FF-F202C4546CE7}"/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8458" r:id="rId4" name="SpinButton2">
          <controlPr defaultSize="0" autoLine="0" linkedCell="U5" r:id="rId5">
            <anchor moveWithCells="1">
              <from>
                <xdr:col>18</xdr:col>
                <xdr:colOff>19050</xdr:colOff>
                <xdr:row>4</xdr:row>
                <xdr:rowOff>114300</xdr:rowOff>
              </from>
              <to>
                <xdr:col>19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18458" r:id="rId4" name="SpinButton2"/>
      </mc:Fallback>
    </mc:AlternateContent>
    <mc:AlternateContent xmlns:mc="http://schemas.openxmlformats.org/markup-compatibility/2006">
      <mc:Choice Requires="x14">
        <control shapeId="18457" r:id="rId6" name="SpinButton1">
          <controlPr defaultSize="0" autoLine="0" linkedCell="R1" r:id="rId7">
            <anchor moveWithCells="1">
              <from>
                <xdr:col>15</xdr:col>
                <xdr:colOff>1212850</xdr:colOff>
                <xdr:row>0</xdr:row>
                <xdr:rowOff>19050</xdr:rowOff>
              </from>
              <to>
                <xdr:col>15</xdr:col>
                <xdr:colOff>1485900</xdr:colOff>
                <xdr:row>0</xdr:row>
                <xdr:rowOff>444500</xdr:rowOff>
              </to>
            </anchor>
          </controlPr>
        </control>
      </mc:Choice>
      <mc:Fallback>
        <control shapeId="18457" r:id="rId6" name="SpinButton1"/>
      </mc:Fallback>
    </mc:AlternateContent>
    <mc:AlternateContent xmlns:mc="http://schemas.openxmlformats.org/markup-compatibility/2006">
      <mc:Choice Requires="x14">
        <control shapeId="18454" r:id="rId8" name="TextBox3">
          <controlPr defaultSize="0" autoLine="0" autoPict="0" linkedCell="W1" r:id="rId9">
            <anchor moveWithCells="1">
              <from>
                <xdr:col>22</xdr:col>
                <xdr:colOff>63500</xdr:colOff>
                <xdr:row>0</xdr:row>
                <xdr:rowOff>82550</xdr:rowOff>
              </from>
              <to>
                <xdr:col>22</xdr:col>
                <xdr:colOff>660400</xdr:colOff>
                <xdr:row>0</xdr:row>
                <xdr:rowOff>355600</xdr:rowOff>
              </to>
            </anchor>
          </controlPr>
        </control>
      </mc:Choice>
      <mc:Fallback>
        <control shapeId="18454" r:id="rId8" name="TextBox3"/>
      </mc:Fallback>
    </mc:AlternateContent>
    <mc:AlternateContent xmlns:mc="http://schemas.openxmlformats.org/markup-compatibility/2006">
      <mc:Choice Requires="x14">
        <control shapeId="18453" r:id="rId10" name="TextBox2">
          <controlPr defaultSize="0" autoLine="0" linkedCell="U5" r:id="rId11">
            <anchor moveWithCells="1">
              <from>
                <xdr:col>20</xdr:col>
                <xdr:colOff>25400</xdr:colOff>
                <xdr:row>4</xdr:row>
                <xdr:rowOff>127000</xdr:rowOff>
              </from>
              <to>
                <xdr:col>20</xdr:col>
                <xdr:colOff>628650</xdr:colOff>
                <xdr:row>4</xdr:row>
                <xdr:rowOff>584200</xdr:rowOff>
              </to>
            </anchor>
          </controlPr>
        </control>
      </mc:Choice>
      <mc:Fallback>
        <control shapeId="18453" r:id="rId10" name="TextBox2"/>
      </mc:Fallback>
    </mc:AlternateContent>
    <mc:AlternateContent xmlns:mc="http://schemas.openxmlformats.org/markup-compatibility/2006">
      <mc:Choice Requires="x14">
        <control shapeId="18433" r:id="rId12" name="TextBox1">
          <controlPr defaultSize="0" autoFill="0" autoLine="0" linkedCell="R1" r:id="rId13">
            <anchor moveWithCells="1">
              <from>
                <xdr:col>17</xdr:col>
                <xdr:colOff>95250</xdr:colOff>
                <xdr:row>0</xdr:row>
                <xdr:rowOff>0</xdr:rowOff>
              </from>
              <to>
                <xdr:col>17</xdr:col>
                <xdr:colOff>863600</xdr:colOff>
                <xdr:row>0</xdr:row>
                <xdr:rowOff>311150</xdr:rowOff>
              </to>
            </anchor>
          </controlPr>
        </control>
      </mc:Choice>
      <mc:Fallback>
        <control shapeId="18433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BBB229-C171-4334-A3DF-C554207906F4}">
          <x14:formula1>
            <xm:f>'Order Data'!$A$1:$AM$1</xm:f>
          </x14:formula1>
          <xm:sqref>Q1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95FA1-03D0-43E9-8B48-BFDC33976D5B}">
  <sheetPr codeName="Sheet3">
    <tabColor rgb="FF92D050"/>
  </sheetPr>
  <dimension ref="A1:O161"/>
  <sheetViews>
    <sheetView topLeftCell="B1" zoomScaleNormal="100" workbookViewId="0">
      <selection activeCell="B1" sqref="B1:K3"/>
    </sheetView>
  </sheetViews>
  <sheetFormatPr defaultRowHeight="16" x14ac:dyDescent="0.5"/>
  <cols>
    <col min="1" max="1" width="9.54296875" style="193" hidden="1" customWidth="1"/>
    <col min="2" max="2" width="34.36328125" style="193" bestFit="1" customWidth="1"/>
    <col min="3" max="3" width="16.08984375" style="193" customWidth="1"/>
    <col min="4" max="4" width="12.7265625" style="193" customWidth="1"/>
    <col min="5" max="5" width="11.7265625" style="193" customWidth="1"/>
    <col min="6" max="6" width="16.54296875" style="193" customWidth="1"/>
    <col min="7" max="7" width="13.1796875" style="193" customWidth="1"/>
    <col min="8" max="8" width="12.1796875" style="193" customWidth="1"/>
    <col min="9" max="9" width="16.7265625" style="193" customWidth="1"/>
    <col min="10" max="10" width="13.36328125" style="193" customWidth="1"/>
    <col min="11" max="11" width="12.36328125" style="193" customWidth="1"/>
    <col min="12" max="12" width="8.7265625" style="193"/>
    <col min="13" max="13" width="10.81640625" style="193" bestFit="1" customWidth="1"/>
    <col min="14" max="14" width="10.90625" style="193" bestFit="1" customWidth="1"/>
    <col min="15" max="15" width="11.36328125" style="193" customWidth="1"/>
    <col min="16" max="16384" width="8.7265625" style="193"/>
  </cols>
  <sheetData>
    <row r="1" spans="1:15" ht="16.5" customHeight="1" x14ac:dyDescent="0.5">
      <c r="B1" s="481"/>
      <c r="C1" s="481"/>
      <c r="D1" s="465" t="s">
        <v>931</v>
      </c>
      <c r="E1" s="466"/>
      <c r="F1" s="466"/>
      <c r="G1" s="467"/>
      <c r="H1" s="481"/>
      <c r="I1" s="481"/>
      <c r="J1" s="481"/>
      <c r="K1" s="481"/>
      <c r="N1"/>
    </row>
    <row r="2" spans="1:15" ht="17" customHeight="1" thickBot="1" x14ac:dyDescent="0.55000000000000004">
      <c r="B2" s="481"/>
      <c r="C2" s="481"/>
      <c r="D2" s="468"/>
      <c r="E2" s="469"/>
      <c r="F2" s="469"/>
      <c r="G2" s="470"/>
      <c r="H2" s="481"/>
      <c r="I2" s="481"/>
      <c r="J2" s="481"/>
      <c r="K2" s="481"/>
    </row>
    <row r="3" spans="1:15" ht="17" customHeight="1" thickBot="1" x14ac:dyDescent="0.55000000000000004">
      <c r="B3" s="482"/>
      <c r="C3" s="482"/>
      <c r="D3" s="483"/>
      <c r="E3" s="483"/>
      <c r="F3" s="483"/>
      <c r="G3" s="483"/>
      <c r="H3" s="482"/>
      <c r="I3" s="482"/>
      <c r="J3" s="482"/>
      <c r="K3" s="482"/>
    </row>
    <row r="4" spans="1:15" x14ac:dyDescent="0.5">
      <c r="B4" s="463" t="s">
        <v>929</v>
      </c>
      <c r="C4" s="471" t="s">
        <v>203</v>
      </c>
      <c r="D4" s="472"/>
      <c r="E4" s="473"/>
      <c r="F4" s="490" t="s">
        <v>205</v>
      </c>
      <c r="G4" s="485"/>
      <c r="H4" s="491"/>
      <c r="I4" s="484" t="s">
        <v>204</v>
      </c>
      <c r="J4" s="485"/>
      <c r="K4" s="486"/>
      <c r="M4" s="193" t="s">
        <v>1476</v>
      </c>
    </row>
    <row r="5" spans="1:15" ht="16.5" thickBot="1" x14ac:dyDescent="0.55000000000000004">
      <c r="B5" s="464"/>
      <c r="C5" s="475">
        <f>'Stock Report'!$B$1</f>
        <v>45777</v>
      </c>
      <c r="D5" s="476"/>
      <c r="E5" s="477"/>
      <c r="F5" s="478" t="str">
        <f>TEXT(C5,"mmmm")</f>
        <v>April</v>
      </c>
      <c r="G5" s="479"/>
      <c r="H5" s="480"/>
      <c r="I5" s="487">
        <f>YEAR($C$5)</f>
        <v>2025</v>
      </c>
      <c r="J5" s="488"/>
      <c r="K5" s="489"/>
      <c r="M5" s="193" t="s">
        <v>1477</v>
      </c>
    </row>
    <row r="6" spans="1:15" x14ac:dyDescent="0.5">
      <c r="A6" s="196" t="s">
        <v>422</v>
      </c>
      <c r="B6" s="164" t="s">
        <v>272</v>
      </c>
      <c r="C6" s="165" t="s">
        <v>207</v>
      </c>
      <c r="D6" s="166" t="s">
        <v>201</v>
      </c>
      <c r="E6" s="167" t="s">
        <v>202</v>
      </c>
      <c r="F6" s="168" t="s">
        <v>921</v>
      </c>
      <c r="G6" s="166" t="s">
        <v>923</v>
      </c>
      <c r="H6" s="167" t="s">
        <v>922</v>
      </c>
      <c r="I6" s="169" t="s">
        <v>924</v>
      </c>
      <c r="J6" s="170" t="s">
        <v>925</v>
      </c>
      <c r="K6" s="171" t="s">
        <v>926</v>
      </c>
      <c r="M6" s="193" t="s">
        <v>1458</v>
      </c>
      <c r="O6" s="197"/>
    </row>
    <row r="7" spans="1:15" x14ac:dyDescent="0.5">
      <c r="B7" s="172" t="s">
        <v>199</v>
      </c>
      <c r="C7" s="173">
        <f>SUMIFS(Primary_Order[Total Volume],Primary_Order[Date],'Sales Report'!$C$5,Primary_Order[TSM/TSE],"&lt;&gt;Captive Sales",Primary_Order[Status],'Stock Report'!$A$1)</f>
        <v>8295</v>
      </c>
      <c r="D7" s="174">
        <f>SUMIFS(Primary_Order[Net Total(-15%)],Primary_Order[Date],'Sales Report'!$C$5,Primary_Order[TSM/TSE],"&lt;&gt;Captive Sales",Primary_Order[Status],'Stock Report'!$A$1)</f>
        <v>1515652.1739130435</v>
      </c>
      <c r="E7" s="175">
        <f>IFERROR(Total_Sales[[#This Row],[Revenue]]/Total_Sales[[#This Row],[Volume(Ltr)]],0)</f>
        <v>182.71876719867913</v>
      </c>
      <c r="F7" s="173">
        <f>SUMIFS(Primary_Order[Total Volume],Primary_Order[Date],"&gt;="&amp;DATE(YEAR($C$5),MONTH($C$5),1),Primary_Order[Date],"&lt;="&amp;$C$5,Primary_Order[TSM/TSE],"&lt;&gt;Captive Sales",Primary_Order[Status],'Stock Report'!$A$1)</f>
        <v>50839.199999999997</v>
      </c>
      <c r="G7" s="174">
        <f>SUMIFS(Primary_Order[Net Total(-15%)],Primary_Order[Date],"&gt;="&amp;DATE(YEAR($C$5),MONTH($C$5),1),Primary_Order[Date],"&lt;="&amp;$C$5,Primary_Order[TSM/TSE],"&lt;&gt;Captive Sales",Primary_Order[Status],'Stock Report'!$A$1)</f>
        <v>18908791.304347828</v>
      </c>
      <c r="H7" s="175">
        <f>IFERROR(Total_Sales[[#This Row],[Revenue.]]/Total_Sales[[#This Row],[Volume(Ltr).]],0)</f>
        <v>371.93329761970739</v>
      </c>
      <c r="I7" s="176">
        <f>SUMIFS(Primary_Order[Total Volume],Primary_Order[Date],"&gt;="&amp;DATE(YEAR($C$5),1,1),Primary_Order[Date],"&lt;="&amp;$C$5,Primary_Order[TSM/TSE],"&lt;&gt;Captive Sales",Primary_Order[Status],'Stock Report'!$A$1)</f>
        <v>131342.79999999999</v>
      </c>
      <c r="J7" s="174">
        <f>SUMIFS(Primary_Order[Net Total(-15%)],Primary_Order[Date],"&gt;="&amp;DATE(YEAR($C$5),1,1),Primary_Order[Date],"&lt;="&amp;$C$5,Primary_Order[TSM/TSE],"&lt;&gt;Captive Sales",Primary_Order[Payment Type],"&lt;&gt;Free",Primary_Order[Status],'Stock Report'!$A$1)</f>
        <v>58893513.913043506</v>
      </c>
      <c r="K7" s="177">
        <f>IFERROR(Total_Sales[[#This Row],[Revenue`]]/Total_Sales[[#This Row],[Volume(Ltr)`]],0)</f>
        <v>448.39545002119274</v>
      </c>
      <c r="M7" s="193" t="s">
        <v>1478</v>
      </c>
    </row>
    <row r="8" spans="1:15" x14ac:dyDescent="0.5">
      <c r="B8" s="178" t="s">
        <v>87</v>
      </c>
      <c r="C8" s="179">
        <f>SUMIFS(Primary_Order[Total Volume],Primary_Order[Date],'Sales Report'!$C$5,Primary_Order[TSM/TSE],Total_Sales[[#This Row],[Type]],Primary_Order[Status],'Stock Report'!$A$1)</f>
        <v>400</v>
      </c>
      <c r="D8" s="180">
        <f>SUMIFS(Primary_Order[Net Total(-15%)],Primary_Order[Date],'Sales Report'!$C$5,Primary_Order[TSM/TSE],Total_Sales[[#This Row],[Type]],Primary_Order[Status],'Stock Report'!$A$1)</f>
        <v>260869.5652173913</v>
      </c>
      <c r="E8" s="181">
        <f>IFERROR(Total_Sales[[#This Row],[Revenue]]/Total_Sales[[#This Row],[Volume(Ltr)]],0)</f>
        <v>652.17391304347825</v>
      </c>
      <c r="F8" s="179">
        <f>SUMIFS(Primary_Order[Total Volume],Primary_Order[Date],"&gt;="&amp;DATE(YEAR($C$5),MONTH($C$5),1),Primary_Order[Date],"&lt;="&amp;$C$5,Primary_Order[TSM/TSE],Total_Sales[[#This Row],[Type]],Primary_Order[Status],'Stock Report'!$A$1)</f>
        <v>3843</v>
      </c>
      <c r="G8" s="180">
        <f>SUMIFS(Primary_Order[Net Total(-15%)],Primary_Order[Date],"&gt;="&amp;DATE(YEAR($C$5),MONTH($C$5),1),Primary_Order[Date],"&lt;="&amp;$C$5,Primary_Order[TSM/TSE],Total_Sales[[#This Row],[Type]],Primary_Order[Status],'Stock Report'!$A$1)</f>
        <v>1696017.3913043481</v>
      </c>
      <c r="H8" s="332">
        <f>IFERROR(Total_Sales[[#This Row],[Revenue.]]/Total_Sales[[#This Row],[Volume(Ltr).]],0)</f>
        <v>441.32640939483429</v>
      </c>
      <c r="I8" s="182">
        <f>SUMIFS(Primary_Order[Total Volume],Primary_Order[Date],"&gt;="&amp;DATE(YEAR($C$5),1,1),Primary_Order[Date],"&lt;="&amp;$C$5,Primary_Order[TSM/TSE],Total_Sales[[#This Row],[Type]],Primary_Order[Status],'Stock Report'!$A$1)</f>
        <v>79779.925000000003</v>
      </c>
      <c r="J8" s="180">
        <f>SUMIFS(Primary_Order[Net Total(-15%)],Primary_Order[Date],"&gt;="&amp;DATE(YEAR($C$5),1,1),Primary_Order[Date],"&lt;="&amp;$C$5,Primary_Order[TSM/TSE],Total_Sales[[#This Row],[Type]],Primary_Order[Payment Type],"&lt;&gt;Free",Primary_Order[Status],'Stock Report'!$A$1)</f>
        <v>48299756.521739118</v>
      </c>
      <c r="K8" s="183">
        <f>IFERROR(Total_Sales[[#This Row],[Revenue`]]/Total_Sales[[#This Row],[Volume(Ltr)`]],0)</f>
        <v>605.41240821847248</v>
      </c>
      <c r="M8" s="193" t="s">
        <v>1479</v>
      </c>
      <c r="O8" s="197"/>
    </row>
    <row r="9" spans="1:15" ht="17" thickBot="1" x14ac:dyDescent="0.55000000000000004">
      <c r="B9" s="281" t="s">
        <v>206</v>
      </c>
      <c r="C9" s="285">
        <f>SUM(C7:C8)</f>
        <v>8695</v>
      </c>
      <c r="D9" s="284">
        <f>SUM(D7:D8)</f>
        <v>1776521.7391304348</v>
      </c>
      <c r="E9" s="282">
        <f>IFERROR(D9/C9,0)</f>
        <v>204.31532364927369</v>
      </c>
      <c r="F9" s="285">
        <f>SUM(F7:F8)</f>
        <v>54682.2</v>
      </c>
      <c r="G9" s="284">
        <f>SUM(G7:G8)</f>
        <v>20604808.695652176</v>
      </c>
      <c r="H9" s="282">
        <f>IFERROR(G9/F9,0)</f>
        <v>376.81016300829481</v>
      </c>
      <c r="I9" s="286">
        <f>SUM(I7:I8)</f>
        <v>211122.72499999998</v>
      </c>
      <c r="J9" s="284">
        <f>SUM(J7:J8)</f>
        <v>107193270.43478262</v>
      </c>
      <c r="K9" s="283">
        <f>IFERROR(J9/I9,0)</f>
        <v>507.7296649841112</v>
      </c>
      <c r="M9" s="193" t="s">
        <v>1481</v>
      </c>
      <c r="O9" s="197"/>
    </row>
    <row r="10" spans="1:15" ht="16.5" thickBot="1" x14ac:dyDescent="0.55000000000000004">
      <c r="B10" s="483"/>
      <c r="C10" s="483"/>
      <c r="D10" s="483"/>
      <c r="E10" s="483"/>
      <c r="F10" s="483"/>
      <c r="G10" s="483"/>
      <c r="H10" s="483"/>
      <c r="I10" s="483"/>
      <c r="J10" s="483"/>
      <c r="K10" s="483"/>
      <c r="M10" s="193" t="s">
        <v>1480</v>
      </c>
    </row>
    <row r="11" spans="1:15" x14ac:dyDescent="0.5">
      <c r="B11" s="463" t="s">
        <v>930</v>
      </c>
      <c r="C11" s="471" t="s">
        <v>203</v>
      </c>
      <c r="D11" s="472"/>
      <c r="E11" s="473"/>
      <c r="F11" s="474" t="s">
        <v>205</v>
      </c>
      <c r="G11" s="472"/>
      <c r="H11" s="473"/>
      <c r="I11" s="484" t="s">
        <v>204</v>
      </c>
      <c r="J11" s="485"/>
      <c r="K11" s="486"/>
      <c r="M11" s="193" t="s">
        <v>1503</v>
      </c>
    </row>
    <row r="12" spans="1:15" ht="16.5" thickBot="1" x14ac:dyDescent="0.55000000000000004">
      <c r="B12" s="464"/>
      <c r="C12" s="475">
        <f>'Sales Report'!$C$5</f>
        <v>45777</v>
      </c>
      <c r="D12" s="476"/>
      <c r="E12" s="477"/>
      <c r="F12" s="478" t="str">
        <f>TEXT(C12,"mmmm")</f>
        <v>April</v>
      </c>
      <c r="G12" s="479"/>
      <c r="H12" s="480"/>
      <c r="I12" s="487">
        <f>YEAR($C$5)</f>
        <v>2025</v>
      </c>
      <c r="J12" s="488"/>
      <c r="K12" s="489"/>
    </row>
    <row r="13" spans="1:15" x14ac:dyDescent="0.5">
      <c r="A13" s="196" t="s">
        <v>422</v>
      </c>
      <c r="B13" s="184" t="s">
        <v>718</v>
      </c>
      <c r="C13" s="169" t="s">
        <v>207</v>
      </c>
      <c r="D13" s="166" t="s">
        <v>201</v>
      </c>
      <c r="E13" s="167" t="s">
        <v>202</v>
      </c>
      <c r="F13" s="168" t="s">
        <v>921</v>
      </c>
      <c r="G13" s="166" t="s">
        <v>923</v>
      </c>
      <c r="H13" s="167" t="s">
        <v>922</v>
      </c>
      <c r="I13" s="165" t="s">
        <v>924</v>
      </c>
      <c r="J13" s="170" t="s">
        <v>925</v>
      </c>
      <c r="K13" s="171" t="s">
        <v>926</v>
      </c>
    </row>
    <row r="14" spans="1:15" x14ac:dyDescent="0.5">
      <c r="B14" s="172" t="s">
        <v>40</v>
      </c>
      <c r="C14" s="173">
        <f>SUMIFS(Primary_Order[Total Volume],Primary_Order[Date],$C$5,Primary_Order[AM],Area_wise[[#This Row],[AM/Others]],Primary_Order[Status],'Stock Report'!$A$1)</f>
        <v>8295</v>
      </c>
      <c r="D14" s="174">
        <f>SUMIFS(Primary_Order[Net Total(-15%)],Primary_Order[Date],$C$5,Primary_Order[AM],Area_wise[[#This Row],[AM/Others]],Primary_Order[Status],'Stock Report'!$A$1)</f>
        <v>1515652.1739130435</v>
      </c>
      <c r="E14" s="175">
        <f>IFERROR(Area_wise[[#This Row],[Revenue]]/Area_wise[[#This Row],[Volume(Ltr)]],0)</f>
        <v>182.71876719867913</v>
      </c>
      <c r="F14" s="173">
        <f>SUMIFS(Primary_Order[Total Volume],Primary_Order[Date],"&gt;="&amp;DATE(YEAR($C$5),MONTH($C$5),1),Primary_Order[Date],"&lt;="&amp;$C$5,Primary_Order[AM],Area_wise[[#This Row],[AM/Others]],Primary_Order[Status],'Stock Report'!$A$1)</f>
        <v>44839.6</v>
      </c>
      <c r="G14" s="174">
        <f>SUMIFS(Primary_Order[Net Total(-15%)],Primary_Order[Date],"&gt;="&amp;DATE(YEAR($C$5),MONTH($C$5),1),Primary_Order[Date],"&lt;="&amp;$C$5,Primary_Order[AM],Area_wise[[#This Row],[AM/Others]],Primary_Order[Status],'Stock Report'!$A$1)</f>
        <v>16171782.608695652</v>
      </c>
      <c r="H14" s="175">
        <f>IFERROR(Area_wise[[#This Row],[Revenue.]]/Area_wise[[#This Row],[Volume(Ltr).]],0)</f>
        <v>360.65849402527346</v>
      </c>
      <c r="I14" s="173">
        <f>SUMIFS(Primary_Order[Total Volume],Primary_Order[Date],"&gt;="&amp;DATE(YEAR($C$5),1,1),Primary_Order[Date],"&lt;="&amp;$C$5,Primary_Order[AM],Area_wise[[#This Row],[AM/Others]],Primary_Order[Status],'Stock Report'!$A$1)</f>
        <v>107333.99999999999</v>
      </c>
      <c r="J14" s="174">
        <f>SUMIFS(Primary_Order[Net Total(-15%)],Primary_Order[Date],"&gt;="&amp;DATE(YEAR($C$5),1,1),Primary_Order[Date],"&lt;="&amp;$C$5,Primary_Order[AM],Area_wise[[#This Row],[AM/Others]],Primary_Order[Status],'Stock Report'!$A$1)</f>
        <v>47603980.869565226</v>
      </c>
      <c r="K14" s="177">
        <f>IFERROR(Area_wise[[#This Row],[Revenue`]]/Area_wise[[#This Row],[Volume(Ltr)`]],0)</f>
        <v>443.51259497983148</v>
      </c>
    </row>
    <row r="15" spans="1:15" x14ac:dyDescent="0.5">
      <c r="B15" s="172" t="s">
        <v>28</v>
      </c>
      <c r="C15" s="173">
        <f>SUMIFS(Primary_Order[Total Volume],Primary_Order[Date],$C$5,Primary_Order[AM],Area_wise[[#This Row],[AM/Others]],Primary_Order[Status],'Stock Report'!$A$1)</f>
        <v>0</v>
      </c>
      <c r="D15" s="174">
        <f>SUMIFS(Primary_Order[Net Total(-15%)],Primary_Order[Date],$C$5,Primary_Order[AM],Area_wise[[#This Row],[AM/Others]],Primary_Order[Status],'Stock Report'!$A$1)</f>
        <v>0</v>
      </c>
      <c r="E15" s="175">
        <f>IFERROR(Area_wise[[#This Row],[Revenue]]/Area_wise[[#This Row],[Volume(Ltr)]],0)</f>
        <v>0</v>
      </c>
      <c r="F15" s="173">
        <f>SUMIFS(Primary_Order[Total Volume],Primary_Order[Date],"&gt;="&amp;DATE(YEAR($C$5),MONTH($C$5),1),Primary_Order[Date],"&lt;="&amp;$C$5,Primary_Order[AM],Area_wise[[#This Row],[AM/Others]],Primary_Order[Status],'Stock Report'!$A$1)</f>
        <v>3527.6</v>
      </c>
      <c r="G15" s="174">
        <f>SUMIFS(Primary_Order[Net Total(-15%)],Primary_Order[Date],"&gt;="&amp;DATE(YEAR($C$5),MONTH($C$5),1),Primary_Order[Date],"&lt;="&amp;$C$5,Primary_Order[AM],Area_wise[[#This Row],[AM/Others]],Primary_Order[Status],'Stock Report'!$A$1)</f>
        <v>1602173.9130434783</v>
      </c>
      <c r="H15" s="175">
        <f>IFERROR(Area_wise[[#This Row],[Revenue.]]/Area_wise[[#This Row],[Volume(Ltr).]],0)</f>
        <v>454.18242233911963</v>
      </c>
      <c r="I15" s="173">
        <f>SUMIFS(Primary_Order[Total Volume],Primary_Order[Date],"&gt;="&amp;DATE(YEAR($C$5),1,1),Primary_Order[Date],"&lt;="&amp;$C$5,Primary_Order[AM],Area_wise[[#This Row],[AM/Others]],Primary_Order[Status],'Stock Report'!$A$1)</f>
        <v>9444.2000000000007</v>
      </c>
      <c r="J15" s="174">
        <f>SUMIFS(Primary_Order[Net Total(-15%)],Primary_Order[Date],"&gt;="&amp;DATE(YEAR($C$5),1,1),Primary_Order[Date],"&lt;="&amp;$C$5,Primary_Order[AM],Area_wise[[#This Row],[AM/Others]])</f>
        <v>4605821.7391304318</v>
      </c>
      <c r="K15" s="177">
        <f>IFERROR(Area_wise[[#This Row],[Revenue`]]/Area_wise[[#This Row],[Volume(Ltr)`]],0)</f>
        <v>487.68786547621096</v>
      </c>
    </row>
    <row r="16" spans="1:15" x14ac:dyDescent="0.5">
      <c r="B16" s="172" t="s">
        <v>84</v>
      </c>
      <c r="C16" s="173">
        <f>SUMIFS(Primary_Order[Total Volume],Primary_Order[Date],$C$5,Primary_Order[AM],Area_wise[[#This Row],[AM/Others]],Primary_Order[Status],'Stock Report'!$A$1)</f>
        <v>0</v>
      </c>
      <c r="D16" s="174">
        <f>SUMIFS(Primary_Order[Net Total(-15%)],Primary_Order[Date],$C$5,Primary_Order[AM],Area_wise[[#This Row],[AM/Others]],Primary_Order[Status],'Stock Report'!$A$1)</f>
        <v>0</v>
      </c>
      <c r="E16" s="175">
        <f>IFERROR(Area_wise[[#This Row],[Revenue]]/Area_wise[[#This Row],[Volume(Ltr)]],0)</f>
        <v>0</v>
      </c>
      <c r="F16" s="173">
        <f>SUMIFS(Primary_Order[Total Volume],Primary_Order[Date],"&gt;="&amp;DATE(YEAR($C$5),MONTH($C$5),1),Primary_Order[Date],"&lt;="&amp;$C$5,Primary_Order[AM],Area_wise[[#This Row],[AM/Others]],Primary_Order[Status],'Stock Report'!$A$1)</f>
        <v>2472</v>
      </c>
      <c r="G16" s="174">
        <f>SUMIFS(Primary_Order[Net Total(-15%)],Primary_Order[Date],"&gt;="&amp;DATE(YEAR($C$5),MONTH($C$5),1),Primary_Order[Date],"&lt;="&amp;$C$5,Primary_Order[AM],Area_wise[[#This Row],[AM/Others]],Primary_Order[Status],'Stock Report'!$A$1)</f>
        <v>1134834.7826086958</v>
      </c>
      <c r="H16" s="175">
        <f>IFERROR(Area_wise[[#This Row],[Revenue.]]/Area_wise[[#This Row],[Volume(Ltr).]],0)</f>
        <v>459.07555930772486</v>
      </c>
      <c r="I16" s="173">
        <f>SUMIFS(Primary_Order[Total Volume],Primary_Order[Date],"&gt;="&amp;DATE(YEAR($C$5),1,1),Primary_Order[Date],"&lt;="&amp;$C$5,Primary_Order[AM],Area_wise[[#This Row],[AM/Others]],Primary_Order[Status],'Stock Report'!$A$1)</f>
        <v>14564.6</v>
      </c>
      <c r="J16" s="174">
        <f>SUMIFS(Primary_Order[Net Total(-15%)],Primary_Order[Date],"&gt;="&amp;DATE(YEAR($C$5),1,1),Primary_Order[Date],"&lt;="&amp;$C$5,Primary_Order[AM],Area_wise[[#This Row],[AM/Others]])</f>
        <v>6683711.3043478234</v>
      </c>
      <c r="K16" s="177">
        <f>IFERROR(Area_wise[[#This Row],[Revenue`]]/Area_wise[[#This Row],[Volume(Ltr)`]],0)</f>
        <v>458.90112357001379</v>
      </c>
    </row>
    <row r="17" spans="1:11" hidden="1" x14ac:dyDescent="0.5">
      <c r="B17" s="172" t="s">
        <v>51</v>
      </c>
      <c r="C17" s="173">
        <f>SUMIFS(Primary_Order[Total Volume],Primary_Order[Date],$C$5,Primary_Order[AM],Area_wise[[#This Row],[AM/Others]],Primary_Order[Status],'Stock Report'!$A$1)</f>
        <v>0</v>
      </c>
      <c r="D17" s="174">
        <f>SUMIFS(Primary_Order[Net Total(-15%)],Primary_Order[Date],$C$5,Primary_Order[AM],Area_wise[[#This Row],[AM/Others]],Primary_Order[Status],'Stock Report'!$A$1)</f>
        <v>0</v>
      </c>
      <c r="E17" s="175">
        <f>IFERROR(Area_wise[[#This Row],[Revenue]]/Area_wise[[#This Row],[Volume(Ltr)]],0)</f>
        <v>0</v>
      </c>
      <c r="F17" s="173">
        <f>SUMIFS(Primary_Order[Total Volume],Primary_Order[Date],"&gt;="&amp;DATE(YEAR($C$5),MONTH($C$5),1),Primary_Order[Date],"&lt;="&amp;$C$5,Primary_Order[AM],Area_wise[[#This Row],[AM/Others]],Primary_Order[Status],'Stock Report'!$A$1)</f>
        <v>0</v>
      </c>
      <c r="G17" s="174">
        <f>SUMIFS(Primary_Order[Net Total(-15%)],Primary_Order[Date],"&gt;="&amp;DATE(YEAR($C$5),MONTH($C$5),1),Primary_Order[Date],"&lt;="&amp;$C$5,Primary_Order[AM],Area_wise[[#This Row],[AM/Others]],Primary_Order[Status],'Stock Report'!$A$1)</f>
        <v>0</v>
      </c>
      <c r="H17" s="175">
        <f>IFERROR(Area_wise[[#This Row],[Revenue.]]/Area_wise[[#This Row],[Volume(Ltr).]],0)</f>
        <v>0</v>
      </c>
      <c r="I17" s="173">
        <f>SUMIFS(Primary_Order[Total Volume],Primary_Order[Date],"&gt;="&amp;DATE(YEAR($C$5),1,1),Primary_Order[Date],"&lt;="&amp;$C$5,Primary_Order[AM],Area_wise[[#This Row],[AM/Others]],Primary_Order[Status],'Stock Report'!$A$1)</f>
        <v>0</v>
      </c>
      <c r="J17" s="174">
        <f>SUMIFS(Primary_Order[Net Total(-15%)],Primary_Order[Date],"&gt;="&amp;DATE(YEAR($C$5),1,1),Primary_Order[Date],"&lt;="&amp;$C$5,Primary_Order[AM],Area_wise[[#This Row],[AM/Others]])</f>
        <v>0</v>
      </c>
      <c r="K17" s="177">
        <f>IFERROR(Area_wise[[#This Row],[Revenue`]]/Area_wise[[#This Row],[Volume(Ltr)`]],0)</f>
        <v>0</v>
      </c>
    </row>
    <row r="18" spans="1:11" x14ac:dyDescent="0.5">
      <c r="B18" s="178" t="s">
        <v>87</v>
      </c>
      <c r="C18" s="179">
        <f>SUMIFS(Primary_Order[Total Volume],Primary_Order[Date],$C$5,Primary_Order[AM],Area_wise[[#This Row],[AM/Others]],Primary_Order[Status],'Stock Report'!$A$1)</f>
        <v>400</v>
      </c>
      <c r="D18" s="180">
        <f>SUMIFS(Primary_Order[Net Total(-15%)],Primary_Order[Date],$C$5,Primary_Order[AM],Area_wise[[#This Row],[AM/Others]],Primary_Order[Status],'Stock Report'!$A$1)</f>
        <v>260869.5652173913</v>
      </c>
      <c r="E18" s="181">
        <f>IFERROR(Area_wise[[#This Row],[Revenue]]/Area_wise[[#This Row],[Volume(Ltr)]],0)</f>
        <v>652.17391304347825</v>
      </c>
      <c r="F18" s="179">
        <f>SUMIFS(Primary_Order[Total Volume],Primary_Order[Date],"&gt;="&amp;DATE(YEAR($C$5),MONTH($C$5),1),Primary_Order[Date],"&lt;="&amp;$C$5,Primary_Order[AM],Area_wise[[#This Row],[AM/Others]],Primary_Order[Status],'Stock Report'!$A$1)</f>
        <v>3843</v>
      </c>
      <c r="G18" s="180">
        <f>SUMIFS(Primary_Order[Net Total(-15%)],Primary_Order[Date],"&gt;="&amp;DATE(YEAR($C$5),MONTH($C$5),1),Primary_Order[Date],"&lt;="&amp;$C$5,Primary_Order[AM],Area_wise[[#This Row],[AM/Others]],Primary_Order[Status],'Stock Report'!$A$1)</f>
        <v>1696017.3913043481</v>
      </c>
      <c r="H18" s="181">
        <f>IFERROR(Area_wise[[#This Row],[Revenue.]]/Area_wise[[#This Row],[Volume(Ltr).]],0)</f>
        <v>441.32640939483429</v>
      </c>
      <c r="I18" s="179">
        <f>SUMIFS(Primary_Order[Total Volume],Primary_Order[Date],"&gt;="&amp;DATE(YEAR($C$5),1,1),Primary_Order[Date],"&lt;="&amp;$C$5,Primary_Order[AM],Area_wise[[#This Row],[AM/Others]],Primary_Order[Status],'Stock Report'!$A$1)</f>
        <v>79779.925000000003</v>
      </c>
      <c r="J18" s="180">
        <f>SUMIFS(Primary_Order[Net Total(-15%)],Primary_Order[Date],"&gt;="&amp;DATE(YEAR($C$5),1,1),Primary_Order[Date],"&lt;="&amp;$C$5,Primary_Order[AM],Area_wise[[#This Row],[AM/Others]])</f>
        <v>48299756.521739118</v>
      </c>
      <c r="K18" s="183">
        <f>IFERROR(Area_wise[[#This Row],[Revenue`]]/Area_wise[[#This Row],[Volume(Ltr)`]],0)</f>
        <v>605.41240821847248</v>
      </c>
    </row>
    <row r="19" spans="1:11" ht="17" thickBot="1" x14ac:dyDescent="0.55000000000000004">
      <c r="B19" s="281" t="s">
        <v>206</v>
      </c>
      <c r="C19" s="285">
        <f>SUM(C14:C18)</f>
        <v>8695</v>
      </c>
      <c r="D19" s="284">
        <f>SUM(D14:D18)</f>
        <v>1776521.7391304348</v>
      </c>
      <c r="E19" s="282">
        <f t="shared" ref="E19" si="0">IFERROR(D19/C19,0)</f>
        <v>204.31532364927369</v>
      </c>
      <c r="F19" s="285">
        <f>SUM(F14:F18)</f>
        <v>54682.2</v>
      </c>
      <c r="G19" s="284">
        <f>SUM(G14:G18)</f>
        <v>20604808.695652172</v>
      </c>
      <c r="H19" s="282">
        <f t="shared" ref="H19" si="1">IFERROR(G19/F19,0)</f>
        <v>376.81016300829469</v>
      </c>
      <c r="I19" s="285">
        <f>SUM(I14:I18)</f>
        <v>211122.72499999998</v>
      </c>
      <c r="J19" s="284">
        <f>SUM(J14:J18)</f>
        <v>107193270.43478259</v>
      </c>
      <c r="K19" s="283">
        <f t="shared" ref="K19" si="2">IFERROR(J19/I19,0)</f>
        <v>507.72966498411103</v>
      </c>
    </row>
    <row r="20" spans="1:11" ht="16.5" thickBot="1" x14ac:dyDescent="0.55000000000000004">
      <c r="B20" s="483"/>
      <c r="C20" s="483"/>
      <c r="D20" s="483"/>
      <c r="E20" s="483"/>
      <c r="F20" s="483"/>
      <c r="G20" s="483"/>
      <c r="H20" s="483"/>
      <c r="I20" s="483"/>
      <c r="J20" s="483"/>
      <c r="K20" s="483"/>
    </row>
    <row r="21" spans="1:11" x14ac:dyDescent="0.5">
      <c r="B21" s="463" t="s">
        <v>927</v>
      </c>
      <c r="C21" s="471" t="s">
        <v>203</v>
      </c>
      <c r="D21" s="472"/>
      <c r="E21" s="473"/>
      <c r="F21" s="474" t="s">
        <v>205</v>
      </c>
      <c r="G21" s="472"/>
      <c r="H21" s="473"/>
      <c r="I21" s="484" t="s">
        <v>204</v>
      </c>
      <c r="J21" s="485"/>
      <c r="K21" s="486"/>
    </row>
    <row r="22" spans="1:11" ht="16.5" thickBot="1" x14ac:dyDescent="0.55000000000000004">
      <c r="B22" s="464"/>
      <c r="C22" s="475">
        <f>'Sales Report'!$C$5</f>
        <v>45777</v>
      </c>
      <c r="D22" s="476"/>
      <c r="E22" s="477"/>
      <c r="F22" s="478" t="str">
        <f>TEXT(C22,"mmmm")</f>
        <v>April</v>
      </c>
      <c r="G22" s="479"/>
      <c r="H22" s="480"/>
      <c r="I22" s="487">
        <f>YEAR($C$5)</f>
        <v>2025</v>
      </c>
      <c r="J22" s="488"/>
      <c r="K22" s="489"/>
    </row>
    <row r="23" spans="1:11" x14ac:dyDescent="0.5">
      <c r="A23" s="198" t="s">
        <v>422</v>
      </c>
      <c r="B23" s="184" t="s">
        <v>710</v>
      </c>
      <c r="C23" s="185" t="s">
        <v>207</v>
      </c>
      <c r="D23" s="166" t="s">
        <v>201</v>
      </c>
      <c r="E23" s="167" t="s">
        <v>202</v>
      </c>
      <c r="F23" s="168" t="s">
        <v>921</v>
      </c>
      <c r="G23" s="166" t="s">
        <v>923</v>
      </c>
      <c r="H23" s="167" t="s">
        <v>922</v>
      </c>
      <c r="I23" s="185" t="s">
        <v>924</v>
      </c>
      <c r="J23" s="166" t="s">
        <v>925</v>
      </c>
      <c r="K23" s="186" t="s">
        <v>926</v>
      </c>
    </row>
    <row r="24" spans="1:11" x14ac:dyDescent="0.5">
      <c r="A24" s="199" t="s">
        <v>97</v>
      </c>
      <c r="B24" s="172" t="str">
        <f>VLOOKUP(A24,MMD[[MMD ID]:[MMD Name]],2,0)</f>
        <v>M/S Hasan Traders</v>
      </c>
      <c r="C24" s="173">
        <f>SUMIFS(Primary_Order[Total Volume],Primary_Order[Date],$C$5,Primary_Order[MMD ID],Dealer_wise[[#This Row],[ID]],Primary_Order[Status],'Stock Report'!$A$1)</f>
        <v>0</v>
      </c>
      <c r="D24" s="174">
        <f>SUMIFS(Primary_Order[Net Total(-15%)],Primary_Order[Date],$C$5,Primary_Order[MMD ID],Dealer_wise[[#This Row],[ID]],Primary_Order[Status],'Stock Report'!$A$1)</f>
        <v>0</v>
      </c>
      <c r="E24" s="175">
        <f>IFERROR(Dealer_wise[[#This Row],[Revenue]]/Dealer_wise[[#This Row],[Volume(Ltr)]],0)</f>
        <v>0</v>
      </c>
      <c r="F24" s="173">
        <f>SUMIFS(Primary_Order[Total Volume],Primary_Order[Date],"&gt;="&amp;DATE(YEAR($C$5),MONTH($C$5),1),Primary_Order[Date],"&lt;="&amp;$C$5,Primary_Order[MMD ID],Dealer_wise[[#This Row],[ID]],Primary_Order[Status],'Stock Report'!$A$1)</f>
        <v>14040.4</v>
      </c>
      <c r="G24" s="174">
        <f>SUMIFS(Primary_Order[Net Total(-15%)],Primary_Order[Date],"&gt;="&amp;DATE(YEAR($C$5),MONTH($C$5),1),Primary_Order[Date],"&lt;="&amp;$C$5,Primary_Order[MMD ID],Dealer_wise[[#This Row],[ID]],Primary_Order[Status],'Stock Report'!$A$1)</f>
        <v>6046878.2608695654</v>
      </c>
      <c r="H24" s="175">
        <f>IFERROR(Dealer_wise[[#This Row],[Revenue.]]/Dealer_wise[[#This Row],[Volume(Ltr).]],0)</f>
        <v>430.67706481792294</v>
      </c>
      <c r="I24" s="176">
        <f>SUMIFS(Primary_Order[Total Volume],Primary_Order[Date],"&gt;="&amp;DATE(YEAR($C$5),1,1),Primary_Order[Date],"&lt;="&amp;$C$5,Primary_Order[MMD ID],Dealer_wise[[#This Row],[ID]],Primary_Order[Status],'Stock Report'!$A$1)</f>
        <v>25260.400000000001</v>
      </c>
      <c r="J24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11295939.130434781</v>
      </c>
      <c r="K24" s="177">
        <f>IFERROR(Dealer_wise[[#This Row],[Revenue`]]/Dealer_wise[[#This Row],[Volume(Ltr)`]],0)</f>
        <v>447.17974103477303</v>
      </c>
    </row>
    <row r="25" spans="1:11" hidden="1" x14ac:dyDescent="0.5">
      <c r="A25" s="199" t="s">
        <v>170</v>
      </c>
      <c r="B25" s="172" t="str">
        <f>VLOOKUP(A25,MMD[[MMD ID]:[MMD Name]],2,0)</f>
        <v>M/S Talukder Enterprise</v>
      </c>
      <c r="C25" s="173">
        <f>SUMIFS(Primary_Order[Total Volume],Primary_Order[Date],$C$5,Primary_Order[MMD ID],Dealer_wise[[#This Row],[ID]],Primary_Order[Status],'Stock Report'!$A$1)</f>
        <v>0</v>
      </c>
      <c r="D25" s="174">
        <f>SUMIFS(Primary_Order[Net Total(-15%)],Primary_Order[Date],$C$5,Primary_Order[MMD ID],Dealer_wise[[#This Row],[ID]],Primary_Order[Status],'Stock Report'!$A$1)</f>
        <v>0</v>
      </c>
      <c r="E25" s="175">
        <f>IFERROR(Dealer_wise[[#This Row],[Revenue]]/Dealer_wise[[#This Row],[Volume(Ltr)]],0)</f>
        <v>0</v>
      </c>
      <c r="F25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25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25" s="175">
        <f>IFERROR(Dealer_wise[[#This Row],[Revenue.]]/Dealer_wise[[#This Row],[Volume(Ltr).]],0)</f>
        <v>0</v>
      </c>
      <c r="I25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25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25" s="177">
        <f>IFERROR(Dealer_wise[[#This Row],[Revenue`]]/Dealer_wise[[#This Row],[Volume(Ltr)`]],0)</f>
        <v>0</v>
      </c>
    </row>
    <row r="26" spans="1:11" x14ac:dyDescent="0.5">
      <c r="A26" s="199" t="s">
        <v>102</v>
      </c>
      <c r="B26" s="172" t="str">
        <f>VLOOKUP(A26,MMD[[MMD ID]:[MMD Name]],2,0)</f>
        <v>Bajaj Parts Center</v>
      </c>
      <c r="C26" s="173">
        <f>SUMIFS(Primary_Order[Total Volume],Primary_Order[Date],$C$5,Primary_Order[MMD ID],Dealer_wise[[#This Row],[ID]],Primary_Order[Status],'Stock Report'!$A$1)</f>
        <v>0</v>
      </c>
      <c r="D26" s="174">
        <f>SUMIFS(Primary_Order[Net Total(-15%)],Primary_Order[Date],$C$5,Primary_Order[MMD ID],Dealer_wise[[#This Row],[ID]],Primary_Order[Status],'Stock Report'!$A$1)</f>
        <v>0</v>
      </c>
      <c r="E26" s="175">
        <f>IFERROR(Dealer_wise[[#This Row],[Revenue]]/Dealer_wise[[#This Row],[Volume(Ltr)]],0)</f>
        <v>0</v>
      </c>
      <c r="F26" s="173">
        <f>SUMIFS(Primary_Order[Total Volume],Primary_Order[Date],"&gt;="&amp;DATE(YEAR($C$5),MONTH($C$5),1),Primary_Order[Date],"&lt;="&amp;$C$5,Primary_Order[MMD ID],Dealer_wise[[#This Row],[ID]],Primary_Order[Status],'Stock Report'!$A$1)</f>
        <v>736</v>
      </c>
      <c r="G26" s="174">
        <f>SUMIFS(Primary_Order[Net Total(-15%)],Primary_Order[Date],"&gt;="&amp;DATE(YEAR($C$5),MONTH($C$5),1),Primary_Order[Date],"&lt;="&amp;$C$5,Primary_Order[MMD ID],Dealer_wise[[#This Row],[ID]],Primary_Order[Status],'Stock Report'!$A$1)</f>
        <v>342695.65217391308</v>
      </c>
      <c r="H26" s="175">
        <f>IFERROR(Dealer_wise[[#This Row],[Revenue.]]/Dealer_wise[[#This Row],[Volume(Ltr).]],0)</f>
        <v>465.61909262759929</v>
      </c>
      <c r="I26" s="176">
        <f>SUMIFS(Primary_Order[Total Volume],Primary_Order[Date],"&gt;="&amp;DATE(YEAR($C$5),1,1),Primary_Order[Date],"&lt;="&amp;$C$5,Primary_Order[MMD ID],Dealer_wise[[#This Row],[ID]],Primary_Order[Status],'Stock Report'!$A$1)</f>
        <v>3024</v>
      </c>
      <c r="J26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1440034.782608696</v>
      </c>
      <c r="K26" s="177">
        <f>IFERROR(Dealer_wise[[#This Row],[Revenue`]]/Dealer_wise[[#This Row],[Volume(Ltr)`]],0)</f>
        <v>476.20197837589154</v>
      </c>
    </row>
    <row r="27" spans="1:11" hidden="1" x14ac:dyDescent="0.5">
      <c r="A27" s="199" t="s">
        <v>122</v>
      </c>
      <c r="B27" s="172" t="str">
        <f>VLOOKUP(A27,MMD[[MMD ID]:[MMD Name]],2,0)</f>
        <v>Lube &amp; Gear</v>
      </c>
      <c r="C27" s="173">
        <f>SUMIFS(Primary_Order[Total Volume],Primary_Order[Date],$C$5,Primary_Order[MMD ID],Dealer_wise[[#This Row],[ID]],Primary_Order[Status],'Stock Report'!$A$1)</f>
        <v>0</v>
      </c>
      <c r="D27" s="174">
        <f>SUMIFS(Primary_Order[Net Total(-15%)],Primary_Order[Date],$C$5,Primary_Order[MMD ID],Dealer_wise[[#This Row],[ID]],Primary_Order[Status],'Stock Report'!$A$1)</f>
        <v>0</v>
      </c>
      <c r="E27" s="175">
        <f>IFERROR(Dealer_wise[[#This Row],[Revenue]]/Dealer_wise[[#This Row],[Volume(Ltr)]],0)</f>
        <v>0</v>
      </c>
      <c r="F27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27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27" s="175">
        <f>IFERROR(Dealer_wise[[#This Row],[Revenue.]]/Dealer_wise[[#This Row],[Volume(Ltr).]],0)</f>
        <v>0</v>
      </c>
      <c r="I27" s="176">
        <f>SUMIFS(Primary_Order[Total Volume],Primary_Order[Date],"&gt;="&amp;DATE(YEAR($C$5),1,1),Primary_Order[Date],"&lt;="&amp;$C$5,Primary_Order[MMD ID],Dealer_wise[[#This Row],[ID]],Primary_Order[Status],'Stock Report'!$A$1)</f>
        <v>9664</v>
      </c>
      <c r="J27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5242226.0869565215</v>
      </c>
      <c r="K27" s="177">
        <f>IFERROR(Dealer_wise[[#This Row],[Revenue`]]/Dealer_wise[[#This Row],[Volume(Ltr)`]],0)</f>
        <v>542.44889144831552</v>
      </c>
    </row>
    <row r="28" spans="1:11" hidden="1" x14ac:dyDescent="0.5">
      <c r="A28" s="199" t="s">
        <v>139</v>
      </c>
      <c r="B28" s="172" t="str">
        <f>VLOOKUP(A28,MMD[[MMD ID]:[MMD Name]],2,0)</f>
        <v>Alam Traders</v>
      </c>
      <c r="C28" s="173">
        <f>SUMIFS(Primary_Order[Total Volume],Primary_Order[Date],$C$5,Primary_Order[MMD ID],Dealer_wise[[#This Row],[ID]],Primary_Order[Status],'Stock Report'!$A$1)</f>
        <v>0</v>
      </c>
      <c r="D28" s="174">
        <f>SUMIFS(Primary_Order[Net Total(-15%)],Primary_Order[Date],$C$5,Primary_Order[MMD ID],Dealer_wise[[#This Row],[ID]],Primary_Order[Status],'Stock Report'!$A$1)</f>
        <v>0</v>
      </c>
      <c r="E28" s="175">
        <f>IFERROR(Dealer_wise[[#This Row],[Revenue]]/Dealer_wise[[#This Row],[Volume(Ltr)]],0)</f>
        <v>0</v>
      </c>
      <c r="F28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28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28" s="175">
        <f>IFERROR(Dealer_wise[[#This Row],[Revenue.]]/Dealer_wise[[#This Row],[Volume(Ltr).]],0)</f>
        <v>0</v>
      </c>
      <c r="I28" s="176">
        <f>SUMIFS(Primary_Order[Total Volume],Primary_Order[Date],"&gt;="&amp;DATE(YEAR($C$5),1,1),Primary_Order[Date],"&lt;="&amp;$C$5,Primary_Order[MMD ID],Dealer_wise[[#This Row],[ID]],Primary_Order[Status],'Stock Report'!$A$1)</f>
        <v>5744</v>
      </c>
      <c r="J28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2479965.2173913047</v>
      </c>
      <c r="K28" s="177">
        <f>IFERROR(Dealer_wise[[#This Row],[Revenue`]]/Dealer_wise[[#This Row],[Volume(Ltr)`]],0)</f>
        <v>431.74881918372296</v>
      </c>
    </row>
    <row r="29" spans="1:11" x14ac:dyDescent="0.5">
      <c r="A29" s="199" t="s">
        <v>90</v>
      </c>
      <c r="B29" s="172" t="str">
        <f>VLOOKUP(A29,MMD[[MMD ID]:[MMD Name]],2,0)</f>
        <v>Maliha Enterprise</v>
      </c>
      <c r="C29" s="173">
        <f>SUMIFS(Primary_Order[Total Volume],Primary_Order[Date],$C$5,Primary_Order[MMD ID],Dealer_wise[[#This Row],[ID]],Primary_Order[Status],'Stock Report'!$A$1)</f>
        <v>0</v>
      </c>
      <c r="D29" s="174">
        <f>SUMIFS(Primary_Order[Net Total(-15%)],Primary_Order[Date],$C$5,Primary_Order[MMD ID],Dealer_wise[[#This Row],[ID]],Primary_Order[Status],'Stock Report'!$A$1)</f>
        <v>0</v>
      </c>
      <c r="E29" s="175">
        <f>IFERROR(Dealer_wise[[#This Row],[Revenue]]/Dealer_wise[[#This Row],[Volume(Ltr)]],0)</f>
        <v>0</v>
      </c>
      <c r="F29" s="173">
        <f>SUMIFS(Primary_Order[Total Volume],Primary_Order[Date],"&gt;="&amp;DATE(YEAR($C$5),MONTH($C$5),1),Primary_Order[Date],"&lt;="&amp;$C$5,Primary_Order[MMD ID],Dealer_wise[[#This Row],[ID]],Primary_Order[Status],'Stock Report'!$A$1)</f>
        <v>1444</v>
      </c>
      <c r="G29" s="174">
        <f>SUMIFS(Primary_Order[Net Total(-15%)],Primary_Order[Date],"&gt;="&amp;DATE(YEAR($C$5),MONTH($C$5),1),Primary_Order[Date],"&lt;="&amp;$C$5,Primary_Order[MMD ID],Dealer_wise[[#This Row],[ID]],Primary_Order[Status],'Stock Report'!$A$1)</f>
        <v>699634.78260869568</v>
      </c>
      <c r="H29" s="175">
        <f>IFERROR(Dealer_wise[[#This Row],[Revenue.]]/Dealer_wise[[#This Row],[Volume(Ltr).]],0)</f>
        <v>484.51162230519094</v>
      </c>
      <c r="I29" s="176">
        <f>SUMIFS(Primary_Order[Total Volume],Primary_Order[Date],"&gt;="&amp;DATE(YEAR($C$5),1,1),Primary_Order[Date],"&lt;="&amp;$C$5,Primary_Order[MMD ID],Dealer_wise[[#This Row],[ID]],Primary_Order[Status],'Stock Report'!$A$1)</f>
        <v>11244</v>
      </c>
      <c r="J29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5420800.0000000009</v>
      </c>
      <c r="K29" s="177">
        <f>IFERROR(Dealer_wise[[#This Row],[Revenue`]]/Dealer_wise[[#This Row],[Volume(Ltr)`]],0)</f>
        <v>482.10601209533979</v>
      </c>
    </row>
    <row r="30" spans="1:11" x14ac:dyDescent="0.5">
      <c r="A30" s="199" t="s">
        <v>69</v>
      </c>
      <c r="B30" s="172" t="str">
        <f>VLOOKUP(A30,MMD[[MMD ID]:[MMD Name]],2,0)</f>
        <v>Maa Auto</v>
      </c>
      <c r="C30" s="173">
        <f>SUMIFS(Primary_Order[Total Volume],Primary_Order[Date],$C$5,Primary_Order[MMD ID],Dealer_wise[[#This Row],[ID]],Primary_Order[Status],'Stock Report'!$A$1)</f>
        <v>0</v>
      </c>
      <c r="D30" s="174">
        <f>SUMIFS(Primary_Order[Net Total(-15%)],Primary_Order[Date],$C$5,Primary_Order[MMD ID],Dealer_wise[[#This Row],[ID]],Primary_Order[Status],'Stock Report'!$A$1)</f>
        <v>0</v>
      </c>
      <c r="E30" s="175">
        <f>IFERROR(Dealer_wise[[#This Row],[Revenue]]/Dealer_wise[[#This Row],[Volume(Ltr)]],0)</f>
        <v>0</v>
      </c>
      <c r="F30" s="173">
        <f>SUMIFS(Primary_Order[Total Volume],Primary_Order[Date],"&gt;="&amp;DATE(YEAR($C$5),MONTH($C$5),1),Primary_Order[Date],"&lt;="&amp;$C$5,Primary_Order[MMD ID],Dealer_wise[[#This Row],[ID]],Primary_Order[Status],'Stock Report'!$A$1)</f>
        <v>700</v>
      </c>
      <c r="G30" s="174">
        <f>SUMIFS(Primary_Order[Net Total(-15%)],Primary_Order[Date],"&gt;="&amp;DATE(YEAR($C$5),MONTH($C$5),1),Primary_Order[Date],"&lt;="&amp;$C$5,Primary_Order[MMD ID],Dealer_wise[[#This Row],[ID]],Primary_Order[Status],'Stock Report'!$A$1)</f>
        <v>281739.13043478259</v>
      </c>
      <c r="H30" s="175">
        <f>IFERROR(Dealer_wise[[#This Row],[Revenue.]]/Dealer_wise[[#This Row],[Volume(Ltr).]],0)</f>
        <v>402.48447204968943</v>
      </c>
      <c r="I30" s="176">
        <f>SUMIFS(Primary_Order[Total Volume],Primary_Order[Date],"&gt;="&amp;DATE(YEAR($C$5),1,1),Primary_Order[Date],"&lt;="&amp;$C$5,Primary_Order[MMD ID],Dealer_wise[[#This Row],[ID]],Primary_Order[Status],'Stock Report'!$A$1)</f>
        <v>700</v>
      </c>
      <c r="J30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281739.13043478259</v>
      </c>
      <c r="K30" s="177">
        <f>IFERROR(Dealer_wise[[#This Row],[Revenue`]]/Dealer_wise[[#This Row],[Volume(Ltr)`]],0)</f>
        <v>402.48447204968943</v>
      </c>
    </row>
    <row r="31" spans="1:11" hidden="1" x14ac:dyDescent="0.5">
      <c r="A31" s="199" t="s">
        <v>162</v>
      </c>
      <c r="B31" s="172" t="str">
        <f>VLOOKUP(A31,MMD[[MMD ID]:[MMD Name]],2,0)</f>
        <v>Reliant Trading</v>
      </c>
      <c r="C31" s="173">
        <f>SUMIFS(Primary_Order[Total Volume],Primary_Order[Date],$C$5,Primary_Order[MMD ID],Dealer_wise[[#This Row],[ID]],Primary_Order[Status],'Stock Report'!$A$1)</f>
        <v>0</v>
      </c>
      <c r="D31" s="174">
        <f>SUMIFS(Primary_Order[Net Total(-15%)],Primary_Order[Date],$C$5,Primary_Order[MMD ID],Dealer_wise[[#This Row],[ID]],Primary_Order[Status],'Stock Report'!$A$1)</f>
        <v>0</v>
      </c>
      <c r="E31" s="175">
        <f>IFERROR(Dealer_wise[[#This Row],[Revenue]]/Dealer_wise[[#This Row],[Volume(Ltr)]],0)</f>
        <v>0</v>
      </c>
      <c r="F31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31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31" s="175">
        <f>IFERROR(Dealer_wise[[#This Row],[Revenue.]]/Dealer_wise[[#This Row],[Volume(Ltr).]],0)</f>
        <v>0</v>
      </c>
      <c r="I31" s="176">
        <f>SUMIFS(Primary_Order[Total Volume],Primary_Order[Date],"&gt;="&amp;DATE(YEAR($C$5),1,1),Primary_Order[Date],"&lt;="&amp;$C$5,Primary_Order[MMD ID],Dealer_wise[[#This Row],[ID]],Primary_Order[Status],'Stock Report'!$A$1)</f>
        <v>136</v>
      </c>
      <c r="J31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62121.739130434784</v>
      </c>
      <c r="K31" s="177">
        <f>IFERROR(Dealer_wise[[#This Row],[Revenue`]]/Dealer_wise[[#This Row],[Volume(Ltr)`]],0)</f>
        <v>456.77749360613814</v>
      </c>
    </row>
    <row r="32" spans="1:11" x14ac:dyDescent="0.5">
      <c r="A32" s="199" t="s">
        <v>116</v>
      </c>
      <c r="B32" s="172" t="str">
        <f>VLOOKUP(A32,MMD[[MMD ID]:[MMD Name]],2,0)</f>
        <v>Surma trading</v>
      </c>
      <c r="C32" s="173">
        <f>SUMIFS(Primary_Order[Total Volume],Primary_Order[Date],$C$5,Primary_Order[MMD ID],Dealer_wise[[#This Row],[ID]],Primary_Order[Status],'Stock Report'!$A$1)</f>
        <v>0</v>
      </c>
      <c r="D32" s="174">
        <f>SUMIFS(Primary_Order[Net Total(-15%)],Primary_Order[Date],$C$5,Primary_Order[MMD ID],Dealer_wise[[#This Row],[ID]],Primary_Order[Status],'Stock Report'!$A$1)</f>
        <v>0</v>
      </c>
      <c r="E32" s="175">
        <f>IFERROR(Dealer_wise[[#This Row],[Revenue]]/Dealer_wise[[#This Row],[Volume(Ltr)]],0)</f>
        <v>0</v>
      </c>
      <c r="F32" s="173">
        <f>SUMIFS(Primary_Order[Total Volume],Primary_Order[Date],"&gt;="&amp;DATE(YEAR($C$5),MONTH($C$5),1),Primary_Order[Date],"&lt;="&amp;$C$5,Primary_Order[MMD ID],Dealer_wise[[#This Row],[ID]],Primary_Order[Status],'Stock Report'!$A$1)</f>
        <v>300</v>
      </c>
      <c r="G32" s="174">
        <f>SUMIFS(Primary_Order[Net Total(-15%)],Primary_Order[Date],"&gt;="&amp;DATE(YEAR($C$5),MONTH($C$5),1),Primary_Order[Date],"&lt;="&amp;$C$5,Primary_Order[MMD ID],Dealer_wise[[#This Row],[ID]],Primary_Order[Status],'Stock Report'!$A$1)</f>
        <v>249913.04347826086</v>
      </c>
      <c r="H32" s="175">
        <f>IFERROR(Dealer_wise[[#This Row],[Revenue.]]/Dealer_wise[[#This Row],[Volume(Ltr).]],0)</f>
        <v>833.04347826086951</v>
      </c>
      <c r="I32" s="176">
        <f>SUMIFS(Primary_Order[Total Volume],Primary_Order[Date],"&gt;="&amp;DATE(YEAR($C$5),1,1),Primary_Order[Date],"&lt;="&amp;$C$5,Primary_Order[MMD ID],Dealer_wise[[#This Row],[ID]],Primary_Order[Status],'Stock Report'!$A$1)</f>
        <v>8988</v>
      </c>
      <c r="J32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4850434.7826086953</v>
      </c>
      <c r="K32" s="177">
        <f>IFERROR(Dealer_wise[[#This Row],[Revenue`]]/Dealer_wise[[#This Row],[Volume(Ltr)`]],0)</f>
        <v>539.6567403881503</v>
      </c>
    </row>
    <row r="33" spans="1:11" hidden="1" x14ac:dyDescent="0.5">
      <c r="A33" s="199" t="s">
        <v>118</v>
      </c>
      <c r="B33" s="172" t="str">
        <f>VLOOKUP(A33,MMD[[MMD ID]:[MMD Name]],2,0)</f>
        <v>City Trading</v>
      </c>
      <c r="C33" s="173">
        <f>SUMIFS(Primary_Order[Total Volume],Primary_Order[Date],$C$5,Primary_Order[MMD ID],Dealer_wise[[#This Row],[ID]],Primary_Order[Status],'Stock Report'!$A$1)</f>
        <v>0</v>
      </c>
      <c r="D33" s="174">
        <f>SUMIFS(Primary_Order[Net Total(-15%)],Primary_Order[Date],$C$5,Primary_Order[MMD ID],Dealer_wise[[#This Row],[ID]],Primary_Order[Status],'Stock Report'!$A$1)</f>
        <v>0</v>
      </c>
      <c r="E33" s="175">
        <f>IFERROR(Dealer_wise[[#This Row],[Revenue]]/Dealer_wise[[#This Row],[Volume(Ltr)]],0)</f>
        <v>0</v>
      </c>
      <c r="F33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33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33" s="175">
        <f>IFERROR(Dealer_wise[[#This Row],[Revenue.]]/Dealer_wise[[#This Row],[Volume(Ltr).]],0)</f>
        <v>0</v>
      </c>
      <c r="I33" s="176">
        <f>SUMIFS(Primary_Order[Total Volume],Primary_Order[Date],"&gt;="&amp;DATE(YEAR($C$5),1,1),Primary_Order[Date],"&lt;="&amp;$C$5,Primary_Order[MMD ID],Dealer_wise[[#This Row],[ID]],Primary_Order[Status],'Stock Report'!$A$1)</f>
        <v>644</v>
      </c>
      <c r="J33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303196.52173913043</v>
      </c>
      <c r="K33" s="177">
        <f>IFERROR(Dealer_wise[[#This Row],[Revenue`]]/Dealer_wise[[#This Row],[Volume(Ltr)`]],0)</f>
        <v>470.8020523899541</v>
      </c>
    </row>
    <row r="34" spans="1:11" hidden="1" x14ac:dyDescent="0.5">
      <c r="A34" s="199" t="s">
        <v>103</v>
      </c>
      <c r="B34" s="172" t="str">
        <f>VLOOKUP(A34,MMD[[MMD ID]:[MMD Name]],2,0)</f>
        <v>Tuba Motors</v>
      </c>
      <c r="C34" s="173">
        <f>SUMIFS(Primary_Order[Total Volume],Primary_Order[Date],$C$5,Primary_Order[MMD ID],Dealer_wise[[#This Row],[ID]],Primary_Order[Status],'Stock Report'!$A$1)</f>
        <v>0</v>
      </c>
      <c r="D34" s="174">
        <f>SUMIFS(Primary_Order[Net Total(-15%)],Primary_Order[Date],$C$5,Primary_Order[MMD ID],Dealer_wise[[#This Row],[ID]],Primary_Order[Status],'Stock Report'!$A$1)</f>
        <v>0</v>
      </c>
      <c r="E34" s="175">
        <f>IFERROR(Dealer_wise[[#This Row],[Revenue]]/Dealer_wise[[#This Row],[Volume(Ltr)]],0)</f>
        <v>0</v>
      </c>
      <c r="F34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34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34" s="175">
        <f>IFERROR(Dealer_wise[[#This Row],[Revenue.]]/Dealer_wise[[#This Row],[Volume(Ltr).]],0)</f>
        <v>0</v>
      </c>
      <c r="I34" s="176">
        <f>SUMIFS(Primary_Order[Total Volume],Primary_Order[Date],"&gt;="&amp;DATE(YEAR($C$5),1,1),Primary_Order[Date],"&lt;="&amp;$C$5,Primary_Order[MMD ID],Dealer_wise[[#This Row],[ID]],Primary_Order[Status],'Stock Report'!$A$1)</f>
        <v>676</v>
      </c>
      <c r="J34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339193.04347826086</v>
      </c>
      <c r="K34" s="177">
        <f>IFERROR(Dealer_wise[[#This Row],[Revenue`]]/Dealer_wise[[#This Row],[Volume(Ltr)`]],0)</f>
        <v>501.7648572163622</v>
      </c>
    </row>
    <row r="35" spans="1:11" hidden="1" x14ac:dyDescent="0.5">
      <c r="A35" s="199" t="s">
        <v>114</v>
      </c>
      <c r="B35" s="172" t="str">
        <f>VLOOKUP(A35,MMD[[MMD ID]:[MMD Name]],2,0)</f>
        <v>Al Bari Enterprise</v>
      </c>
      <c r="C35" s="173">
        <f>SUMIFS(Primary_Order[Total Volume],Primary_Order[Date],$C$5,Primary_Order[MMD ID],Dealer_wise[[#This Row],[ID]],Primary_Order[Status],'Stock Report'!$A$1)</f>
        <v>0</v>
      </c>
      <c r="D35" s="174">
        <f>SUMIFS(Primary_Order[Net Total(-15%)],Primary_Order[Date],$C$5,Primary_Order[MMD ID],Dealer_wise[[#This Row],[ID]],Primary_Order[Status],'Stock Report'!$A$1)</f>
        <v>0</v>
      </c>
      <c r="E35" s="175">
        <f>IFERROR(Dealer_wise[[#This Row],[Revenue]]/Dealer_wise[[#This Row],[Volume(Ltr)]],0)</f>
        <v>0</v>
      </c>
      <c r="F35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35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35" s="175">
        <f>IFERROR(Dealer_wise[[#This Row],[Revenue.]]/Dealer_wise[[#This Row],[Volume(Ltr).]],0)</f>
        <v>0</v>
      </c>
      <c r="I35" s="176">
        <f>SUMIFS(Primary_Order[Total Volume],Primary_Order[Date],"&gt;="&amp;DATE(YEAR($C$5),1,1),Primary_Order[Date],"&lt;="&amp;$C$5,Primary_Order[MMD ID],Dealer_wise[[#This Row],[ID]],Primary_Order[Status],'Stock Report'!$A$1)</f>
        <v>35</v>
      </c>
      <c r="J35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21391.304347826088</v>
      </c>
      <c r="K35" s="177">
        <f>IFERROR(Dealer_wise[[#This Row],[Revenue`]]/Dealer_wise[[#This Row],[Volume(Ltr)`]],0)</f>
        <v>611.18012422360255</v>
      </c>
    </row>
    <row r="36" spans="1:11" hidden="1" x14ac:dyDescent="0.5">
      <c r="A36" s="199" t="s">
        <v>115</v>
      </c>
      <c r="B36" s="172" t="str">
        <f>VLOOKUP(A36,MMD[[MMD ID]:[MMD Name]],2,0)</f>
        <v>Bhuiyan Corporation</v>
      </c>
      <c r="C36" s="173">
        <f>SUMIFS(Primary_Order[Total Volume],Primary_Order[Date],$C$5,Primary_Order[MMD ID],Dealer_wise[[#This Row],[ID]],Primary_Order[Status],'Stock Report'!$A$1)</f>
        <v>0</v>
      </c>
      <c r="D36" s="174">
        <f>SUMIFS(Primary_Order[Net Total(-15%)],Primary_Order[Date],$C$5,Primary_Order[MMD ID],Dealer_wise[[#This Row],[ID]],Primary_Order[Status],'Stock Report'!$A$1)</f>
        <v>0</v>
      </c>
      <c r="E36" s="175">
        <f>IFERROR(Dealer_wise[[#This Row],[Revenue]]/Dealer_wise[[#This Row],[Volume(Ltr)]],0)</f>
        <v>0</v>
      </c>
      <c r="F36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36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36" s="175">
        <f>IFERROR(Dealer_wise[[#This Row],[Revenue.]]/Dealer_wise[[#This Row],[Volume(Ltr).]],0)</f>
        <v>0</v>
      </c>
      <c r="I36" s="176">
        <f>SUMIFS(Primary_Order[Total Volume],Primary_Order[Date],"&gt;="&amp;DATE(YEAR($C$5),1,1),Primary_Order[Date],"&lt;="&amp;$C$5,Primary_Order[MMD ID],Dealer_wise[[#This Row],[ID]],Primary_Order[Status],'Stock Report'!$A$1)</f>
        <v>2351.4</v>
      </c>
      <c r="J36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1283478.2608695652</v>
      </c>
      <c r="K36" s="177">
        <f>IFERROR(Dealer_wise[[#This Row],[Revenue`]]/Dealer_wise[[#This Row],[Volume(Ltr)`]],0)</f>
        <v>545.83578330763169</v>
      </c>
    </row>
    <row r="37" spans="1:11" x14ac:dyDescent="0.5">
      <c r="A37" s="199" t="s">
        <v>100</v>
      </c>
      <c r="B37" s="172" t="str">
        <f>VLOOKUP(A37,MMD[[MMD ID]:[MMD Name]],2,0)</f>
        <v>City Lubricants</v>
      </c>
      <c r="C37" s="173">
        <f>SUMIFS(Primary_Order[Total Volume],Primary_Order[Date],$C$5,Primary_Order[MMD ID],Dealer_wise[[#This Row],[ID]],Primary_Order[Status],'Stock Report'!$A$1)</f>
        <v>0</v>
      </c>
      <c r="D37" s="174">
        <f>SUMIFS(Primary_Order[Net Total(-15%)],Primary_Order[Date],$C$5,Primary_Order[MMD ID],Dealer_wise[[#This Row],[ID]],Primary_Order[Status],'Stock Report'!$A$1)</f>
        <v>0</v>
      </c>
      <c r="E37" s="175">
        <f>IFERROR(Dealer_wise[[#This Row],[Revenue]]/Dealer_wise[[#This Row],[Volume(Ltr)]],0)</f>
        <v>0</v>
      </c>
      <c r="F37" s="173">
        <f>SUMIFS(Primary_Order[Total Volume],Primary_Order[Date],"&gt;="&amp;DATE(YEAR($C$5),MONTH($C$5),1),Primary_Order[Date],"&lt;="&amp;$C$5,Primary_Order[MMD ID],Dealer_wise[[#This Row],[ID]],Primary_Order[Status],'Stock Report'!$A$1)</f>
        <v>300</v>
      </c>
      <c r="G37" s="174">
        <f>SUMIFS(Primary_Order[Net Total(-15%)],Primary_Order[Date],"&gt;="&amp;DATE(YEAR($C$5),MONTH($C$5),1),Primary_Order[Date],"&lt;="&amp;$C$5,Primary_Order[MMD ID],Dealer_wise[[#This Row],[ID]],Primary_Order[Status],'Stock Report'!$A$1)</f>
        <v>112608.69565217392</v>
      </c>
      <c r="H37" s="175">
        <f>IFERROR(Dealer_wise[[#This Row],[Revenue.]]/Dealer_wise[[#This Row],[Volume(Ltr).]],0)</f>
        <v>375.36231884057975</v>
      </c>
      <c r="I37" s="176">
        <f>SUMIFS(Primary_Order[Total Volume],Primary_Order[Date],"&gt;="&amp;DATE(YEAR($C$5),1,1),Primary_Order[Date],"&lt;="&amp;$C$5,Primary_Order[MMD ID],Dealer_wise[[#This Row],[ID]],Primary_Order[Status],'Stock Report'!$A$1)</f>
        <v>1256</v>
      </c>
      <c r="J37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554786.08695652173</v>
      </c>
      <c r="K37" s="177">
        <f>IFERROR(Dealer_wise[[#This Row],[Revenue`]]/Dealer_wise[[#This Row],[Volume(Ltr)`]],0)</f>
        <v>441.70866795901412</v>
      </c>
    </row>
    <row r="38" spans="1:11" x14ac:dyDescent="0.5">
      <c r="A38" s="199" t="s">
        <v>123</v>
      </c>
      <c r="B38" s="172" t="str">
        <f>VLOOKUP(A38,MMD[[MMD ID]:[MMD Name]],2,0)</f>
        <v>MK Trading Corporation</v>
      </c>
      <c r="C38" s="173">
        <f>SUMIFS(Primary_Order[Total Volume],Primary_Order[Date],$C$5,Primary_Order[MMD ID],Dealer_wise[[#This Row],[ID]],Primary_Order[Status],'Stock Report'!$A$1)</f>
        <v>8295</v>
      </c>
      <c r="D38" s="174">
        <f>SUMIFS(Primary_Order[Net Total(-15%)],Primary_Order[Date],$C$5,Primary_Order[MMD ID],Dealer_wise[[#This Row],[ID]],Primary_Order[Status],'Stock Report'!$A$1)</f>
        <v>1515652.1739130435</v>
      </c>
      <c r="E38" s="175">
        <f>IFERROR(Dealer_wise[[#This Row],[Revenue]]/Dealer_wise[[#This Row],[Volume(Ltr)]],0)</f>
        <v>182.71876719867913</v>
      </c>
      <c r="F38" s="173">
        <f>SUMIFS(Primary_Order[Total Volume],Primary_Order[Date],"&gt;="&amp;DATE(YEAR($C$5),MONTH($C$5),1),Primary_Order[Date],"&lt;="&amp;$C$5,Primary_Order[MMD ID],Dealer_wise[[#This Row],[ID]],Primary_Order[Status],'Stock Report'!$A$1)</f>
        <v>25719.200000000001</v>
      </c>
      <c r="G38" s="174">
        <f>SUMIFS(Primary_Order[Net Total(-15%)],Primary_Order[Date],"&gt;="&amp;DATE(YEAR($C$5),MONTH($C$5),1),Primary_Order[Date],"&lt;="&amp;$C$5,Primary_Order[MMD ID],Dealer_wise[[#This Row],[ID]],Primary_Order[Status],'Stock Report'!$A$1)</f>
        <v>8303182.6086956523</v>
      </c>
      <c r="H38" s="175">
        <f>IFERROR(Dealer_wise[[#This Row],[Revenue.]]/Dealer_wise[[#This Row],[Volume(Ltr).]],0)</f>
        <v>322.83984761173178</v>
      </c>
      <c r="I38" s="176">
        <f>SUMIFS(Primary_Order[Total Volume],Primary_Order[Date],"&gt;="&amp;DATE(YEAR($C$5),1,1),Primary_Order[Date],"&lt;="&amp;$C$5,Primary_Order[MMD ID],Dealer_wise[[#This Row],[ID]],Primary_Order[Status],'Stock Report'!$A$1)</f>
        <v>34939.199999999997</v>
      </c>
      <c r="J38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13991182.608695652</v>
      </c>
      <c r="K38" s="177">
        <f>IFERROR(Dealer_wise[[#This Row],[Revenue`]]/Dealer_wise[[#This Row],[Volume(Ltr)`]],0)</f>
        <v>400.44370245156313</v>
      </c>
    </row>
    <row r="39" spans="1:11" hidden="1" x14ac:dyDescent="0.5">
      <c r="A39" s="199" t="s">
        <v>127</v>
      </c>
      <c r="B39" s="172" t="str">
        <f>VLOOKUP(A39,MMD[[MMD ID]:[MMD Name]],2,0)</f>
        <v>MR Enterprise</v>
      </c>
      <c r="C39" s="173">
        <f>SUMIFS(Primary_Order[Total Volume],Primary_Order[Date],$C$5,Primary_Order[MMD ID],Dealer_wise[[#This Row],[ID]],Primary_Order[Status],'Stock Report'!$A$1)</f>
        <v>0</v>
      </c>
      <c r="D39" s="174">
        <f>SUMIFS(Primary_Order[Net Total(-15%)],Primary_Order[Date],$C$5,Primary_Order[MMD ID],Dealer_wise[[#This Row],[ID]],Primary_Order[Status],'Stock Report'!$A$1)</f>
        <v>0</v>
      </c>
      <c r="E39" s="175">
        <f>IFERROR(Dealer_wise[[#This Row],[Revenue]]/Dealer_wise[[#This Row],[Volume(Ltr)]],0)</f>
        <v>0</v>
      </c>
      <c r="F39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39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39" s="175">
        <f>IFERROR(Dealer_wise[[#This Row],[Revenue.]]/Dealer_wise[[#This Row],[Volume(Ltr).]],0)</f>
        <v>0</v>
      </c>
      <c r="I39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39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39" s="177">
        <f>IFERROR(Dealer_wise[[#This Row],[Revenue`]]/Dealer_wise[[#This Row],[Volume(Ltr)`]],0)</f>
        <v>0</v>
      </c>
    </row>
    <row r="40" spans="1:11" hidden="1" x14ac:dyDescent="0.5">
      <c r="A40" s="199" t="s">
        <v>150</v>
      </c>
      <c r="B40" s="172" t="str">
        <f>VLOOKUP(A40,MMD[[MMD ID]:[MMD Name]],2,0)</f>
        <v>SS Corporation</v>
      </c>
      <c r="C40" s="173">
        <f>SUMIFS(Primary_Order[Total Volume],Primary_Order[Date],$C$5,Primary_Order[MMD ID],Dealer_wise[[#This Row],[ID]],Primary_Order[Status],'Stock Report'!$A$1)</f>
        <v>0</v>
      </c>
      <c r="D40" s="174">
        <f>SUMIFS(Primary_Order[Net Total(-15%)],Primary_Order[Date],$C$5,Primary_Order[MMD ID],Dealer_wise[[#This Row],[ID]],Primary_Order[Status],'Stock Report'!$A$1)</f>
        <v>0</v>
      </c>
      <c r="E40" s="175">
        <f>IFERROR(Dealer_wise[[#This Row],[Revenue]]/Dealer_wise[[#This Row],[Volume(Ltr)]],0)</f>
        <v>0</v>
      </c>
      <c r="F40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40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40" s="175">
        <f>IFERROR(Dealer_wise[[#This Row],[Revenue.]]/Dealer_wise[[#This Row],[Volume(Ltr).]],0)</f>
        <v>0</v>
      </c>
      <c r="I40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40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40" s="177">
        <f>IFERROR(Dealer_wise[[#This Row],[Revenue`]]/Dealer_wise[[#This Row],[Volume(Ltr)`]],0)</f>
        <v>0</v>
      </c>
    </row>
    <row r="41" spans="1:11" x14ac:dyDescent="0.5">
      <c r="A41" s="199" t="s">
        <v>26</v>
      </c>
      <c r="B41" s="172" t="str">
        <f>VLOOKUP(A41,MMD[[MMD ID]:[MMD Name]],2,0)</f>
        <v>KB Lubricants</v>
      </c>
      <c r="C41" s="173">
        <f>SUMIFS(Primary_Order[Total Volume],Primary_Order[Date],$C$5,Primary_Order[MMD ID],Dealer_wise[[#This Row],[ID]],Primary_Order[Status],'Stock Report'!$A$1)</f>
        <v>0</v>
      </c>
      <c r="D41" s="174">
        <f>SUMIFS(Primary_Order[Net Total(-15%)],Primary_Order[Date],$C$5,Primary_Order[MMD ID],Dealer_wise[[#This Row],[ID]],Primary_Order[Status],'Stock Report'!$A$1)</f>
        <v>0</v>
      </c>
      <c r="E41" s="175">
        <f>IFERROR(Dealer_wise[[#This Row],[Revenue]]/Dealer_wise[[#This Row],[Volume(Ltr)]],0)</f>
        <v>0</v>
      </c>
      <c r="F41" s="173">
        <f>SUMIFS(Primary_Order[Total Volume],Primary_Order[Date],"&gt;="&amp;DATE(YEAR($C$5),MONTH($C$5),1),Primary_Order[Date],"&lt;="&amp;$C$5,Primary_Order[MMD ID],Dealer_wise[[#This Row],[ID]],Primary_Order[Status],'Stock Report'!$A$1)</f>
        <v>2491.6</v>
      </c>
      <c r="G41" s="174">
        <f>SUMIFS(Primary_Order[Net Total(-15%)],Primary_Order[Date],"&gt;="&amp;DATE(YEAR($C$5),MONTH($C$5),1),Primary_Order[Date],"&lt;="&amp;$C$5,Primary_Order[MMD ID],Dealer_wise[[#This Row],[ID]],Primary_Order[Status],'Stock Report'!$A$1)</f>
        <v>1146869.5652173911</v>
      </c>
      <c r="H41" s="175">
        <f>IFERROR(Dealer_wise[[#This Row],[Revenue.]]/Dealer_wise[[#This Row],[Volume(Ltr).]],0)</f>
        <v>460.29441532243987</v>
      </c>
      <c r="I41" s="176">
        <f>SUMIFS(Primary_Order[Total Volume],Primary_Order[Date],"&gt;="&amp;DATE(YEAR($C$5),1,1),Primary_Order[Date],"&lt;="&amp;$C$5,Primary_Order[MMD ID],Dealer_wise[[#This Row],[ID]],Primary_Order[Status],'Stock Report'!$A$1)</f>
        <v>4380.2</v>
      </c>
      <c r="J41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2243543.4782608692</v>
      </c>
      <c r="K41" s="177">
        <f>IFERROR(Dealer_wise[[#This Row],[Revenue`]]/Dealer_wise[[#This Row],[Volume(Ltr)`]],0)</f>
        <v>512.20115023534754</v>
      </c>
    </row>
    <row r="42" spans="1:11" hidden="1" x14ac:dyDescent="0.5">
      <c r="A42" s="199" t="s">
        <v>120</v>
      </c>
      <c r="B42" s="172" t="str">
        <f>VLOOKUP(A42,MMD[[MMD ID]:[MMD Name]],2,0)</f>
        <v>SS Lub Mart</v>
      </c>
      <c r="C42" s="173">
        <f>SUMIFS(Primary_Order[Total Volume],Primary_Order[Date],$C$5,Primary_Order[MMD ID],Dealer_wise[[#This Row],[ID]],Primary_Order[Status],'Stock Report'!$A$1)</f>
        <v>0</v>
      </c>
      <c r="D42" s="174">
        <f>SUMIFS(Primary_Order[Net Total(-15%)],Primary_Order[Date],$C$5,Primary_Order[MMD ID],Dealer_wise[[#This Row],[ID]],Primary_Order[Status],'Stock Report'!$A$1)</f>
        <v>0</v>
      </c>
      <c r="E42" s="175">
        <f>IFERROR(Dealer_wise[[#This Row],[Revenue]]/Dealer_wise[[#This Row],[Volume(Ltr)]],0)</f>
        <v>0</v>
      </c>
      <c r="F42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42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42" s="175">
        <f>IFERROR(Dealer_wise[[#This Row],[Revenue.]]/Dealer_wise[[#This Row],[Volume(Ltr).]],0)</f>
        <v>0</v>
      </c>
      <c r="I42" s="176">
        <f>SUMIFS(Primary_Order[Total Volume],Primary_Order[Date],"&gt;="&amp;DATE(YEAR($C$5),1,1),Primary_Order[Date],"&lt;="&amp;$C$5,Primary_Order[MMD ID],Dealer_wise[[#This Row],[ID]],Primary_Order[Status],'Stock Report'!$A$1)</f>
        <v>1508</v>
      </c>
      <c r="J42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678441.73913043481</v>
      </c>
      <c r="K42" s="177">
        <f>IFERROR(Dealer_wise[[#This Row],[Revenue`]]/Dealer_wise[[#This Row],[Volume(Ltr)`]],0)</f>
        <v>449.89505247376314</v>
      </c>
    </row>
    <row r="43" spans="1:11" hidden="1" x14ac:dyDescent="0.5">
      <c r="A43" s="199" t="s">
        <v>187</v>
      </c>
      <c r="B43" s="172" t="str">
        <f>VLOOKUP(A43,MMD[[MMD ID]:[MMD Name]],2,0)</f>
        <v>Alam Brother</v>
      </c>
      <c r="C43" s="173">
        <f>SUMIFS(Primary_Order[Total Volume],Primary_Order[Date],$C$5,Primary_Order[MMD ID],Dealer_wise[[#This Row],[ID]],Primary_Order[Status],'Stock Report'!$A$1)</f>
        <v>0</v>
      </c>
      <c r="D43" s="174">
        <f>SUMIFS(Primary_Order[Net Total(-15%)],Primary_Order[Date],$C$5,Primary_Order[MMD ID],Dealer_wise[[#This Row],[ID]],Primary_Order[Status],'Stock Report'!$A$1)</f>
        <v>0</v>
      </c>
      <c r="E43" s="175">
        <f>IFERROR(Dealer_wise[[#This Row],[Revenue]]/Dealer_wise[[#This Row],[Volume(Ltr)]],0)</f>
        <v>0</v>
      </c>
      <c r="F43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43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43" s="175">
        <f>IFERROR(Dealer_wise[[#This Row],[Revenue.]]/Dealer_wise[[#This Row],[Volume(Ltr).]],0)</f>
        <v>0</v>
      </c>
      <c r="I43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43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43" s="177">
        <f>IFERROR(Dealer_wise[[#This Row],[Revenue`]]/Dealer_wise[[#This Row],[Volume(Ltr)`]],0)</f>
        <v>0</v>
      </c>
    </row>
    <row r="44" spans="1:11" hidden="1" x14ac:dyDescent="0.5">
      <c r="A44" s="199" t="s">
        <v>132</v>
      </c>
      <c r="B44" s="172" t="str">
        <f>VLOOKUP(A44,MMD[[MMD ID]:[MMD Name]],2,0)</f>
        <v>Global Trading</v>
      </c>
      <c r="C44" s="173">
        <f>SUMIFS(Primary_Order[Total Volume],Primary_Order[Date],$C$5,Primary_Order[MMD ID],Dealer_wise[[#This Row],[ID]],Primary_Order[Status],'Stock Report'!$A$1)</f>
        <v>0</v>
      </c>
      <c r="D44" s="174">
        <f>SUMIFS(Primary_Order[Net Total(-15%)],Primary_Order[Date],$C$5,Primary_Order[MMD ID],Dealer_wise[[#This Row],[ID]],Primary_Order[Status],'Stock Report'!$A$1)</f>
        <v>0</v>
      </c>
      <c r="E44" s="175">
        <f>IFERROR(Dealer_wise[[#This Row],[Revenue]]/Dealer_wise[[#This Row],[Volume(Ltr)]],0)</f>
        <v>0</v>
      </c>
      <c r="F44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44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44" s="175">
        <f>IFERROR(Dealer_wise[[#This Row],[Revenue.]]/Dealer_wise[[#This Row],[Volume(Ltr).]],0)</f>
        <v>0</v>
      </c>
      <c r="I44" s="176">
        <f>SUMIFS(Primary_Order[Total Volume],Primary_Order[Date],"&gt;="&amp;DATE(YEAR($C$5),1,1),Primary_Order[Date],"&lt;="&amp;$C$5,Primary_Order[MMD ID],Dealer_wise[[#This Row],[ID]],Primary_Order[Status],'Stock Report'!$A$1)</f>
        <v>200</v>
      </c>
      <c r="J44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91739.130434782594</v>
      </c>
      <c r="K44" s="177">
        <f>IFERROR(Dealer_wise[[#This Row],[Revenue`]]/Dealer_wise[[#This Row],[Volume(Ltr)`]],0)</f>
        <v>458.69565217391295</v>
      </c>
    </row>
    <row r="45" spans="1:11" hidden="1" x14ac:dyDescent="0.5">
      <c r="A45" s="199" t="s">
        <v>195</v>
      </c>
      <c r="B45" s="172" t="str">
        <f>VLOOKUP(A45,MMD[[MMD ID]:[MMD Name]],2,0)</f>
        <v>Mokka Auto</v>
      </c>
      <c r="C45" s="173">
        <f>SUMIFS(Primary_Order[Total Volume],Primary_Order[Date],$C$5,Primary_Order[MMD ID],Dealer_wise[[#This Row],[ID]],Primary_Order[Status],'Stock Report'!$A$1)</f>
        <v>0</v>
      </c>
      <c r="D45" s="174">
        <f>SUMIFS(Primary_Order[Net Total(-15%)],Primary_Order[Date],$C$5,Primary_Order[MMD ID],Dealer_wise[[#This Row],[ID]],Primary_Order[Status],'Stock Report'!$A$1)</f>
        <v>0</v>
      </c>
      <c r="E45" s="175">
        <f>IFERROR(Dealer_wise[[#This Row],[Revenue]]/Dealer_wise[[#This Row],[Volume(Ltr)]],0)</f>
        <v>0</v>
      </c>
      <c r="F45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45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45" s="175">
        <f>IFERROR(Dealer_wise[[#This Row],[Revenue.]]/Dealer_wise[[#This Row],[Volume(Ltr).]],0)</f>
        <v>0</v>
      </c>
      <c r="I45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45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45" s="177">
        <f>IFERROR(Dealer_wise[[#This Row],[Revenue`]]/Dealer_wise[[#This Row],[Volume(Ltr)`]],0)</f>
        <v>0</v>
      </c>
    </row>
    <row r="46" spans="1:11" x14ac:dyDescent="0.5">
      <c r="A46" s="199" t="s">
        <v>108</v>
      </c>
      <c r="B46" s="172" t="str">
        <f>VLOOKUP(A46,MMD[[MMD ID]:[MMD Name]],2,0)</f>
        <v>Bondhu Motors</v>
      </c>
      <c r="C46" s="173">
        <f>SUMIFS(Primary_Order[Total Volume],Primary_Order[Date],$C$5,Primary_Order[MMD ID],Dealer_wise[[#This Row],[ID]],Primary_Order[Status],'Stock Report'!$A$1)</f>
        <v>0</v>
      </c>
      <c r="D46" s="174">
        <f>SUMIFS(Primary_Order[Net Total(-15%)],Primary_Order[Date],$C$5,Primary_Order[MMD ID],Dealer_wise[[#This Row],[ID]],Primary_Order[Status],'Stock Report'!$A$1)</f>
        <v>0</v>
      </c>
      <c r="E46" s="175">
        <f>IFERROR(Dealer_wise[[#This Row],[Revenue]]/Dealer_wise[[#This Row],[Volume(Ltr)]],0)</f>
        <v>0</v>
      </c>
      <c r="F46" s="173">
        <f>SUMIFS(Primary_Order[Total Volume],Primary_Order[Date],"&gt;="&amp;DATE(YEAR($C$5),MONTH($C$5),1),Primary_Order[Date],"&lt;="&amp;$C$5,Primary_Order[MMD ID],Dealer_wise[[#This Row],[ID]],Primary_Order[Status],'Stock Report'!$A$1)</f>
        <v>2472</v>
      </c>
      <c r="G46" s="174">
        <f>SUMIFS(Primary_Order[Net Total(-15%)],Primary_Order[Date],"&gt;="&amp;DATE(YEAR($C$5),MONTH($C$5),1),Primary_Order[Date],"&lt;="&amp;$C$5,Primary_Order[MMD ID],Dealer_wise[[#This Row],[ID]],Primary_Order[Status],'Stock Report'!$A$1)</f>
        <v>1134834.7826086958</v>
      </c>
      <c r="H46" s="175">
        <f>IFERROR(Dealer_wise[[#This Row],[Revenue.]]/Dealer_wise[[#This Row],[Volume(Ltr).]],0)</f>
        <v>459.07555930772486</v>
      </c>
      <c r="I46" s="176">
        <f>SUMIFS(Primary_Order[Total Volume],Primary_Order[Date],"&gt;="&amp;DATE(YEAR($C$5),1,1),Primary_Order[Date],"&lt;="&amp;$C$5,Primary_Order[MMD ID],Dealer_wise[[#This Row],[ID]],Primary_Order[Status],'Stock Report'!$A$1)</f>
        <v>8144.6</v>
      </c>
      <c r="J46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3864553.0434782617</v>
      </c>
      <c r="K46" s="177">
        <f>IFERROR(Dealer_wise[[#This Row],[Revenue`]]/Dealer_wise[[#This Row],[Volume(Ltr)`]],0)</f>
        <v>474.492675328225</v>
      </c>
    </row>
    <row r="47" spans="1:11" hidden="1" x14ac:dyDescent="0.5">
      <c r="A47" s="199" t="s">
        <v>89</v>
      </c>
      <c r="B47" s="172" t="str">
        <f>VLOOKUP(A47,MMD[[MMD ID]:[MMD Name]],2,0)</f>
        <v>Daraz</v>
      </c>
      <c r="C47" s="173">
        <f>SUMIFS(Primary_Order[Total Volume],Primary_Order[Date],$C$5,Primary_Order[MMD ID],Dealer_wise[[#This Row],[ID]],Primary_Order[Status],'Stock Report'!$A$1)</f>
        <v>0</v>
      </c>
      <c r="D47" s="174">
        <f>SUMIFS(Primary_Order[Net Total(-15%)],Primary_Order[Date],$C$5,Primary_Order[MMD ID],Dealer_wise[[#This Row],[ID]],Primary_Order[Status],'Stock Report'!$A$1)</f>
        <v>0</v>
      </c>
      <c r="E47" s="175">
        <f>IFERROR(Dealer_wise[[#This Row],[Revenue]]/Dealer_wise[[#This Row],[Volume(Ltr)]],0)</f>
        <v>0</v>
      </c>
      <c r="F47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47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47" s="175">
        <f>IFERROR(Dealer_wise[[#This Row],[Revenue.]]/Dealer_wise[[#This Row],[Volume(Ltr).]],0)</f>
        <v>0</v>
      </c>
      <c r="I47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47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47" s="177">
        <f>IFERROR(Dealer_wise[[#This Row],[Revenue`]]/Dealer_wise[[#This Row],[Volume(Ltr)`]],0)</f>
        <v>0</v>
      </c>
    </row>
    <row r="48" spans="1:11" x14ac:dyDescent="0.5">
      <c r="A48" s="199" t="s">
        <v>110</v>
      </c>
      <c r="B48" s="172" t="str">
        <f>VLOOKUP(A48,MMD[[MMD ID]:[MMD Name]],2,0)</f>
        <v>Rancon Motor Bikes Ltd</v>
      </c>
      <c r="C48" s="173">
        <f>SUMIFS(Primary_Order[Total Volume],Primary_Order[Date],$C$5,Primary_Order[MMD ID],Dealer_wise[[#This Row],[ID]],Primary_Order[Status],'Stock Report'!$A$1)</f>
        <v>400</v>
      </c>
      <c r="D48" s="174">
        <f>SUMIFS(Primary_Order[Net Total(-15%)],Primary_Order[Date],$C$5,Primary_Order[MMD ID],Dealer_wise[[#This Row],[ID]],Primary_Order[Status],'Stock Report'!$A$1)</f>
        <v>260869.5652173913</v>
      </c>
      <c r="E48" s="175">
        <f>IFERROR(Dealer_wise[[#This Row],[Revenue]]/Dealer_wise[[#This Row],[Volume(Ltr)]],0)</f>
        <v>652.17391304347825</v>
      </c>
      <c r="F48" s="173">
        <f>SUMIFS(Primary_Order[Total Volume],Primary_Order[Date],"&gt;="&amp;DATE(YEAR($C$5),MONTH($C$5),1),Primary_Order[Date],"&lt;="&amp;$C$5,Primary_Order[MMD ID],Dealer_wise[[#This Row],[ID]],Primary_Order[Status],'Stock Report'!$A$1)</f>
        <v>603</v>
      </c>
      <c r="G48" s="174">
        <f>SUMIFS(Primary_Order[Net Total(-15%)],Primary_Order[Date],"&gt;="&amp;DATE(YEAR($C$5),MONTH($C$5),1),Primary_Order[Date],"&lt;="&amp;$C$5,Primary_Order[MMD ID],Dealer_wise[[#This Row],[ID]],Primary_Order[Status],'Stock Report'!$A$1)</f>
        <v>295878.26086956519</v>
      </c>
      <c r="H48" s="175">
        <f>IFERROR(Dealer_wise[[#This Row],[Revenue.]]/Dealer_wise[[#This Row],[Volume(Ltr).]],0)</f>
        <v>490.67704953493399</v>
      </c>
      <c r="I48" s="176">
        <f>SUMIFS(Primary_Order[Total Volume],Primary_Order[Date],"&gt;="&amp;DATE(YEAR($C$5),1,1),Primary_Order[Date],"&lt;="&amp;$C$5,Primary_Order[MMD ID],Dealer_wise[[#This Row],[ID]],Primary_Order[Status],'Stock Report'!$A$1)</f>
        <v>69689.125</v>
      </c>
      <c r="J48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44025739.130434781</v>
      </c>
      <c r="K48" s="177">
        <f>IFERROR(Dealer_wise[[#This Row],[Revenue`]]/Dealer_wise[[#This Row],[Volume(Ltr)`]],0)</f>
        <v>631.74475401197503</v>
      </c>
    </row>
    <row r="49" spans="1:11" x14ac:dyDescent="0.5">
      <c r="A49" s="199" t="s">
        <v>141</v>
      </c>
      <c r="B49" s="172" t="str">
        <f>VLOOKUP(A49,MMD[[MMD ID]:[MMD Name]],2,0)</f>
        <v>Ranks Motor Workshop Limited</v>
      </c>
      <c r="C49" s="173">
        <f>SUMIFS(Primary_Order[Total Volume],Primary_Order[Date],$C$5,Primary_Order[MMD ID],Dealer_wise[[#This Row],[ID]],Primary_Order[Status],'Stock Report'!$A$1)</f>
        <v>0</v>
      </c>
      <c r="D49" s="174">
        <f>SUMIFS(Primary_Order[Net Total(-15%)],Primary_Order[Date],$C$5,Primary_Order[MMD ID],Dealer_wise[[#This Row],[ID]],Primary_Order[Status],'Stock Report'!$A$1)</f>
        <v>0</v>
      </c>
      <c r="E49" s="175">
        <f>IFERROR(Dealer_wise[[#This Row],[Revenue]]/Dealer_wise[[#This Row],[Volume(Ltr)]],0)</f>
        <v>0</v>
      </c>
      <c r="F49" s="173">
        <f>SUMIFS(Primary_Order[Total Volume],Primary_Order[Date],"&gt;="&amp;DATE(YEAR($C$5),MONTH($C$5),1),Primary_Order[Date],"&lt;="&amp;$C$5,Primary_Order[MMD ID],Dealer_wise[[#This Row],[ID]],Primary_Order[Status],'Stock Report'!$A$1)</f>
        <v>380</v>
      </c>
      <c r="G49" s="174">
        <f>SUMIFS(Primary_Order[Net Total(-15%)],Primary_Order[Date],"&gt;="&amp;DATE(YEAR($C$5),MONTH($C$5),1),Primary_Order[Date],"&lt;="&amp;$C$5,Primary_Order[MMD ID],Dealer_wise[[#This Row],[ID]],Primary_Order[Status],'Stock Report'!$A$1)</f>
        <v>125565.21739130435</v>
      </c>
      <c r="H49" s="175">
        <f>IFERROR(Dealer_wise[[#This Row],[Revenue.]]/Dealer_wise[[#This Row],[Volume(Ltr).]],0)</f>
        <v>330.43478260869568</v>
      </c>
      <c r="I49" s="176">
        <f>SUMIFS(Primary_Order[Total Volume],Primary_Order[Date],"&gt;="&amp;DATE(YEAR($C$5),1,1),Primary_Order[Date],"&lt;="&amp;$C$5,Primary_Order[MMD ID],Dealer_wise[[#This Row],[ID]],Primary_Order[Status],'Stock Report'!$A$1)</f>
        <v>5612</v>
      </c>
      <c r="J49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2112486.9565217393</v>
      </c>
      <c r="K49" s="177">
        <f>IFERROR(Dealer_wise[[#This Row],[Revenue`]]/Dealer_wise[[#This Row],[Volume(Ltr)`]],0)</f>
        <v>376.42319253772973</v>
      </c>
    </row>
    <row r="50" spans="1:11" x14ac:dyDescent="0.5">
      <c r="A50" s="199" t="s">
        <v>95</v>
      </c>
      <c r="B50" s="172" t="str">
        <f>VLOOKUP(A50,MMD[[MMD ID]:[MMD Name]],2,0)</f>
        <v>DHS Motors Limited</v>
      </c>
      <c r="C50" s="173">
        <f>SUMIFS(Primary_Order[Total Volume],Primary_Order[Date],$C$5,Primary_Order[MMD ID],Dealer_wise[[#This Row],[ID]],Primary_Order[Status],'Stock Report'!$A$1)</f>
        <v>0</v>
      </c>
      <c r="D50" s="174">
        <f>SUMIFS(Primary_Order[Net Total(-15%)],Primary_Order[Date],$C$5,Primary_Order[MMD ID],Dealer_wise[[#This Row],[ID]],Primary_Order[Status],'Stock Report'!$A$1)</f>
        <v>0</v>
      </c>
      <c r="E50" s="175">
        <f>IFERROR(Dealer_wise[[#This Row],[Revenue]]/Dealer_wise[[#This Row],[Volume(Ltr)]],0)</f>
        <v>0</v>
      </c>
      <c r="F50" s="173">
        <f>SUMIFS(Primary_Order[Total Volume],Primary_Order[Date],"&gt;="&amp;DATE(YEAR($C$5),MONTH($C$5),1),Primary_Order[Date],"&lt;="&amp;$C$5,Primary_Order[MMD ID],Dealer_wise[[#This Row],[ID]],Primary_Order[Status],'Stock Report'!$A$1)</f>
        <v>200</v>
      </c>
      <c r="G50" s="174">
        <f>SUMIFS(Primary_Order[Net Total(-15%)],Primary_Order[Date],"&gt;="&amp;DATE(YEAR($C$5),MONTH($C$5),1),Primary_Order[Date],"&lt;="&amp;$C$5,Primary_Order[MMD ID],Dealer_wise[[#This Row],[ID]],Primary_Order[Status],'Stock Report'!$A$1)</f>
        <v>130434.78260869565</v>
      </c>
      <c r="H50" s="175">
        <f>IFERROR(Dealer_wise[[#This Row],[Revenue.]]/Dealer_wise[[#This Row],[Volume(Ltr).]],0)</f>
        <v>652.17391304347825</v>
      </c>
      <c r="I50" s="176">
        <f>SUMIFS(Primary_Order[Total Volume],Primary_Order[Date],"&gt;="&amp;DATE(YEAR($C$5),1,1),Primary_Order[Date],"&lt;="&amp;$C$5,Primary_Order[MMD ID],Dealer_wise[[#This Row],[ID]],Primary_Order[Status],'Stock Report'!$A$1)</f>
        <v>616</v>
      </c>
      <c r="J50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401739.13043478259</v>
      </c>
      <c r="K50" s="177">
        <f>IFERROR(Dealer_wise[[#This Row],[Revenue`]]/Dealer_wise[[#This Row],[Volume(Ltr)`]],0)</f>
        <v>652.17391304347825</v>
      </c>
    </row>
    <row r="51" spans="1:11" x14ac:dyDescent="0.5">
      <c r="A51" s="199" t="s">
        <v>133</v>
      </c>
      <c r="B51" s="172" t="str">
        <f>VLOOKUP(A51,MMD[[MMD ID]:[MMD Name]],2,0)</f>
        <v>Rancon Agro Machinery Limited</v>
      </c>
      <c r="C51" s="173">
        <f>SUMIFS(Primary_Order[Total Volume],Primary_Order[Date],$C$5,Primary_Order[MMD ID],Dealer_wise[[#This Row],[ID]],Primary_Order[Status],'Stock Report'!$A$1)</f>
        <v>0</v>
      </c>
      <c r="D51" s="174">
        <f>SUMIFS(Primary_Order[Net Total(-15%)],Primary_Order[Date],$C$5,Primary_Order[MMD ID],Dealer_wise[[#This Row],[ID]],Primary_Order[Status],'Stock Report'!$A$1)</f>
        <v>0</v>
      </c>
      <c r="E51" s="175">
        <f>IFERROR(Dealer_wise[[#This Row],[Revenue]]/Dealer_wise[[#This Row],[Volume(Ltr)]],0)</f>
        <v>0</v>
      </c>
      <c r="F51" s="173">
        <f>SUMIFS(Primary_Order[Total Volume],Primary_Order[Date],"&gt;="&amp;DATE(YEAR($C$5),MONTH($C$5),1),Primary_Order[Date],"&lt;="&amp;$C$5,Primary_Order[MMD ID],Dealer_wise[[#This Row],[ID]],Primary_Order[Status],'Stock Report'!$A$1)</f>
        <v>2660</v>
      </c>
      <c r="G51" s="174">
        <f>SUMIFS(Primary_Order[Net Total(-15%)],Primary_Order[Date],"&gt;="&amp;DATE(YEAR($C$5),MONTH($C$5),1),Primary_Order[Date],"&lt;="&amp;$C$5,Primary_Order[MMD ID],Dealer_wise[[#This Row],[ID]],Primary_Order[Status],'Stock Report'!$A$1)</f>
        <v>1144139.1304347827</v>
      </c>
      <c r="H51" s="175">
        <f>IFERROR(Dealer_wise[[#This Row],[Revenue.]]/Dealer_wise[[#This Row],[Volume(Ltr).]],0)</f>
        <v>430.12749264465515</v>
      </c>
      <c r="I51" s="176">
        <f>SUMIFS(Primary_Order[Total Volume],Primary_Order[Date],"&gt;="&amp;DATE(YEAR($C$5),1,1),Primary_Order[Date],"&lt;="&amp;$C$5,Primary_Order[MMD ID],Dealer_wise[[#This Row],[ID]],Primary_Order[Status],'Stock Report'!$A$1)</f>
        <v>2660</v>
      </c>
      <c r="J51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1144139.1304347827</v>
      </c>
      <c r="K51" s="177">
        <f>IFERROR(Dealer_wise[[#This Row],[Revenue`]]/Dealer_wise[[#This Row],[Volume(Ltr)`]],0)</f>
        <v>430.12749264465515</v>
      </c>
    </row>
    <row r="52" spans="1:11" hidden="1" x14ac:dyDescent="0.5">
      <c r="A52" s="199" t="s">
        <v>598</v>
      </c>
      <c r="B52" s="172" t="str">
        <f>VLOOKUP(A52,MMD[[MMD ID]:[MMD Name]],2,0)</f>
        <v>Rehana Distribution</v>
      </c>
      <c r="C52" s="173">
        <f>SUMIFS(Primary_Order[Total Volume],Primary_Order[Date],$C$5,Primary_Order[MMD ID],Dealer_wise[[#This Row],[ID]],Primary_Order[Status],'Stock Report'!$A$1)</f>
        <v>0</v>
      </c>
      <c r="D52" s="174">
        <f>SUMIFS(Primary_Order[Net Total(-15%)],Primary_Order[Date],$C$5,Primary_Order[MMD ID],Dealer_wise[[#This Row],[ID]],Primary_Order[Status],'Stock Report'!$A$1)</f>
        <v>0</v>
      </c>
      <c r="E52" s="175">
        <f>IFERROR(Dealer_wise[[#This Row],[Revenue]]/Dealer_wise[[#This Row],[Volume(Ltr)]],0)</f>
        <v>0</v>
      </c>
      <c r="F52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2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2" s="175">
        <f>IFERROR(Dealer_wise[[#This Row],[Revenue.]]/Dealer_wise[[#This Row],[Volume(Ltr).]],0)</f>
        <v>0</v>
      </c>
      <c r="I52" s="176">
        <f>SUMIFS(Primary_Order[Total Volume],Primary_Order[Date],"&gt;="&amp;DATE(YEAR($C$5),1,1),Primary_Order[Date],"&lt;="&amp;$C$5,Primary_Order[MMD ID],Dealer_wise[[#This Row],[ID]],Primary_Order[Status],'Stock Report'!$A$1)</f>
        <v>140</v>
      </c>
      <c r="J52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64260.869565217385</v>
      </c>
      <c r="K52" s="177">
        <f>IFERROR(Dealer_wise[[#This Row],[Revenue`]]/Dealer_wise[[#This Row],[Volume(Ltr)`]],0)</f>
        <v>459.00621118012418</v>
      </c>
    </row>
    <row r="53" spans="1:11" x14ac:dyDescent="0.5">
      <c r="A53" s="199" t="s">
        <v>273</v>
      </c>
      <c r="B53" s="172" t="str">
        <f>VLOOKUP(A53,MMD[[MMD ID]:[MMD Name]],2,0)</f>
        <v>Mahim Motors</v>
      </c>
      <c r="C53" s="173">
        <f>SUMIFS(Primary_Order[Total Volume],Primary_Order[Date],$C$5,Primary_Order[MMD ID],Dealer_wise[[#This Row],[ID]],Primary_Order[Status],'Stock Report'!$A$1)</f>
        <v>0</v>
      </c>
      <c r="D53" s="174">
        <f>SUMIFS(Primary_Order[Net Total(-15%)],Primary_Order[Date],$C$5,Primary_Order[MMD ID],Dealer_wise[[#This Row],[ID]],Primary_Order[Status],'Stock Report'!$A$1)</f>
        <v>0</v>
      </c>
      <c r="E53" s="175">
        <f>IFERROR(Dealer_wise[[#This Row],[Revenue]]/Dealer_wise[[#This Row],[Volume(Ltr)]],0)</f>
        <v>0</v>
      </c>
      <c r="F53" s="173">
        <f>SUMIFS(Primary_Order[Total Volume],Primary_Order[Date],"&gt;="&amp;DATE(YEAR($C$5),MONTH($C$5),1),Primary_Order[Date],"&lt;="&amp;$C$5,Primary_Order[MMD ID],Dealer_wise[[#This Row],[ID]],Primary_Order[Status],'Stock Report'!$A$1)</f>
        <v>2636</v>
      </c>
      <c r="G53" s="174">
        <f>SUMIFS(Primary_Order[Net Total(-15%)],Primary_Order[Date],"&gt;="&amp;DATE(YEAR($C$5),MONTH($C$5),1),Primary_Order[Date],"&lt;="&amp;$C$5,Primary_Order[MMD ID],Dealer_wise[[#This Row],[ID]],Primary_Order[Status],'Stock Report'!$A$1)</f>
        <v>590434.78260869568</v>
      </c>
      <c r="H53" s="175">
        <f>IFERROR(Dealer_wise[[#This Row],[Revenue.]]/Dealer_wise[[#This Row],[Volume(Ltr).]],0)</f>
        <v>223.98891601240351</v>
      </c>
      <c r="I53" s="176">
        <f>SUMIFS(Primary_Order[Total Volume],Primary_Order[Date],"&gt;="&amp;DATE(YEAR($C$5),1,1),Primary_Order[Date],"&lt;="&amp;$C$5,Primary_Order[MMD ID],Dealer_wise[[#This Row],[ID]],Primary_Order[Status],'Stock Report'!$A$1)</f>
        <v>3436</v>
      </c>
      <c r="J53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764347.82608695666</v>
      </c>
      <c r="K53" s="177">
        <f>IFERROR(Dealer_wise[[#This Row],[Revenue`]]/Dealer_wise[[#This Row],[Volume(Ltr)`]],0)</f>
        <v>222.45280153869518</v>
      </c>
    </row>
    <row r="54" spans="1:11" hidden="1" x14ac:dyDescent="0.5">
      <c r="A54" s="199" t="s">
        <v>433</v>
      </c>
      <c r="B54" s="172" t="str">
        <f>VLOOKUP(A54,MMD[[MMD ID]:[MMD Name]],2,0)</f>
        <v>Banoful Traders</v>
      </c>
      <c r="C54" s="173">
        <f>SUMIFS(Primary_Order[Total Volume],Primary_Order[Date],$C$5,Primary_Order[MMD ID],Dealer_wise[[#This Row],[ID]],Primary_Order[Status],'Stock Report'!$A$1)</f>
        <v>0</v>
      </c>
      <c r="D54" s="174">
        <f>SUMIFS(Primary_Order[Net Total(-15%)],Primary_Order[Date],$C$5,Primary_Order[MMD ID],Dealer_wise[[#This Row],[ID]],Primary_Order[Status],'Stock Report'!$A$1)</f>
        <v>0</v>
      </c>
      <c r="E54" s="175">
        <f>IFERROR(Dealer_wise[[#This Row],[Revenue]]/Dealer_wise[[#This Row],[Volume(Ltr)]],0)</f>
        <v>0</v>
      </c>
      <c r="F54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4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4" s="175">
        <f>IFERROR(Dealer_wise[[#This Row],[Revenue.]]/Dealer_wise[[#This Row],[Volume(Ltr).]],0)</f>
        <v>0</v>
      </c>
      <c r="I54" s="176">
        <f>SUMIFS(Primary_Order[Total Volume],Primary_Order[Date],"&gt;="&amp;DATE(YEAR($C$5),1,1),Primary_Order[Date],"&lt;="&amp;$C$5,Primary_Order[MMD ID],Dealer_wise[[#This Row],[ID]],Primary_Order[Status],'Stock Report'!$A$1)</f>
        <v>368</v>
      </c>
      <c r="J54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189182.60869565219</v>
      </c>
      <c r="K54" s="177">
        <f>IFERROR(Dealer_wise[[#This Row],[Revenue`]]/Dealer_wise[[#This Row],[Volume(Ltr)`]],0)</f>
        <v>514.0831758034027</v>
      </c>
    </row>
    <row r="55" spans="1:11" hidden="1" x14ac:dyDescent="0.5">
      <c r="A55" s="199" t="s">
        <v>439</v>
      </c>
      <c r="B55" s="172" t="str">
        <f>VLOOKUP(A55,MMD[[MMD ID]:[MMD Name]],2,0)</f>
        <v xml:space="preserve">M/S M K S Lub House </v>
      </c>
      <c r="C55" s="173">
        <f>SUMIFS(Primary_Order[Total Volume],Primary_Order[Date],$C$5,Primary_Order[MMD ID],Dealer_wise[[#This Row],[ID]],Primary_Order[Status],'Stock Report'!$A$1)</f>
        <v>0</v>
      </c>
      <c r="D55" s="174">
        <f>SUMIFS(Primary_Order[Net Total(-15%)],Primary_Order[Date],$C$5,Primary_Order[MMD ID],Dealer_wise[[#This Row],[ID]],Primary_Order[Status],'Stock Report'!$A$1)</f>
        <v>0</v>
      </c>
      <c r="E55" s="175">
        <f>IFERROR(Dealer_wise[[#This Row],[Revenue]]/Dealer_wise[[#This Row],[Volume(Ltr)]],0)</f>
        <v>0</v>
      </c>
      <c r="F55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5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5" s="175">
        <f>IFERROR(Dealer_wise[[#This Row],[Revenue.]]/Dealer_wise[[#This Row],[Volume(Ltr).]],0)</f>
        <v>0</v>
      </c>
      <c r="I55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55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55" s="177">
        <f>IFERROR(Dealer_wise[[#This Row],[Revenue`]]/Dealer_wise[[#This Row],[Volume(Ltr)`]],0)</f>
        <v>0</v>
      </c>
    </row>
    <row r="56" spans="1:11" hidden="1" x14ac:dyDescent="0.5">
      <c r="A56" s="199" t="s">
        <v>624</v>
      </c>
      <c r="B56" s="172" t="str">
        <f>VLOOKUP(A56,MMD[[MMD ID]:[MMD Name]],2,0)</f>
        <v>M/S Bismillah Machineries Store  </v>
      </c>
      <c r="C56" s="173">
        <f>SUMIFS(Primary_Order[Total Volume],Primary_Order[Date],$C$5,Primary_Order[MMD ID],Dealer_wise[[#This Row],[ID]],Primary_Order[Status],'Stock Report'!$A$1)</f>
        <v>0</v>
      </c>
      <c r="D56" s="174">
        <f>SUMIFS(Primary_Order[Net Total(-15%)],Primary_Order[Date],$C$5,Primary_Order[MMD ID],Dealer_wise[[#This Row],[ID]],Primary_Order[Status],'Stock Report'!$A$1)</f>
        <v>0</v>
      </c>
      <c r="E56" s="175">
        <f>IFERROR(Dealer_wise[[#This Row],[Revenue]]/Dealer_wise[[#This Row],[Volume(Ltr)]],0)</f>
        <v>0</v>
      </c>
      <c r="F56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6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6" s="175">
        <f>IFERROR(Dealer_wise[[#This Row],[Revenue.]]/Dealer_wise[[#This Row],[Volume(Ltr).]],0)</f>
        <v>0</v>
      </c>
      <c r="I56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56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56" s="177">
        <f>IFERROR(Dealer_wise[[#This Row],[Revenue`]]/Dealer_wise[[#This Row],[Volume(Ltr)`]],0)</f>
        <v>0</v>
      </c>
    </row>
    <row r="57" spans="1:11" hidden="1" x14ac:dyDescent="0.5">
      <c r="A57" s="199" t="s">
        <v>633</v>
      </c>
      <c r="B57" s="172" t="str">
        <f>VLOOKUP(A57,MMD[[MMD ID]:[MMD Name]],2,0)</f>
        <v>Gazi Enterprise</v>
      </c>
      <c r="C57" s="173">
        <f>SUMIFS(Primary_Order[Total Volume],Primary_Order[Date],$C$5,Primary_Order[MMD ID],Dealer_wise[[#This Row],[ID]],Primary_Order[Status],'Stock Report'!$A$1)</f>
        <v>0</v>
      </c>
      <c r="D57" s="174">
        <f>SUMIFS(Primary_Order[Net Total(-15%)],Primary_Order[Date],$C$5,Primary_Order[MMD ID],Dealer_wise[[#This Row],[ID]],Primary_Order[Status],'Stock Report'!$A$1)</f>
        <v>0</v>
      </c>
      <c r="E57" s="175">
        <f>IFERROR(Dealer_wise[[#This Row],[Revenue]]/Dealer_wise[[#This Row],[Volume(Ltr)]],0)</f>
        <v>0</v>
      </c>
      <c r="F57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7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7" s="175">
        <f>IFERROR(Dealer_wise[[#This Row],[Revenue.]]/Dealer_wise[[#This Row],[Volume(Ltr).]],0)</f>
        <v>0</v>
      </c>
      <c r="I57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57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57" s="177">
        <f>IFERROR(Dealer_wise[[#This Row],[Revenue`]]/Dealer_wise[[#This Row],[Volume(Ltr)`]],0)</f>
        <v>0</v>
      </c>
    </row>
    <row r="58" spans="1:11" hidden="1" x14ac:dyDescent="0.5">
      <c r="A58" s="199" t="s">
        <v>640</v>
      </c>
      <c r="B58" s="172" t="str">
        <f>VLOOKUP(A58,MMD[[MMD ID]:[MMD Name]],2,0)</f>
        <v>SK Corporation</v>
      </c>
      <c r="C58" s="173">
        <f>SUMIFS(Primary_Order[Total Volume],Primary_Order[Date],$C$5,Primary_Order[MMD ID],Dealer_wise[[#This Row],[ID]],Primary_Order[Status],'Stock Report'!$A$1)</f>
        <v>0</v>
      </c>
      <c r="D58" s="174">
        <f>SUMIFS(Primary_Order[Net Total(-15%)],Primary_Order[Date],$C$5,Primary_Order[MMD ID],Dealer_wise[[#This Row],[ID]],Primary_Order[Status],'Stock Report'!$A$1)</f>
        <v>0</v>
      </c>
      <c r="E58" s="175">
        <f>IFERROR(Dealer_wise[[#This Row],[Revenue]]/Dealer_wise[[#This Row],[Volume(Ltr)]],0)</f>
        <v>0</v>
      </c>
      <c r="F58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8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8" s="175">
        <f>IFERROR(Dealer_wise[[#This Row],[Revenue.]]/Dealer_wise[[#This Row],[Volume(Ltr).]],0)</f>
        <v>0</v>
      </c>
      <c r="I58" s="176">
        <f>SUMIFS(Primary_Order[Total Volume],Primary_Order[Date],"&gt;="&amp;DATE(YEAR($C$5),1,1),Primary_Order[Date],"&lt;="&amp;$C$5,Primary_Order[MMD ID],Dealer_wise[[#This Row],[ID]],Primary_Order[Status],'Stock Report'!$A$1)</f>
        <v>2480</v>
      </c>
      <c r="J58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1288695.6521739131</v>
      </c>
      <c r="K58" s="177">
        <f>IFERROR(Dealer_wise[[#This Row],[Revenue`]]/Dealer_wise[[#This Row],[Volume(Ltr)`]],0)</f>
        <v>519.63534361851339</v>
      </c>
    </row>
    <row r="59" spans="1:11" hidden="1" x14ac:dyDescent="0.5">
      <c r="A59" s="199" t="s">
        <v>643</v>
      </c>
      <c r="B59" s="172" t="str">
        <f>VLOOKUP(A59,MMD[[MMD ID]:[MMD Name]],2,0)</f>
        <v>M/S Akata Container Carrier Service</v>
      </c>
      <c r="C59" s="173">
        <f>SUMIFS(Primary_Order[Total Volume],Primary_Order[Date],$C$5,Primary_Order[MMD ID],Dealer_wise[[#This Row],[ID]],Primary_Order[Status],'Stock Report'!$A$1)</f>
        <v>0</v>
      </c>
      <c r="D59" s="174">
        <f>SUMIFS(Primary_Order[Net Total(-15%)],Primary_Order[Date],$C$5,Primary_Order[MMD ID],Dealer_wise[[#This Row],[ID]],Primary_Order[Status],'Stock Report'!$A$1)</f>
        <v>0</v>
      </c>
      <c r="E59" s="175">
        <f>IFERROR(Dealer_wise[[#This Row],[Revenue]]/Dealer_wise[[#This Row],[Volume(Ltr)]],0)</f>
        <v>0</v>
      </c>
      <c r="F59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59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59" s="175">
        <f>IFERROR(Dealer_wise[[#This Row],[Revenue.]]/Dealer_wise[[#This Row],[Volume(Ltr).]],0)</f>
        <v>0</v>
      </c>
      <c r="I59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59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59" s="177">
        <f>IFERROR(Dealer_wise[[#This Row],[Revenue`]]/Dealer_wise[[#This Row],[Volume(Ltr)`]],0)</f>
        <v>0</v>
      </c>
    </row>
    <row r="60" spans="1:11" hidden="1" x14ac:dyDescent="0.5">
      <c r="A60" s="199" t="s">
        <v>647</v>
      </c>
      <c r="B60" s="172" t="str">
        <f>VLOOKUP(A60,MMD[[MMD ID]:[MMD Name]],2,0)</f>
        <v>Ashmani Poribahan</v>
      </c>
      <c r="C60" s="173">
        <f>SUMIFS(Primary_Order[Total Volume],Primary_Order[Date],$C$5,Primary_Order[MMD ID],Dealer_wise[[#This Row],[ID]],Primary_Order[Status],'Stock Report'!$A$1)</f>
        <v>0</v>
      </c>
      <c r="D60" s="174">
        <f>SUMIFS(Primary_Order[Net Total(-15%)],Primary_Order[Date],$C$5,Primary_Order[MMD ID],Dealer_wise[[#This Row],[ID]],Primary_Order[Status],'Stock Report'!$A$1)</f>
        <v>0</v>
      </c>
      <c r="E60" s="175">
        <f>IFERROR(Dealer_wise[[#This Row],[Revenue]]/Dealer_wise[[#This Row],[Volume(Ltr)]],0)</f>
        <v>0</v>
      </c>
      <c r="F60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0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0" s="175">
        <f>IFERROR(Dealer_wise[[#This Row],[Revenue.]]/Dealer_wise[[#This Row],[Volume(Ltr).]],0)</f>
        <v>0</v>
      </c>
      <c r="I60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0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0" s="177">
        <f>IFERROR(Dealer_wise[[#This Row],[Revenue`]]/Dealer_wise[[#This Row],[Volume(Ltr)`]],0)</f>
        <v>0</v>
      </c>
    </row>
    <row r="61" spans="1:11" hidden="1" x14ac:dyDescent="0.5">
      <c r="A61" s="199" t="s">
        <v>651</v>
      </c>
      <c r="B61" s="172" t="str">
        <f>VLOOKUP(A61,MMD[[MMD ID]:[MMD Name]],2,0)</f>
        <v>Dolphin Enterprise</v>
      </c>
      <c r="C61" s="173">
        <f>SUMIFS(Primary_Order[Total Volume],Primary_Order[Date],$C$5,Primary_Order[MMD ID],Dealer_wise[[#This Row],[ID]],Primary_Order[Status],'Stock Report'!$A$1)</f>
        <v>0</v>
      </c>
      <c r="D61" s="174">
        <f>SUMIFS(Primary_Order[Net Total(-15%)],Primary_Order[Date],$C$5,Primary_Order[MMD ID],Dealer_wise[[#This Row],[ID]],Primary_Order[Status],'Stock Report'!$A$1)</f>
        <v>0</v>
      </c>
      <c r="E61" s="175">
        <f>IFERROR(Dealer_wise[[#This Row],[Revenue]]/Dealer_wise[[#This Row],[Volume(Ltr)]],0)</f>
        <v>0</v>
      </c>
      <c r="F61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1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1" s="175">
        <f>IFERROR(Dealer_wise[[#This Row],[Revenue.]]/Dealer_wise[[#This Row],[Volume(Ltr).]],0)</f>
        <v>0</v>
      </c>
      <c r="I61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1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1" s="177">
        <f>IFERROR(Dealer_wise[[#This Row],[Revenue`]]/Dealer_wise[[#This Row],[Volume(Ltr)`]],0)</f>
        <v>0</v>
      </c>
    </row>
    <row r="62" spans="1:11" hidden="1" x14ac:dyDescent="0.5">
      <c r="A62" s="199" t="s">
        <v>654</v>
      </c>
      <c r="B62" s="172" t="str">
        <f>VLOOKUP(A62,MMD[[MMD ID]:[MMD Name]],2,0)</f>
        <v>M/S M Sultan Transport Agency</v>
      </c>
      <c r="C62" s="173">
        <f>SUMIFS(Primary_Order[Total Volume],Primary_Order[Date],$C$5,Primary_Order[MMD ID],Dealer_wise[[#This Row],[ID]],Primary_Order[Status],'Stock Report'!$A$1)</f>
        <v>0</v>
      </c>
      <c r="D62" s="174">
        <f>SUMIFS(Primary_Order[Net Total(-15%)],Primary_Order[Date],$C$5,Primary_Order[MMD ID],Dealer_wise[[#This Row],[ID]],Primary_Order[Status],'Stock Report'!$A$1)</f>
        <v>0</v>
      </c>
      <c r="E62" s="175">
        <f>IFERROR(Dealer_wise[[#This Row],[Revenue]]/Dealer_wise[[#This Row],[Volume(Ltr)]],0)</f>
        <v>0</v>
      </c>
      <c r="F62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2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2" s="175">
        <f>IFERROR(Dealer_wise[[#This Row],[Revenue.]]/Dealer_wise[[#This Row],[Volume(Ltr).]],0)</f>
        <v>0</v>
      </c>
      <c r="I62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2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2" s="177">
        <f>IFERROR(Dealer_wise[[#This Row],[Revenue`]]/Dealer_wise[[#This Row],[Volume(Ltr)`]],0)</f>
        <v>0</v>
      </c>
    </row>
    <row r="63" spans="1:11" hidden="1" x14ac:dyDescent="0.5">
      <c r="A63" s="199" t="s">
        <v>657</v>
      </c>
      <c r="B63" s="172" t="str">
        <f>VLOOKUP(A63,MMD[[MMD ID]:[MMD Name]],2,0)</f>
        <v>Azad Group</v>
      </c>
      <c r="C63" s="173">
        <f>SUMIFS(Primary_Order[Total Volume],Primary_Order[Date],$C$5,Primary_Order[MMD ID],Dealer_wise[[#This Row],[ID]],Primary_Order[Status],'Stock Report'!$A$1)</f>
        <v>0</v>
      </c>
      <c r="D63" s="174">
        <f>SUMIFS(Primary_Order[Net Total(-15%)],Primary_Order[Date],$C$5,Primary_Order[MMD ID],Dealer_wise[[#This Row],[ID]],Primary_Order[Status],'Stock Report'!$A$1)</f>
        <v>0</v>
      </c>
      <c r="E63" s="175">
        <f>IFERROR(Dealer_wise[[#This Row],[Revenue]]/Dealer_wise[[#This Row],[Volume(Ltr)]],0)</f>
        <v>0</v>
      </c>
      <c r="F63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3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3" s="175">
        <f>IFERROR(Dealer_wise[[#This Row],[Revenue.]]/Dealer_wise[[#This Row],[Volume(Ltr).]],0)</f>
        <v>0</v>
      </c>
      <c r="I63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3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3" s="177">
        <f>IFERROR(Dealer_wise[[#This Row],[Revenue`]]/Dealer_wise[[#This Row],[Volume(Ltr)`]],0)</f>
        <v>0</v>
      </c>
    </row>
    <row r="64" spans="1:11" hidden="1" x14ac:dyDescent="0.5">
      <c r="A64" s="199" t="s">
        <v>659</v>
      </c>
      <c r="B64" s="172" t="str">
        <f>VLOOKUP(A64,MMD[[MMD ID]:[MMD Name]],2,0)</f>
        <v>Moto Tech BD</v>
      </c>
      <c r="C64" s="173">
        <f>SUMIFS(Primary_Order[Total Volume],Primary_Order[Date],$C$5,Primary_Order[MMD ID],Dealer_wise[[#This Row],[ID]],Primary_Order[Status],'Stock Report'!$A$1)</f>
        <v>0</v>
      </c>
      <c r="D64" s="174">
        <f>SUMIFS(Primary_Order[Net Total(-15%)],Primary_Order[Date],$C$5,Primary_Order[MMD ID],Dealer_wise[[#This Row],[ID]],Primary_Order[Status],'Stock Report'!$A$1)</f>
        <v>0</v>
      </c>
      <c r="E64" s="175">
        <f>IFERROR(Dealer_wise[[#This Row],[Revenue]]/Dealer_wise[[#This Row],[Volume(Ltr)]],0)</f>
        <v>0</v>
      </c>
      <c r="F64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4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4" s="175">
        <f>IFERROR(Dealer_wise[[#This Row],[Revenue.]]/Dealer_wise[[#This Row],[Volume(Ltr).]],0)</f>
        <v>0</v>
      </c>
      <c r="I64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4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4" s="177">
        <f>IFERROR(Dealer_wise[[#This Row],[Revenue`]]/Dealer_wise[[#This Row],[Volume(Ltr)`]],0)</f>
        <v>0</v>
      </c>
    </row>
    <row r="65" spans="1:11" hidden="1" x14ac:dyDescent="0.5">
      <c r="A65" s="199" t="s">
        <v>662</v>
      </c>
      <c r="B65" s="172" t="str">
        <f>VLOOKUP(A65,MMD[[MMD ID]:[MMD Name]],2,0)</f>
        <v>Car Aid</v>
      </c>
      <c r="C65" s="173">
        <f>SUMIFS(Primary_Order[Total Volume],Primary_Order[Date],$C$5,Primary_Order[MMD ID],Dealer_wise[[#This Row],[ID]],Primary_Order[Status],'Stock Report'!$A$1)</f>
        <v>0</v>
      </c>
      <c r="D65" s="174">
        <f>SUMIFS(Primary_Order[Net Total(-15%)],Primary_Order[Date],$C$5,Primary_Order[MMD ID],Dealer_wise[[#This Row],[ID]],Primary_Order[Status],'Stock Report'!$A$1)</f>
        <v>0</v>
      </c>
      <c r="E65" s="175">
        <f>IFERROR(Dealer_wise[[#This Row],[Revenue]]/Dealer_wise[[#This Row],[Volume(Ltr)]],0)</f>
        <v>0</v>
      </c>
      <c r="F65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5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5" s="175">
        <f>IFERROR(Dealer_wise[[#This Row],[Revenue.]]/Dealer_wise[[#This Row],[Volume(Ltr).]],0)</f>
        <v>0</v>
      </c>
      <c r="I65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5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5" s="177">
        <f>IFERROR(Dealer_wise[[#This Row],[Revenue`]]/Dealer_wise[[#This Row],[Volume(Ltr)`]],0)</f>
        <v>0</v>
      </c>
    </row>
    <row r="66" spans="1:11" hidden="1" x14ac:dyDescent="0.5">
      <c r="A66" s="199" t="s">
        <v>665</v>
      </c>
      <c r="B66" s="172" t="str">
        <f>VLOOKUP(A66,MMD[[MMD ID]:[MMD Name]],2,0)</f>
        <v>BS Motors</v>
      </c>
      <c r="C66" s="173">
        <f>SUMIFS(Primary_Order[Total Volume],Primary_Order[Date],$C$5,Primary_Order[MMD ID],Dealer_wise[[#This Row],[ID]],Primary_Order[Status],'Stock Report'!$A$1)</f>
        <v>0</v>
      </c>
      <c r="D66" s="174">
        <f>SUMIFS(Primary_Order[Net Total(-15%)],Primary_Order[Date],$C$5,Primary_Order[MMD ID],Dealer_wise[[#This Row],[ID]],Primary_Order[Status],'Stock Report'!$A$1)</f>
        <v>0</v>
      </c>
      <c r="E66" s="175">
        <f>IFERROR(Dealer_wise[[#This Row],[Revenue]]/Dealer_wise[[#This Row],[Volume(Ltr)]],0)</f>
        <v>0</v>
      </c>
      <c r="F66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6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6" s="175">
        <f>IFERROR(Dealer_wise[[#This Row],[Revenue.]]/Dealer_wise[[#This Row],[Volume(Ltr).]],0)</f>
        <v>0</v>
      </c>
      <c r="I66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6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6" s="177">
        <f>IFERROR(Dealer_wise[[#This Row],[Revenue`]]/Dealer_wise[[#This Row],[Volume(Ltr)`]],0)</f>
        <v>0</v>
      </c>
    </row>
    <row r="67" spans="1:11" hidden="1" x14ac:dyDescent="0.5">
      <c r="A67" s="199" t="s">
        <v>667</v>
      </c>
      <c r="B67" s="172" t="str">
        <f>VLOOKUP(A67,MMD[[MMD ID]:[MMD Name]],2,0)</f>
        <v>M/S Hazipur Trading</v>
      </c>
      <c r="C67" s="173">
        <f>SUMIFS(Primary_Order[Total Volume],Primary_Order[Date],$C$5,Primary_Order[MMD ID],Dealer_wise[[#This Row],[ID]],Primary_Order[Status],'Stock Report'!$A$1)</f>
        <v>0</v>
      </c>
      <c r="D67" s="174">
        <f>SUMIFS(Primary_Order[Net Total(-15%)],Primary_Order[Date],$C$5,Primary_Order[MMD ID],Dealer_wise[[#This Row],[ID]],Primary_Order[Status],'Stock Report'!$A$1)</f>
        <v>0</v>
      </c>
      <c r="E67" s="175">
        <f>IFERROR(Dealer_wise[[#This Row],[Revenue]]/Dealer_wise[[#This Row],[Volume(Ltr)]],0)</f>
        <v>0</v>
      </c>
      <c r="F67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7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7" s="175">
        <f>IFERROR(Dealer_wise[[#This Row],[Revenue.]]/Dealer_wise[[#This Row],[Volume(Ltr).]],0)</f>
        <v>0</v>
      </c>
      <c r="I67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7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7" s="177">
        <f>IFERROR(Dealer_wise[[#This Row],[Revenue`]]/Dealer_wise[[#This Row],[Volume(Ltr)`]],0)</f>
        <v>0</v>
      </c>
    </row>
    <row r="68" spans="1:11" hidden="1" x14ac:dyDescent="0.5">
      <c r="A68" s="199" t="s">
        <v>669</v>
      </c>
      <c r="B68" s="172" t="str">
        <f>VLOOKUP(A68,MMD[[MMD ID]:[MMD Name]],2,0)</f>
        <v>Mobil Mart</v>
      </c>
      <c r="C68" s="173">
        <f>SUMIFS(Primary_Order[Total Volume],Primary_Order[Date],$C$5,Primary_Order[MMD ID],Dealer_wise[[#This Row],[ID]],Primary_Order[Status],'Stock Report'!$A$1)</f>
        <v>0</v>
      </c>
      <c r="D68" s="174">
        <f>SUMIFS(Primary_Order[Net Total(-15%)],Primary_Order[Date],$C$5,Primary_Order[MMD ID],Dealer_wise[[#This Row],[ID]],Primary_Order[Status],'Stock Report'!$A$1)</f>
        <v>0</v>
      </c>
      <c r="E68" s="175">
        <f>IFERROR(Dealer_wise[[#This Row],[Revenue]]/Dealer_wise[[#This Row],[Volume(Ltr)]],0)</f>
        <v>0</v>
      </c>
      <c r="F68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8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8" s="175">
        <f>IFERROR(Dealer_wise[[#This Row],[Revenue.]]/Dealer_wise[[#This Row],[Volume(Ltr).]],0)</f>
        <v>0</v>
      </c>
      <c r="I68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8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8" s="177">
        <f>IFERROR(Dealer_wise[[#This Row],[Revenue`]]/Dealer_wise[[#This Row],[Volume(Ltr)`]],0)</f>
        <v>0</v>
      </c>
    </row>
    <row r="69" spans="1:11" hidden="1" x14ac:dyDescent="0.5">
      <c r="A69" s="199" t="s">
        <v>672</v>
      </c>
      <c r="B69" s="172" t="str">
        <f>VLOOKUP(A69,MMD[[MMD ID]:[MMD Name]],2,0)</f>
        <v>N Islam Automobiles</v>
      </c>
      <c r="C69" s="173">
        <f>SUMIFS(Primary_Order[Total Volume],Primary_Order[Date],$C$5,Primary_Order[MMD ID],Dealer_wise[[#This Row],[ID]],Primary_Order[Status],'Stock Report'!$A$1)</f>
        <v>0</v>
      </c>
      <c r="D69" s="174">
        <f>SUMIFS(Primary_Order[Net Total(-15%)],Primary_Order[Date],$C$5,Primary_Order[MMD ID],Dealer_wise[[#This Row],[ID]],Primary_Order[Status],'Stock Report'!$A$1)</f>
        <v>0</v>
      </c>
      <c r="E69" s="175">
        <f>IFERROR(Dealer_wise[[#This Row],[Revenue]]/Dealer_wise[[#This Row],[Volume(Ltr)]],0)</f>
        <v>0</v>
      </c>
      <c r="F69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69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69" s="175">
        <f>IFERROR(Dealer_wise[[#This Row],[Revenue.]]/Dealer_wise[[#This Row],[Volume(Ltr).]],0)</f>
        <v>0</v>
      </c>
      <c r="I69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69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69" s="177">
        <f>IFERROR(Dealer_wise[[#This Row],[Revenue`]]/Dealer_wise[[#This Row],[Volume(Ltr)`]],0)</f>
        <v>0</v>
      </c>
    </row>
    <row r="70" spans="1:11" hidden="1" x14ac:dyDescent="0.5">
      <c r="A70" s="199" t="s">
        <v>674</v>
      </c>
      <c r="B70" s="172" t="str">
        <f>VLOOKUP(A70,MMD[[MMD ID]:[MMD Name]],2,0)</f>
        <v>Nawaz Traders</v>
      </c>
      <c r="C70" s="173">
        <f>SUMIFS(Primary_Order[Total Volume],Primary_Order[Date],$C$5,Primary_Order[MMD ID],Dealer_wise[[#This Row],[ID]],Primary_Order[Status],'Stock Report'!$A$1)</f>
        <v>0</v>
      </c>
      <c r="D70" s="174">
        <f>SUMIFS(Primary_Order[Net Total(-15%)],Primary_Order[Date],$C$5,Primary_Order[MMD ID],Dealer_wise[[#This Row],[ID]],Primary_Order[Status],'Stock Report'!$A$1)</f>
        <v>0</v>
      </c>
      <c r="E70" s="175">
        <f>IFERROR(Dealer_wise[[#This Row],[Revenue]]/Dealer_wise[[#This Row],[Volume(Ltr)]],0)</f>
        <v>0</v>
      </c>
      <c r="F70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0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0" s="175">
        <f>IFERROR(Dealer_wise[[#This Row],[Revenue.]]/Dealer_wise[[#This Row],[Volume(Ltr).]],0)</f>
        <v>0</v>
      </c>
      <c r="I70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0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0" s="177">
        <f>IFERROR(Dealer_wise[[#This Row],[Revenue`]]/Dealer_wise[[#This Row],[Volume(Ltr)`]],0)</f>
        <v>0</v>
      </c>
    </row>
    <row r="71" spans="1:11" hidden="1" x14ac:dyDescent="0.5">
      <c r="A71" s="199" t="s">
        <v>677</v>
      </c>
      <c r="B71" s="172" t="str">
        <f>VLOOKUP(A71,MMD[[MMD ID]:[MMD Name]],2,0)</f>
        <v>Power Battery &amp; Tyre</v>
      </c>
      <c r="C71" s="173">
        <f>SUMIFS(Primary_Order[Total Volume],Primary_Order[Date],$C$5,Primary_Order[MMD ID],Dealer_wise[[#This Row],[ID]],Primary_Order[Status],'Stock Report'!$A$1)</f>
        <v>0</v>
      </c>
      <c r="D71" s="174">
        <f>SUMIFS(Primary_Order[Net Total(-15%)],Primary_Order[Date],$C$5,Primary_Order[MMD ID],Dealer_wise[[#This Row],[ID]],Primary_Order[Status],'Stock Report'!$A$1)</f>
        <v>0</v>
      </c>
      <c r="E71" s="175">
        <f>IFERROR(Dealer_wise[[#This Row],[Revenue]]/Dealer_wise[[#This Row],[Volume(Ltr)]],0)</f>
        <v>0</v>
      </c>
      <c r="F71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1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1" s="175">
        <f>IFERROR(Dealer_wise[[#This Row],[Revenue.]]/Dealer_wise[[#This Row],[Volume(Ltr).]],0)</f>
        <v>0</v>
      </c>
      <c r="I71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1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1" s="177">
        <f>IFERROR(Dealer_wise[[#This Row],[Revenue`]]/Dealer_wise[[#This Row],[Volume(Ltr)`]],0)</f>
        <v>0</v>
      </c>
    </row>
    <row r="72" spans="1:11" hidden="1" x14ac:dyDescent="0.5">
      <c r="A72" s="199" t="s">
        <v>679</v>
      </c>
      <c r="B72" s="172" t="str">
        <f>VLOOKUP(A72,MMD[[MMD ID]:[MMD Name]],2,0)</f>
        <v>Kawser Motors</v>
      </c>
      <c r="C72" s="173">
        <f>SUMIFS(Primary_Order[Total Volume],Primary_Order[Date],$C$5,Primary_Order[MMD ID],Dealer_wise[[#This Row],[ID]],Primary_Order[Status],'Stock Report'!$A$1)</f>
        <v>0</v>
      </c>
      <c r="D72" s="174">
        <f>SUMIFS(Primary_Order[Net Total(-15%)],Primary_Order[Date],$C$5,Primary_Order[MMD ID],Dealer_wise[[#This Row],[ID]],Primary_Order[Status],'Stock Report'!$A$1)</f>
        <v>0</v>
      </c>
      <c r="E72" s="175">
        <f>IFERROR(Dealer_wise[[#This Row],[Revenue]]/Dealer_wise[[#This Row],[Volume(Ltr)]],0)</f>
        <v>0</v>
      </c>
      <c r="F72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2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2" s="175">
        <f>IFERROR(Dealer_wise[[#This Row],[Revenue.]]/Dealer_wise[[#This Row],[Volume(Ltr).]],0)</f>
        <v>0</v>
      </c>
      <c r="I72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2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2" s="177">
        <f>IFERROR(Dealer_wise[[#This Row],[Revenue`]]/Dealer_wise[[#This Row],[Volume(Ltr)`]],0)</f>
        <v>0</v>
      </c>
    </row>
    <row r="73" spans="1:11" hidden="1" x14ac:dyDescent="0.5">
      <c r="A73" s="199" t="s">
        <v>683</v>
      </c>
      <c r="B73" s="172" t="str">
        <f>VLOOKUP(A73,MMD[[MMD ID]:[MMD Name]],2,0)</f>
        <v>Rashid Cycle</v>
      </c>
      <c r="C73" s="173">
        <f>SUMIFS(Primary_Order[Total Volume],Primary_Order[Date],$C$5,Primary_Order[MMD ID],Dealer_wise[[#This Row],[ID]],Primary_Order[Status],'Stock Report'!$A$1)</f>
        <v>0</v>
      </c>
      <c r="D73" s="174">
        <f>SUMIFS(Primary_Order[Net Total(-15%)],Primary_Order[Date],$C$5,Primary_Order[MMD ID],Dealer_wise[[#This Row],[ID]],Primary_Order[Status],'Stock Report'!$A$1)</f>
        <v>0</v>
      </c>
      <c r="E73" s="175">
        <f>IFERROR(Dealer_wise[[#This Row],[Revenue]]/Dealer_wise[[#This Row],[Volume(Ltr)]],0)</f>
        <v>0</v>
      </c>
      <c r="F73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3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3" s="175">
        <f>IFERROR(Dealer_wise[[#This Row],[Revenue.]]/Dealer_wise[[#This Row],[Volume(Ltr).]],0)</f>
        <v>0</v>
      </c>
      <c r="I73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3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3" s="177">
        <f>IFERROR(Dealer_wise[[#This Row],[Revenue`]]/Dealer_wise[[#This Row],[Volume(Ltr)`]],0)</f>
        <v>0</v>
      </c>
    </row>
    <row r="74" spans="1:11" hidden="1" x14ac:dyDescent="0.5">
      <c r="A74" s="199" t="s">
        <v>687</v>
      </c>
      <c r="B74" s="172" t="str">
        <f>VLOOKUP(A74,MMD[[MMD ID]:[MMD Name]],2,0)</f>
        <v>Safe Energy</v>
      </c>
      <c r="C74" s="173">
        <f>SUMIFS(Primary_Order[Total Volume],Primary_Order[Date],$C$5,Primary_Order[MMD ID],Dealer_wise[[#This Row],[ID]],Primary_Order[Status],'Stock Report'!$A$1)</f>
        <v>0</v>
      </c>
      <c r="D74" s="174">
        <f>SUMIFS(Primary_Order[Net Total(-15%)],Primary_Order[Date],$C$5,Primary_Order[MMD ID],Dealer_wise[[#This Row],[ID]],Primary_Order[Status],'Stock Report'!$A$1)</f>
        <v>0</v>
      </c>
      <c r="E74" s="175">
        <f>IFERROR(Dealer_wise[[#This Row],[Revenue]]/Dealer_wise[[#This Row],[Volume(Ltr)]],0)</f>
        <v>0</v>
      </c>
      <c r="F74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4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4" s="175">
        <f>IFERROR(Dealer_wise[[#This Row],[Revenue.]]/Dealer_wise[[#This Row],[Volume(Ltr).]],0)</f>
        <v>0</v>
      </c>
      <c r="I74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4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4" s="177">
        <f>IFERROR(Dealer_wise[[#This Row],[Revenue`]]/Dealer_wise[[#This Row],[Volume(Ltr)`]],0)</f>
        <v>0</v>
      </c>
    </row>
    <row r="75" spans="1:11" hidden="1" x14ac:dyDescent="0.5">
      <c r="A75" s="199" t="s">
        <v>690</v>
      </c>
      <c r="B75" s="172" t="str">
        <f>VLOOKUP(A75,MMD[[MMD ID]:[MMD Name]],2,0)</f>
        <v>Zam Zam Traders</v>
      </c>
      <c r="C75" s="173">
        <f>SUMIFS(Primary_Order[Total Volume],Primary_Order[Date],$C$5,Primary_Order[MMD ID],Dealer_wise[[#This Row],[ID]],Primary_Order[Status],'Stock Report'!$A$1)</f>
        <v>0</v>
      </c>
      <c r="D75" s="174">
        <f>SUMIFS(Primary_Order[Net Total(-15%)],Primary_Order[Date],$C$5,Primary_Order[MMD ID],Dealer_wise[[#This Row],[ID]],Primary_Order[Status],'Stock Report'!$A$1)</f>
        <v>0</v>
      </c>
      <c r="E75" s="175">
        <f>IFERROR(Dealer_wise[[#This Row],[Revenue]]/Dealer_wise[[#This Row],[Volume(Ltr)]],0)</f>
        <v>0</v>
      </c>
      <c r="F75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5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5" s="175">
        <f>IFERROR(Dealer_wise[[#This Row],[Revenue.]]/Dealer_wise[[#This Row],[Volume(Ltr).]],0)</f>
        <v>0</v>
      </c>
      <c r="I75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5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5" s="177">
        <f>IFERROR(Dealer_wise[[#This Row],[Revenue`]]/Dealer_wise[[#This Row],[Volume(Ltr)`]],0)</f>
        <v>0</v>
      </c>
    </row>
    <row r="76" spans="1:11" hidden="1" x14ac:dyDescent="0.5">
      <c r="A76" s="199" t="s">
        <v>694</v>
      </c>
      <c r="B76" s="172" t="str">
        <f>VLOOKUP(A76,MMD[[MMD ID]:[MMD Name]],2,0)</f>
        <v>ML Motors</v>
      </c>
      <c r="C76" s="173">
        <f>SUMIFS(Primary_Order[Total Volume],Primary_Order[Date],$C$5,Primary_Order[MMD ID],Dealer_wise[[#This Row],[ID]],Primary_Order[Status],'Stock Report'!$A$1)</f>
        <v>0</v>
      </c>
      <c r="D76" s="174">
        <f>SUMIFS(Primary_Order[Net Total(-15%)],Primary_Order[Date],$C$5,Primary_Order[MMD ID],Dealer_wise[[#This Row],[ID]],Primary_Order[Status],'Stock Report'!$A$1)</f>
        <v>0</v>
      </c>
      <c r="E76" s="175">
        <f>IFERROR(Dealer_wise[[#This Row],[Revenue]]/Dealer_wise[[#This Row],[Volume(Ltr)]],0)</f>
        <v>0</v>
      </c>
      <c r="F76" s="173">
        <f>SUMIFS(Primary_Order[Total Volume],Primary_Order[Date],"&gt;="&amp;DATE(YEAR($C$5),MONTH($C$5),1),Primary_Order[Date],"&lt;="&amp;$C$5,Primary_Order[MMD ID],Dealer_wise[[#This Row],[ID]],Primary_Order[Status],'Stock Report'!$A$1)</f>
        <v>0</v>
      </c>
      <c r="G76" s="174">
        <f>SUMIFS(Primary_Order[Net Total(-15%)],Primary_Order[Date],"&gt;="&amp;DATE(YEAR($C$5),MONTH($C$5),1),Primary_Order[Date],"&lt;="&amp;$C$5,Primary_Order[MMD ID],Dealer_wise[[#This Row],[ID]],Primary_Order[Status],'Stock Report'!$A$1)</f>
        <v>0</v>
      </c>
      <c r="H76" s="175">
        <f>IFERROR(Dealer_wise[[#This Row],[Revenue.]]/Dealer_wise[[#This Row],[Volume(Ltr).]],0)</f>
        <v>0</v>
      </c>
      <c r="I76" s="176">
        <f>SUMIFS(Primary_Order[Total Volume],Primary_Order[Date],"&gt;="&amp;DATE(YEAR($C$5),1,1),Primary_Order[Date],"&lt;="&amp;$C$5,Primary_Order[MMD ID],Dealer_wise[[#This Row],[ID]],Primary_Order[Status],'Stock Report'!$A$1)</f>
        <v>0</v>
      </c>
      <c r="J76" s="174">
        <f>SUMIFS(Primary_Order[Net Total(-15%)],Primary_Order[Date],"&gt;="&amp;DATE(YEAR($C$5),1,1),Primary_Order[Date],"&lt;="&amp;$C$5,Primary_Order[MMD ID],Dealer_wise[[#This Row],[ID]],Primary_Order[Payment Type],"&lt;&gt;Free",Primary_Order[Status],'Stock Report'!$A$1)</f>
        <v>0</v>
      </c>
      <c r="K76" s="177">
        <f>IFERROR(Dealer_wise[[#This Row],[Revenue`]]/Dealer_wise[[#This Row],[Volume(Ltr)`]],0)</f>
        <v>0</v>
      </c>
    </row>
    <row r="77" spans="1:11" hidden="1" x14ac:dyDescent="0.5">
      <c r="A77" s="193" t="s">
        <v>1131</v>
      </c>
      <c r="B77" s="172" t="str">
        <f>VLOOKUP(A77,MMD[[MMD ID]:[MMD Name]],2,0)</f>
        <v>Mid Bangal Private ltd</v>
      </c>
      <c r="C77" s="173">
        <f>SUMIFS(Primary_Order[Total Volume],Primary_Order[Date],$C$5,Primary_Order[MMD],B77)</f>
        <v>0</v>
      </c>
      <c r="D77" s="174">
        <f>SUMIFS(Primary_Order[Net Total(-15%)],Primary_Order[Date],$C$5,Primary_Order[MMD],B77)</f>
        <v>0</v>
      </c>
      <c r="E77" s="175">
        <f>IFERROR(Dealer_wise[[#This Row],[Revenue]]/Dealer_wise[[#This Row],[Volume(Ltr)]],0)</f>
        <v>0</v>
      </c>
      <c r="F77" s="173">
        <f>SUMIFS(Primary_Order[Total Volume],Primary_Order[Date],"&gt;="&amp;DATE(YEAR($C$5),MONTH($C$5),1),Primary_Order[Date],"&lt;="&amp;$C$5,Primary_Order[MMD],B77)</f>
        <v>0</v>
      </c>
      <c r="G77" s="174">
        <f>SUMIFS(Primary_Order[Net Total(-15%)],Primary_Order[Date],"&gt;="&amp;DATE(YEAR($C$5),MONTH($C$5),1),Primary_Order[Date],"&lt;="&amp;$C$5,Primary_Order[MMD],B77)</f>
        <v>0</v>
      </c>
      <c r="H77" s="175">
        <f>IFERROR(Dealer_wise[[#This Row],[Revenue.]]/Dealer_wise[[#This Row],[Volume(Ltr).]],0)</f>
        <v>0</v>
      </c>
      <c r="I77" s="176">
        <f>SUMIFS(Primary_Order[Total Volume],Primary_Order[Date],"&gt;="&amp;DATE(YEAR($C$5),1,1),Primary_Order[Date],"&lt;="&amp;$C$5,Primary_Order[MMD],B77)</f>
        <v>6000</v>
      </c>
      <c r="J77" s="174">
        <f>SUMIFS(Primary_Order[Net Total(-15%)],Primary_Order[Date],"&gt;="&amp;DATE(YEAR($C$5),1,1),Primary_Order[Date],"&lt;="&amp;$C$5,Primary_Order[MMD],B77,Primary_Order[Payment Type],"&lt;&gt;Free")</f>
        <v>2139130.4347826089</v>
      </c>
      <c r="K77" s="177">
        <f>IFERROR(Dealer_wise[[#This Row],[Revenue`]]/Dealer_wise[[#This Row],[Volume(Ltr)`]],0)</f>
        <v>356.52173913043481</v>
      </c>
    </row>
    <row r="78" spans="1:11" hidden="1" x14ac:dyDescent="0.5">
      <c r="A78" s="193" t="s">
        <v>1186</v>
      </c>
      <c r="B78" s="172" t="str">
        <f>VLOOKUP(A78,MMD[[MMD ID]:[MMD Name]],2,0)</f>
        <v>Riters Enterprise</v>
      </c>
      <c r="C78" s="173">
        <f>SUMIFS(Primary_Order[Total Volume],Primary_Order[Date],$C$5,Primary_Order[MMD],B78)</f>
        <v>0</v>
      </c>
      <c r="D78" s="174">
        <f>SUMIFS(Primary_Order[Net Total(-15%)],Primary_Order[Date],$C$5,Primary_Order[MMD],B78)</f>
        <v>0</v>
      </c>
      <c r="E78" s="175">
        <f>IFERROR(Dealer_wise[[#This Row],[Revenue]]/Dealer_wise[[#This Row],[Volume(Ltr)]],0)</f>
        <v>0</v>
      </c>
      <c r="F78" s="173">
        <f>SUMIFS(Primary_Order[Total Volume],Primary_Order[Date],"&gt;="&amp;DATE(YEAR($C$5),MONTH($C$5),1),Primary_Order[Date],"&lt;="&amp;$C$5,Primary_Order[MMD],B78)</f>
        <v>0</v>
      </c>
      <c r="G78" s="174">
        <f>SUMIFS(Primary_Order[Net Total(-15%)],Primary_Order[Date],"&gt;="&amp;DATE(YEAR($C$5),MONTH($C$5),1),Primary_Order[Date],"&lt;="&amp;$C$5,Primary_Order[MMD],B78)</f>
        <v>0</v>
      </c>
      <c r="H78" s="175">
        <f>IFERROR(Dealer_wise[[#This Row],[Revenue.]]/Dealer_wise[[#This Row],[Volume(Ltr).]],0)</f>
        <v>0</v>
      </c>
      <c r="I78" s="176">
        <f>SUMIFS(Primary_Order[Total Volume],Primary_Order[Date],"&gt;="&amp;DATE(YEAR($C$5),1,1),Primary_Order[Date],"&lt;="&amp;$C$5,Primary_Order[MMD],B78)</f>
        <v>8</v>
      </c>
      <c r="J78" s="174">
        <f>SUMIFS(Primary_Order[Net Total(-15%)],Primary_Order[Date],"&gt;="&amp;DATE(YEAR($C$5),1,1),Primary_Order[Date],"&lt;="&amp;$C$5,Primary_Order[MMD],B78,Primary_Order[Payment Type],"&lt;&gt;Free")</f>
        <v>3130.4347826086955</v>
      </c>
      <c r="K78" s="177">
        <f>IFERROR(Dealer_wise[[#This Row],[Revenue`]]/Dealer_wise[[#This Row],[Volume(Ltr)`]],0)</f>
        <v>391.30434782608694</v>
      </c>
    </row>
    <row r="79" spans="1:11" hidden="1" x14ac:dyDescent="0.5">
      <c r="A79" s="193" t="s">
        <v>735</v>
      </c>
      <c r="B79" s="172" t="str">
        <f>VLOOKUP(A79,MMD[[MMD ID]:[MMD Name]],2,0)</f>
        <v>Niloy Motors Ltd</v>
      </c>
      <c r="C79" s="173">
        <f>SUMIFS(Primary_Order[Total Volume],Primary_Order[Date],$C$5,Primary_Order[MMD],B79)</f>
        <v>0</v>
      </c>
      <c r="D79" s="174">
        <f>SUMIFS(Primary_Order[Net Total(-15%)],Primary_Order[Date],$C$5,Primary_Order[MMD],B79)</f>
        <v>0</v>
      </c>
      <c r="E79" s="175">
        <f>IFERROR(Dealer_wise[[#This Row],[Revenue]]/Dealer_wise[[#This Row],[Volume(Ltr)]],0)</f>
        <v>0</v>
      </c>
      <c r="F79" s="173">
        <f>SUMIFS(Primary_Order[Total Volume],Primary_Order[Date],"&gt;="&amp;DATE(YEAR($C$5),MONTH($C$5),1),Primary_Order[Date],"&lt;="&amp;$C$5,Primary_Order[MMD],B79)</f>
        <v>0</v>
      </c>
      <c r="G79" s="174">
        <f>SUMIFS(Primary_Order[Net Total(-15%)],Primary_Order[Date],"&gt;="&amp;DATE(YEAR($C$5),MONTH($C$5),1),Primary_Order[Date],"&lt;="&amp;$C$5,Primary_Order[MMD],B79)</f>
        <v>0</v>
      </c>
      <c r="H79" s="175">
        <f>IFERROR(Dealer_wise[[#This Row],[Revenue.]]/Dealer_wise[[#This Row],[Volume(Ltr).]],0)</f>
        <v>0</v>
      </c>
      <c r="I79" s="176">
        <f>SUMIFS(Primary_Order[Total Volume],Primary_Order[Date],"&gt;="&amp;DATE(YEAR($C$5),1,1),Primary_Order[Date],"&lt;="&amp;$C$5,Primary_Order[MMD],B79)</f>
        <v>0</v>
      </c>
      <c r="J79" s="174">
        <f>SUMIFS(Primary_Order[Net Total(-15%)],Primary_Order[Date],"&gt;="&amp;DATE(YEAR($C$5),1,1),Primary_Order[Date],"&lt;="&amp;$C$5,Primary_Order[MMD],B79,Primary_Order[Payment Type],"&lt;&gt;Free")</f>
        <v>0</v>
      </c>
      <c r="K79" s="177">
        <f>IFERROR(Dealer_wise[[#This Row],[Revenue`]]/Dealer_wise[[#This Row],[Volume(Ltr)`]],0)</f>
        <v>0</v>
      </c>
    </row>
    <row r="80" spans="1:11" hidden="1" x14ac:dyDescent="0.5">
      <c r="A80" s="193" t="s">
        <v>736</v>
      </c>
      <c r="B80" s="172" t="str">
        <f>VLOOKUP(A80,MMD[[MMD ID]:[MMD Name]],2,0)</f>
        <v>OnnoRokom Web Services ltd</v>
      </c>
      <c r="C80" s="173">
        <f>SUMIFS(Primary_Order[Total Volume],Primary_Order[Date],$C$5,Primary_Order[MMD],B80)</f>
        <v>0</v>
      </c>
      <c r="D80" s="174">
        <f>SUMIFS(Primary_Order[Net Total(-15%)],Primary_Order[Date],$C$5,Primary_Order[MMD],B80)</f>
        <v>0</v>
      </c>
      <c r="E80" s="175">
        <f>IFERROR(Dealer_wise[[#This Row],[Revenue]]/Dealer_wise[[#This Row],[Volume(Ltr)]],0)</f>
        <v>0</v>
      </c>
      <c r="F80" s="173">
        <f>SUMIFS(Primary_Order[Total Volume],Primary_Order[Date],"&gt;="&amp;DATE(YEAR($C$5),MONTH($C$5),1),Primary_Order[Date],"&lt;="&amp;$C$5,Primary_Order[MMD],B80)</f>
        <v>0</v>
      </c>
      <c r="G80" s="174">
        <f>SUMIFS(Primary_Order[Net Total(-15%)],Primary_Order[Date],"&gt;="&amp;DATE(YEAR($C$5),MONTH($C$5),1),Primary_Order[Date],"&lt;="&amp;$C$5,Primary_Order[MMD],B80)</f>
        <v>0</v>
      </c>
      <c r="H80" s="175">
        <f>IFERROR(Dealer_wise[[#This Row],[Revenue.]]/Dealer_wise[[#This Row],[Volume(Ltr).]],0)</f>
        <v>0</v>
      </c>
      <c r="I80" s="176">
        <f>SUMIFS(Primary_Order[Total Volume],Primary_Order[Date],"&gt;="&amp;DATE(YEAR($C$5),1,1),Primary_Order[Date],"&lt;="&amp;$C$5,Primary_Order[MMD],B80)</f>
        <v>0</v>
      </c>
      <c r="J80" s="174">
        <f>SUMIFS(Primary_Order[Net Total(-15%)],Primary_Order[Date],"&gt;="&amp;DATE(YEAR($C$5),1,1),Primary_Order[Date],"&lt;="&amp;$C$5,Primary_Order[MMD],B80,Primary_Order[Payment Type],"&lt;&gt;Free")</f>
        <v>0</v>
      </c>
      <c r="K80" s="177">
        <f>IFERROR(Dealer_wise[[#This Row],[Revenue`]]/Dealer_wise[[#This Row],[Volume(Ltr)`]],0)</f>
        <v>0</v>
      </c>
    </row>
    <row r="81" spans="1:11" hidden="1" x14ac:dyDescent="0.5">
      <c r="A81" s="193" t="s">
        <v>737</v>
      </c>
      <c r="B81" s="172" t="str">
        <f>VLOOKUP(A81,MMD[[MMD ID]:[MMD Name]],2,0)</f>
        <v>HyBrid Express</v>
      </c>
      <c r="C81" s="173">
        <f>SUMIFS(Primary_Order[Total Volume],Primary_Order[Date],$C$5,Primary_Order[MMD],B81)</f>
        <v>0</v>
      </c>
      <c r="D81" s="174">
        <f>SUMIFS(Primary_Order[Net Total(-15%)],Primary_Order[Date],$C$5,Primary_Order[MMD],B81)</f>
        <v>0</v>
      </c>
      <c r="E81" s="175">
        <f>IFERROR(Dealer_wise[[#This Row],[Revenue]]/Dealer_wise[[#This Row],[Volume(Ltr)]],0)</f>
        <v>0</v>
      </c>
      <c r="F81" s="173">
        <f>SUMIFS(Primary_Order[Total Volume],Primary_Order[Date],"&gt;="&amp;DATE(YEAR($C$5),MONTH($C$5),1),Primary_Order[Date],"&lt;="&amp;$C$5,Primary_Order[MMD],B81)</f>
        <v>0</v>
      </c>
      <c r="G81" s="174">
        <f>SUMIFS(Primary_Order[Net Total(-15%)],Primary_Order[Date],"&gt;="&amp;DATE(YEAR($C$5),MONTH($C$5),1),Primary_Order[Date],"&lt;="&amp;$C$5,Primary_Order[MMD],B81)</f>
        <v>0</v>
      </c>
      <c r="H81" s="175">
        <f>IFERROR(Dealer_wise[[#This Row],[Revenue.]]/Dealer_wise[[#This Row],[Volume(Ltr).]],0)</f>
        <v>0</v>
      </c>
      <c r="I81" s="176">
        <f>SUMIFS(Primary_Order[Total Volume],Primary_Order[Date],"&gt;="&amp;DATE(YEAR($C$5),1,1),Primary_Order[Date],"&lt;="&amp;$C$5,Primary_Order[MMD],B81)</f>
        <v>0</v>
      </c>
      <c r="J81" s="174">
        <f>SUMIFS(Primary_Order[Net Total(-15%)],Primary_Order[Date],"&gt;="&amp;DATE(YEAR($C$5),1,1),Primary_Order[Date],"&lt;="&amp;$C$5,Primary_Order[MMD],B81,Primary_Order[Payment Type],"&lt;&gt;Free")</f>
        <v>0</v>
      </c>
      <c r="K81" s="177">
        <f>IFERROR(Dealer_wise[[#This Row],[Revenue`]]/Dealer_wise[[#This Row],[Volume(Ltr)`]],0)</f>
        <v>0</v>
      </c>
    </row>
    <row r="82" spans="1:11" hidden="1" x14ac:dyDescent="0.5">
      <c r="A82" s="193" t="s">
        <v>738</v>
      </c>
      <c r="B82" s="172" t="str">
        <f>VLOOKUP(A82,MMD[[MMD ID]:[MMD Name]],2,0)</f>
        <v>Option One</v>
      </c>
      <c r="C82" s="173">
        <f>SUMIFS(Primary_Order[Total Volume],Primary_Order[Date],$C$5,Primary_Order[MMD],B82)</f>
        <v>0</v>
      </c>
      <c r="D82" s="174">
        <f>SUMIFS(Primary_Order[Net Total(-15%)],Primary_Order[Date],$C$5,Primary_Order[MMD],B82)</f>
        <v>0</v>
      </c>
      <c r="E82" s="175">
        <f>IFERROR(Dealer_wise[[#This Row],[Revenue]]/Dealer_wise[[#This Row],[Volume(Ltr)]],0)</f>
        <v>0</v>
      </c>
      <c r="F82" s="173">
        <f>SUMIFS(Primary_Order[Total Volume],Primary_Order[Date],"&gt;="&amp;DATE(YEAR($C$5),MONTH($C$5),1),Primary_Order[Date],"&lt;="&amp;$C$5,Primary_Order[MMD],B82)</f>
        <v>0</v>
      </c>
      <c r="G82" s="174">
        <f>SUMIFS(Primary_Order[Net Total(-15%)],Primary_Order[Date],"&gt;="&amp;DATE(YEAR($C$5),MONTH($C$5),1),Primary_Order[Date],"&lt;="&amp;$C$5,Primary_Order[MMD],B82)</f>
        <v>0</v>
      </c>
      <c r="H82" s="175">
        <f>IFERROR(Dealer_wise[[#This Row],[Revenue.]]/Dealer_wise[[#This Row],[Volume(Ltr).]],0)</f>
        <v>0</v>
      </c>
      <c r="I82" s="176">
        <f>SUMIFS(Primary_Order[Total Volume],Primary_Order[Date],"&gt;="&amp;DATE(YEAR($C$5),1,1),Primary_Order[Date],"&lt;="&amp;$C$5,Primary_Order[MMD],B82)</f>
        <v>0</v>
      </c>
      <c r="J82" s="174">
        <f>SUMIFS(Primary_Order[Net Total(-15%)],Primary_Order[Date],"&gt;="&amp;DATE(YEAR($C$5),1,1),Primary_Order[Date],"&lt;="&amp;$C$5,Primary_Order[MMD],B82,Primary_Order[Payment Type],"&lt;&gt;Free")</f>
        <v>0</v>
      </c>
      <c r="K82" s="177">
        <f>IFERROR(Dealer_wise[[#This Row],[Revenue`]]/Dealer_wise[[#This Row],[Volume(Ltr)`]],0)</f>
        <v>0</v>
      </c>
    </row>
    <row r="83" spans="1:11" hidden="1" x14ac:dyDescent="0.5">
      <c r="A83" s="193" t="s">
        <v>739</v>
      </c>
      <c r="B83" s="172" t="str">
        <f>VLOOKUP(A83,MMD[[MMD ID]:[MMD Name]],2,0)</f>
        <v>Ananda Shipyard</v>
      </c>
      <c r="C83" s="173">
        <f>SUMIFS(Primary_Order[Total Volume],Primary_Order[Date],$C$5,Primary_Order[MMD],B83)</f>
        <v>0</v>
      </c>
      <c r="D83" s="174">
        <f>SUMIFS(Primary_Order[Net Total(-15%)],Primary_Order[Date],$C$5,Primary_Order[MMD],B83)</f>
        <v>0</v>
      </c>
      <c r="E83" s="175">
        <f>IFERROR(Dealer_wise[[#This Row],[Revenue]]/Dealer_wise[[#This Row],[Volume(Ltr)]],0)</f>
        <v>0</v>
      </c>
      <c r="F83" s="173">
        <f>SUMIFS(Primary_Order[Total Volume],Primary_Order[Date],"&gt;="&amp;DATE(YEAR($C$5),MONTH($C$5),1),Primary_Order[Date],"&lt;="&amp;$C$5,Primary_Order[MMD],B83)</f>
        <v>0</v>
      </c>
      <c r="G83" s="174">
        <f>SUMIFS(Primary_Order[Net Total(-15%)],Primary_Order[Date],"&gt;="&amp;DATE(YEAR($C$5),MONTH($C$5),1),Primary_Order[Date],"&lt;="&amp;$C$5,Primary_Order[MMD],B83)</f>
        <v>0</v>
      </c>
      <c r="H83" s="175">
        <f>IFERROR(Dealer_wise[[#This Row],[Revenue.]]/Dealer_wise[[#This Row],[Volume(Ltr).]],0)</f>
        <v>0</v>
      </c>
      <c r="I83" s="176">
        <f>SUMIFS(Primary_Order[Total Volume],Primary_Order[Date],"&gt;="&amp;DATE(YEAR($C$5),1,1),Primary_Order[Date],"&lt;="&amp;$C$5,Primary_Order[MMD],B83)</f>
        <v>0</v>
      </c>
      <c r="J83" s="174">
        <f>SUMIFS(Primary_Order[Net Total(-15%)],Primary_Order[Date],"&gt;="&amp;DATE(YEAR($C$5),1,1),Primary_Order[Date],"&lt;="&amp;$C$5,Primary_Order[MMD],B83,Primary_Order[Payment Type],"&lt;&gt;Free")</f>
        <v>0</v>
      </c>
      <c r="K83" s="177">
        <f>IFERROR(Dealer_wise[[#This Row],[Revenue`]]/Dealer_wise[[#This Row],[Volume(Ltr)`]],0)</f>
        <v>0</v>
      </c>
    </row>
    <row r="84" spans="1:11" hidden="1" x14ac:dyDescent="0.5">
      <c r="A84" s="193" t="s">
        <v>740</v>
      </c>
      <c r="B84" s="172" t="str">
        <f>VLOOKUP(A84,MMD[[MMD ID]:[MMD Name]],2,0)</f>
        <v>M Nippon Autos</v>
      </c>
      <c r="C84" s="173">
        <f>SUMIFS(Primary_Order[Total Volume],Primary_Order[Date],$C$5,Primary_Order[MMD],B84)</f>
        <v>0</v>
      </c>
      <c r="D84" s="174">
        <f>SUMIFS(Primary_Order[Net Total(-15%)],Primary_Order[Date],$C$5,Primary_Order[MMD],B84)</f>
        <v>0</v>
      </c>
      <c r="E84" s="175">
        <f>IFERROR(Dealer_wise[[#This Row],[Revenue]]/Dealer_wise[[#This Row],[Volume(Ltr)]],0)</f>
        <v>0</v>
      </c>
      <c r="F84" s="173">
        <f>SUMIFS(Primary_Order[Total Volume],Primary_Order[Date],"&gt;="&amp;DATE(YEAR($C$5),MONTH($C$5),1),Primary_Order[Date],"&lt;="&amp;$C$5,Primary_Order[MMD],B84)</f>
        <v>0</v>
      </c>
      <c r="G84" s="174">
        <f>SUMIFS(Primary_Order[Net Total(-15%)],Primary_Order[Date],"&gt;="&amp;DATE(YEAR($C$5),MONTH($C$5),1),Primary_Order[Date],"&lt;="&amp;$C$5,Primary_Order[MMD],B84)</f>
        <v>0</v>
      </c>
      <c r="H84" s="175">
        <f>IFERROR(Dealer_wise[[#This Row],[Revenue.]]/Dealer_wise[[#This Row],[Volume(Ltr).]],0)</f>
        <v>0</v>
      </c>
      <c r="I84" s="176">
        <f>SUMIFS(Primary_Order[Total Volume],Primary_Order[Date],"&gt;="&amp;DATE(YEAR($C$5),1,1),Primary_Order[Date],"&lt;="&amp;$C$5,Primary_Order[MMD],B84)</f>
        <v>0</v>
      </c>
      <c r="J84" s="174">
        <f>SUMIFS(Primary_Order[Net Total(-15%)],Primary_Order[Date],"&gt;="&amp;DATE(YEAR($C$5),1,1),Primary_Order[Date],"&lt;="&amp;$C$5,Primary_Order[MMD],B84,Primary_Order[Payment Type],"&lt;&gt;Free")</f>
        <v>0</v>
      </c>
      <c r="K84" s="177">
        <f>IFERROR(Dealer_wise[[#This Row],[Revenue`]]/Dealer_wise[[#This Row],[Volume(Ltr)`]],0)</f>
        <v>0</v>
      </c>
    </row>
    <row r="85" spans="1:11" hidden="1" x14ac:dyDescent="0.5">
      <c r="A85" s="193" t="s">
        <v>741</v>
      </c>
      <c r="B85" s="172" t="str">
        <f>VLOOKUP(A85,MMD[[MMD ID]:[MMD Name]],2,0)</f>
        <v>Rancon British Motors Ltd</v>
      </c>
      <c r="C85" s="173">
        <f>SUMIFS(Primary_Order[Total Volume],Primary_Order[Date],$C$5,Primary_Order[MMD],B85)</f>
        <v>0</v>
      </c>
      <c r="D85" s="174">
        <f>SUMIFS(Primary_Order[Net Total(-15%)],Primary_Order[Date],$C$5,Primary_Order[MMD],B85)</f>
        <v>0</v>
      </c>
      <c r="E85" s="175">
        <f>IFERROR(Dealer_wise[[#This Row],[Revenue]]/Dealer_wise[[#This Row],[Volume(Ltr)]],0)</f>
        <v>0</v>
      </c>
      <c r="F85" s="173">
        <f>SUMIFS(Primary_Order[Total Volume],Primary_Order[Date],"&gt;="&amp;DATE(YEAR($C$5),MONTH($C$5),1),Primary_Order[Date],"&lt;="&amp;$C$5,Primary_Order[MMD],B85)</f>
        <v>0</v>
      </c>
      <c r="G85" s="174">
        <f>SUMIFS(Primary_Order[Net Total(-15%)],Primary_Order[Date],"&gt;="&amp;DATE(YEAR($C$5),MONTH($C$5),1),Primary_Order[Date],"&lt;="&amp;$C$5,Primary_Order[MMD],B85)</f>
        <v>0</v>
      </c>
      <c r="H85" s="175">
        <f>IFERROR(Dealer_wise[[#This Row],[Revenue.]]/Dealer_wise[[#This Row],[Volume(Ltr).]],0)</f>
        <v>0</v>
      </c>
      <c r="I85" s="176">
        <f>SUMIFS(Primary_Order[Total Volume],Primary_Order[Date],"&gt;="&amp;DATE(YEAR($C$5),1,1),Primary_Order[Date],"&lt;="&amp;$C$5,Primary_Order[MMD],B85)</f>
        <v>0</v>
      </c>
      <c r="J85" s="174">
        <f>SUMIFS(Primary_Order[Net Total(-15%)],Primary_Order[Date],"&gt;="&amp;DATE(YEAR($C$5),1,1),Primary_Order[Date],"&lt;="&amp;$C$5,Primary_Order[MMD],B85,Primary_Order[Payment Type],"&lt;&gt;Free")</f>
        <v>0</v>
      </c>
      <c r="K85" s="187">
        <f>IFERROR(Dealer_wise[[#This Row],[Revenue`]]/Dealer_wise[[#This Row],[Volume(Ltr)`]],0)</f>
        <v>0</v>
      </c>
    </row>
    <row r="86" spans="1:11" hidden="1" x14ac:dyDescent="0.5">
      <c r="A86" s="193" t="s">
        <v>1296</v>
      </c>
      <c r="B86" s="172" t="str">
        <f>VLOOKUP(A86,MMD[[MMD ID]:[MMD Name]],2,0)</f>
        <v>Head Office</v>
      </c>
      <c r="C86" s="173">
        <f>SUMIFS(Primary_Order[Total Volume],Primary_Order[Date],$C$5,Primary_Order[MMD],B86)</f>
        <v>0</v>
      </c>
      <c r="D86" s="174">
        <f>SUMIFS(Primary_Order[Net Total(-15%)],Primary_Order[Date],$C$5,Primary_Order[MMD],B86)</f>
        <v>0</v>
      </c>
      <c r="E86" s="175">
        <f>IFERROR(Dealer_wise[[#This Row],[Revenue]]/Dealer_wise[[#This Row],[Volume(Ltr)]],0)</f>
        <v>0</v>
      </c>
      <c r="F86" s="173">
        <f>SUMIFS(Primary_Order[Total Volume],Primary_Order[Date],"&gt;="&amp;DATE(YEAR($C$5),MONTH($C$5),1),Primary_Order[Date],"&lt;="&amp;$C$5,Primary_Order[MMD],B86)</f>
        <v>0</v>
      </c>
      <c r="G86" s="174">
        <f>SUMIFS(Primary_Order[Net Total(-15%)],Primary_Order[Date],"&gt;="&amp;DATE(YEAR($C$5),MONTH($C$5),1),Primary_Order[Date],"&lt;="&amp;$C$5,Primary_Order[MMD],B86)</f>
        <v>0</v>
      </c>
      <c r="H86" s="175">
        <f>IFERROR(Dealer_wise[[#This Row],[Revenue.]]/Dealer_wise[[#This Row],[Volume(Ltr).]],0)</f>
        <v>0</v>
      </c>
      <c r="I86" s="176">
        <f>SUMIFS(Primary_Order[Total Volume],Primary_Order[Date],"&gt;="&amp;DATE(YEAR($C$5),1,1),Primary_Order[Date],"&lt;="&amp;$C$5,Primary_Order[MMD],B86)</f>
        <v>2.8</v>
      </c>
      <c r="J86" s="174">
        <f>SUMIFS(Primary_Order[Net Total(-15%)],Primary_Order[Date],"&gt;="&amp;DATE(YEAR($C$5),1,1),Primary_Order[Date],"&lt;="&amp;$C$5,Primary_Order[MMD],B86,Primary_Order[Payment Type],"&lt;&gt;Free")</f>
        <v>0</v>
      </c>
      <c r="K86" s="187">
        <f>IFERROR(Dealer_wise[[#This Row],[Revenue`]]/Dealer_wise[[#This Row],[Volume(Ltr)`]],0)</f>
        <v>0</v>
      </c>
    </row>
    <row r="87" spans="1:11" hidden="1" x14ac:dyDescent="0.5">
      <c r="A87" s="193" t="s">
        <v>1294</v>
      </c>
      <c r="B87" s="172" t="str">
        <f>VLOOKUP(A87,MMD[[MMD ID]:[MMD Name]],2,0)</f>
        <v>Rangs Workshop limited</v>
      </c>
      <c r="C87" s="179">
        <f>SUMIFS(Primary_Order[Total Volume],Primary_Order[Date],$C$5,Primary_Order[MMD],B87)</f>
        <v>0</v>
      </c>
      <c r="D87" s="180">
        <f>SUMIFS(Primary_Order[Net Total(-15%)],Primary_Order[Date],$C$5,Primary_Order[MMD],B87)</f>
        <v>0</v>
      </c>
      <c r="E87" s="181">
        <f>IFERROR(Dealer_wise[[#This Row],[Revenue]]/Dealer_wise[[#This Row],[Volume(Ltr)]],0)</f>
        <v>0</v>
      </c>
      <c r="F87" s="179">
        <f>SUMIFS(Primary_Order[Total Volume],Primary_Order[Date],"&gt;="&amp;DATE(YEAR($C$5),MONTH($C$5),1),Primary_Order[Date],"&lt;="&amp;$C$5,Primary_Order[MMD],B87)</f>
        <v>0</v>
      </c>
      <c r="G87" s="180">
        <f>SUMIFS(Primary_Order[Net Total(-15%)],Primary_Order[Date],"&gt;="&amp;DATE(YEAR($C$5),MONTH($C$5),1),Primary_Order[Date],"&lt;="&amp;$C$5,Primary_Order[MMD],B87)</f>
        <v>0</v>
      </c>
      <c r="H87" s="181">
        <f>IFERROR(Dealer_wise[[#This Row],[Revenue.]]/Dealer_wise[[#This Row],[Volume(Ltr).]],0)</f>
        <v>0</v>
      </c>
      <c r="I87" s="182">
        <f>SUMIFS(Primary_Order[Total Volume],Primary_Order[Date],"&gt;="&amp;DATE(YEAR($C$5),1,1),Primary_Order[Date],"&lt;="&amp;$C$5,Primary_Order[MMD],B87)</f>
        <v>1200</v>
      </c>
      <c r="J87" s="180">
        <f>SUMIFS(Primary_Order[Net Total(-15%)],Primary_Order[Date],"&gt;="&amp;DATE(YEAR($C$5),1,1),Primary_Order[Date],"&lt;="&amp;$C$5,Primary_Order[MMD],B87,Primary_Order[Payment Type],"&lt;&gt;Free")</f>
        <v>615652.17391304346</v>
      </c>
      <c r="K87" s="188">
        <f>IFERROR(Dealer_wise[[#This Row],[Revenue`]]/Dealer_wise[[#This Row],[Volume(Ltr)`]],0)</f>
        <v>513.04347826086951</v>
      </c>
    </row>
    <row r="88" spans="1:11" hidden="1" x14ac:dyDescent="0.5">
      <c r="B88" s="178" t="s">
        <v>1280</v>
      </c>
      <c r="C88" s="179">
        <f>SUMIFS(Primary_Order[Total Volume],Primary_Order[Date],$C$5,Primary_Order[MMD],B88)</f>
        <v>0</v>
      </c>
      <c r="D88" s="180">
        <f>SUMIFS(Primary_Order[Net Total(-15%)],Primary_Order[Date],$C$5,Primary_Order[MMD],B88)</f>
        <v>0</v>
      </c>
      <c r="E88" s="181">
        <f>IFERROR(Dealer_wise[[#This Row],[Revenue]]/Dealer_wise[[#This Row],[Volume(Ltr)]],0)</f>
        <v>0</v>
      </c>
      <c r="F88" s="179">
        <f>SUMIFS(Primary_Order[Total Volume],Primary_Order[Date],"&gt;="&amp;DATE(YEAR($C$5),MONTH($C$5),1),Primary_Order[Date],"&lt;="&amp;$C$5,Primary_Order[MMD],B88)</f>
        <v>0</v>
      </c>
      <c r="G88" s="180">
        <f>SUMIFS(Primary_Order[Net Total(-15%)],Primary_Order[Date],"&gt;="&amp;DATE(YEAR($C$5),MONTH($C$5),1),Primary_Order[Date],"&lt;="&amp;$C$5,Primary_Order[MMD],B88)</f>
        <v>0</v>
      </c>
      <c r="H88" s="181">
        <f>IFERROR(Dealer_wise[[#This Row],[Revenue.]]/Dealer_wise[[#This Row],[Volume(Ltr).]],0)</f>
        <v>0</v>
      </c>
      <c r="I88" s="182">
        <f>SUMIFS(Primary_Order[Total Volume],Primary_Order[Date],"&gt;="&amp;DATE(YEAR($C$5),1,1),Primary_Order[Date],"&lt;="&amp;$C$5,Primary_Order[MMD],B88)</f>
        <v>16</v>
      </c>
      <c r="J88" s="180">
        <f>SUMIFS(Primary_Order[Net Total(-15%)],Primary_Order[Date],"&gt;="&amp;DATE(YEAR($C$5),1,1),Primary_Order[Date],"&lt;="&amp;$C$5,Primary_Order[MMD],B88,Primary_Order[Payment Type],"&lt;&gt;Free")</f>
        <v>0</v>
      </c>
      <c r="K88" s="188">
        <f>IFERROR(Dealer_wise[[#This Row],[Revenue`]]/Dealer_wise[[#This Row],[Volume(Ltr)`]],0)</f>
        <v>0</v>
      </c>
    </row>
    <row r="89" spans="1:11" ht="17" thickBot="1" x14ac:dyDescent="0.55000000000000004">
      <c r="B89" s="281" t="s">
        <v>206</v>
      </c>
      <c r="C89" s="284">
        <f>SUM(C24:C88)</f>
        <v>8695</v>
      </c>
      <c r="D89" s="284">
        <f>SUM(D24:D88)</f>
        <v>1776521.7391304348</v>
      </c>
      <c r="E89" s="282">
        <f t="shared" ref="E89" si="3">IFERROR(D89/C89,0)</f>
        <v>204.31532364927369</v>
      </c>
      <c r="F89" s="284">
        <f>SUM(F24:F88)</f>
        <v>54682.200000000004</v>
      </c>
      <c r="G89" s="284">
        <f>SUM(G24:G88)</f>
        <v>20604808.695652172</v>
      </c>
      <c r="H89" s="282">
        <f t="shared" ref="H89" si="4">IFERROR(G89/F89,0)</f>
        <v>376.81016300829464</v>
      </c>
      <c r="I89" s="284">
        <f>SUM(I24:I88)</f>
        <v>211122.72499999998</v>
      </c>
      <c r="J89" s="284">
        <f>SUM(J24:J88)</f>
        <v>107193270.43478259</v>
      </c>
      <c r="K89" s="283">
        <f t="shared" ref="K89" si="5">IFERROR(J89/I89,0)</f>
        <v>507.72966498411103</v>
      </c>
    </row>
    <row r="90" spans="1:11" ht="16.5" thickBot="1" x14ac:dyDescent="0.55000000000000004">
      <c r="B90" s="483"/>
      <c r="C90" s="483"/>
      <c r="D90" s="483"/>
      <c r="E90" s="483"/>
      <c r="F90" s="483"/>
      <c r="G90" s="483"/>
      <c r="H90" s="483"/>
      <c r="I90" s="483"/>
      <c r="J90" s="483"/>
      <c r="K90" s="483"/>
    </row>
    <row r="91" spans="1:11" x14ac:dyDescent="0.5">
      <c r="B91" s="463" t="s">
        <v>928</v>
      </c>
      <c r="C91" s="471" t="s">
        <v>203</v>
      </c>
      <c r="D91" s="472"/>
      <c r="E91" s="473"/>
      <c r="F91" s="474" t="s">
        <v>205</v>
      </c>
      <c r="G91" s="472"/>
      <c r="H91" s="473"/>
      <c r="I91" s="484" t="s">
        <v>204</v>
      </c>
      <c r="J91" s="485"/>
      <c r="K91" s="486"/>
    </row>
    <row r="92" spans="1:11" ht="16.5" thickBot="1" x14ac:dyDescent="0.55000000000000004">
      <c r="B92" s="464"/>
      <c r="C92" s="475">
        <f>'Sales Report'!$C$5</f>
        <v>45777</v>
      </c>
      <c r="D92" s="476"/>
      <c r="E92" s="477"/>
      <c r="F92" s="478" t="str">
        <f>TEXT(C92,"mmmm")</f>
        <v>April</v>
      </c>
      <c r="G92" s="479"/>
      <c r="H92" s="480"/>
      <c r="I92" s="487">
        <f>YEAR($C$5)</f>
        <v>2025</v>
      </c>
      <c r="J92" s="488"/>
      <c r="K92" s="489"/>
    </row>
    <row r="93" spans="1:11" x14ac:dyDescent="0.5">
      <c r="A93" s="200" t="s">
        <v>208</v>
      </c>
      <c r="B93" s="189" t="s">
        <v>209</v>
      </c>
      <c r="C93" s="165" t="s">
        <v>207</v>
      </c>
      <c r="D93" s="170" t="s">
        <v>201</v>
      </c>
      <c r="E93" s="190" t="s">
        <v>202</v>
      </c>
      <c r="F93" s="165" t="s">
        <v>921</v>
      </c>
      <c r="G93" s="170" t="s">
        <v>923</v>
      </c>
      <c r="H93" s="190" t="s">
        <v>922</v>
      </c>
      <c r="I93" s="169" t="s">
        <v>924</v>
      </c>
      <c r="J93" s="170" t="s">
        <v>925</v>
      </c>
      <c r="K93" s="189" t="s">
        <v>926</v>
      </c>
    </row>
    <row r="94" spans="1:11" hidden="1" x14ac:dyDescent="0.5">
      <c r="A94" s="201" t="s">
        <v>106</v>
      </c>
      <c r="B94" s="191" t="s">
        <v>210</v>
      </c>
      <c r="C94" s="173">
        <f>SUMIFS(Primary_Order[Total Volume],Primary_Order[Date],$C$5,Primary_Order[Product ID],SKU_wise[[#This Row],[SKU ID]],Primary_Order[Status],'Stock Report'!$A$1)</f>
        <v>0</v>
      </c>
      <c r="D94" s="174">
        <f>SUMIFS(Primary_Order[Net Total(-15%)],Primary_Order[Date],$C$5,Primary_Order[Product ID],SKU_wise[[#This Row],[SKU ID]],Primary_Order[Status],'Stock Report'!$A$1)</f>
        <v>0</v>
      </c>
      <c r="E94" s="175">
        <f>IFERROR(SKU_wise[[#This Row],[Revenue]]/SKU_wise[[#This Row],[Volume(Ltr)]],0)</f>
        <v>0</v>
      </c>
      <c r="F94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94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94" s="175">
        <f>IFERROR(SKU_wise[[#This Row],[Revenue.]]/SKU_wise[[#This Row],[Volume(Ltr).]],0)</f>
        <v>0</v>
      </c>
      <c r="I94" s="176">
        <f>SUMIFS(Primary_Order[Total Volume],Primary_Order[Date],"&gt;="&amp;DATE(YEAR($C$5),1,1),Primary_Order[Date],"&lt;="&amp;$C$5,Primary_Order[Product ID],SKU_wise[[#This Row],[SKU ID]],Primary_Order[Status],'Stock Report'!$A$1)</f>
        <v>102</v>
      </c>
      <c r="J9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146347.82608695651</v>
      </c>
      <c r="K94" s="187">
        <f>IFERROR(SKU_wise[[#This Row],[Revenue`]]/SKU_wise[[#This Row],[Volume(Ltr)`]],0)</f>
        <v>1434.782608695652</v>
      </c>
    </row>
    <row r="95" spans="1:11" x14ac:dyDescent="0.5">
      <c r="A95" s="201" t="s">
        <v>56</v>
      </c>
      <c r="B95" s="191" t="s">
        <v>211</v>
      </c>
      <c r="C95" s="173">
        <f>SUMIFS(Primary_Order[Total Volume],Primary_Order[Date],$C$5,Primary_Order[Product ID],SKU_wise[[#This Row],[SKU ID]],Primary_Order[Status],'Stock Report'!$A$1)</f>
        <v>0</v>
      </c>
      <c r="D95" s="174">
        <f>SUMIFS(Primary_Order[Net Total(-15%)],Primary_Order[Date],$C$5,Primary_Order[Product ID],SKU_wise[[#This Row],[SKU ID]],Primary_Order[Status],'Stock Report'!$A$1)</f>
        <v>0</v>
      </c>
      <c r="E95" s="175">
        <f t="shared" ref="E95:E154" si="6">IFERROR(D95/C95,0)</f>
        <v>0</v>
      </c>
      <c r="F95" s="173">
        <f>SUMIFS(Primary_Order[Total Volume],Primary_Order[Date],"&gt;="&amp;DATE(YEAR($C$5),MONTH($C$5),1),Primary_Order[Date],"&lt;="&amp;$C$5,Primary_Order[Product ID],SKU_wise[[#This Row],[SKU ID]],Primary_Order[Status],'Stock Report'!$A$1)</f>
        <v>601</v>
      </c>
      <c r="G95" s="174">
        <f>SUMIFS(Primary_Order[Net Total(-15%)],Primary_Order[Date],"&gt;="&amp;DATE(YEAR($C$5),MONTH($C$5),1),Primary_Order[Date],"&lt;="&amp;$C$5,Primary_Order[Product ID],SKU_wise[[#This Row],[SKU ID]],Primary_Order[Status],'Stock Report'!$A$1)</f>
        <v>540104.34782608692</v>
      </c>
      <c r="H95" s="175">
        <f>IFERROR(SKU_wise[[#This Row],[Revenue.]]/SKU_wise[[#This Row],[Volume(Ltr).]],0)</f>
        <v>898.67611951095989</v>
      </c>
      <c r="I95" s="176">
        <f>SUMIFS(Primary_Order[Total Volume],Primary_Order[Date],"&gt;="&amp;DATE(YEAR($C$5),1,1),Primary_Order[Date],"&lt;="&amp;$C$5,Primary_Order[Product ID],SKU_wise[[#This Row],[SKU ID]],Primary_Order[Status],'Stock Report'!$A$1)</f>
        <v>1741</v>
      </c>
      <c r="J9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1590807.6704006072</v>
      </c>
      <c r="K95" s="187">
        <f>IFERROR(SKU_wise[[#This Row],[Revenue`]]/SKU_wise[[#This Row],[Volume(Ltr)`]],0)</f>
        <v>913.73214842079676</v>
      </c>
    </row>
    <row r="96" spans="1:11" x14ac:dyDescent="0.5">
      <c r="A96" s="201" t="s">
        <v>43</v>
      </c>
      <c r="B96" s="191" t="s">
        <v>212</v>
      </c>
      <c r="C96" s="173">
        <f>SUMIFS(Primary_Order[Total Volume],Primary_Order[Date],$C$5,Primary_Order[Product ID],SKU_wise[[#This Row],[SKU ID]],Primary_Order[Status],'Stock Report'!$A$1)</f>
        <v>0</v>
      </c>
      <c r="D96" s="174">
        <f>SUMIFS(Primary_Order[Net Total(-15%)],Primary_Order[Date],$C$5,Primary_Order[Product ID],SKU_wise[[#This Row],[SKU ID]],Primary_Order[Status],'Stock Report'!$A$1)</f>
        <v>0</v>
      </c>
      <c r="E96" s="175">
        <f t="shared" si="6"/>
        <v>0</v>
      </c>
      <c r="F96" s="173">
        <f>SUMIFS(Primary_Order[Total Volume],Primary_Order[Date],"&gt;="&amp;DATE(YEAR($C$5),MONTH($C$5),1),Primary_Order[Date],"&lt;="&amp;$C$5,Primary_Order[Product ID],SKU_wise[[#This Row],[SKU ID]],Primary_Order[Status],'Stock Report'!$A$1)</f>
        <v>619.19999999999993</v>
      </c>
      <c r="G96" s="174">
        <f>SUMIFS(Primary_Order[Net Total(-15%)],Primary_Order[Date],"&gt;="&amp;DATE(YEAR($C$5),MONTH($C$5),1),Primary_Order[Date],"&lt;="&amp;$C$5,Primary_Order[Product ID],SKU_wise[[#This Row],[SKU ID]],Primary_Order[Status],'Stock Report'!$A$1)</f>
        <v>565356.52173913049</v>
      </c>
      <c r="H96" s="175">
        <f>IFERROR(SKU_wise[[#This Row],[Revenue.]]/SKU_wise[[#This Row],[Volume(Ltr).]],0)</f>
        <v>913.04347826086973</v>
      </c>
      <c r="I96" s="176">
        <f>SUMIFS(Primary_Order[Total Volume],Primary_Order[Date],"&gt;="&amp;DATE(YEAR($C$5),1,1),Primary_Order[Date],"&lt;="&amp;$C$5,Primary_Order[Product ID],SKU_wise[[#This Row],[SKU ID]],Primary_Order[Status],'Stock Report'!$A$1)</f>
        <v>2155.1999999999998</v>
      </c>
      <c r="J96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1981160.0151889119</v>
      </c>
      <c r="K96" s="187">
        <f>IFERROR(SKU_wise[[#This Row],[Revenue`]]/SKU_wise[[#This Row],[Volume(Ltr)`]],0)</f>
        <v>919.24648069270233</v>
      </c>
    </row>
    <row r="97" spans="1:11" hidden="1" x14ac:dyDescent="0.5">
      <c r="A97" s="201" t="s">
        <v>57</v>
      </c>
      <c r="B97" s="191" t="s">
        <v>213</v>
      </c>
      <c r="C97" s="173">
        <f>SUMIFS(Primary_Order[Total Volume],Primary_Order[Date],$C$5,Primary_Order[Product ID],SKU_wise[[#This Row],[SKU ID]],Primary_Order[Status],'Stock Report'!$A$1)</f>
        <v>0</v>
      </c>
      <c r="D97" s="174">
        <f>SUMIFS(Primary_Order[Net Total(-15%)],Primary_Order[Date],$C$5,Primary_Order[Product ID],SKU_wise[[#This Row],[SKU ID]],Primary_Order[Status],'Stock Report'!$A$1)</f>
        <v>0</v>
      </c>
      <c r="E97" s="175">
        <f t="shared" si="6"/>
        <v>0</v>
      </c>
      <c r="F97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97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97" s="175">
        <f>IFERROR(SKU_wise[[#This Row],[Revenue.]]/SKU_wise[[#This Row],[Volume(Ltr).]],0)</f>
        <v>0</v>
      </c>
      <c r="I97" s="176">
        <f>SUMIFS(Primary_Order[Total Volume],Primary_Order[Date],"&gt;="&amp;DATE(YEAR($C$5),1,1),Primary_Order[Date],"&lt;="&amp;$C$5,Primary_Order[Product ID],SKU_wise[[#This Row],[SKU ID]],Primary_Order[Status],'Stock Report'!$A$1)</f>
        <v>14430</v>
      </c>
      <c r="J97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13092939.130434783</v>
      </c>
      <c r="K97" s="187">
        <f>IFERROR(SKU_wise[[#This Row],[Revenue`]]/SKU_wise[[#This Row],[Volume(Ltr)`]],0)</f>
        <v>907.34158908071959</v>
      </c>
    </row>
    <row r="98" spans="1:11" x14ac:dyDescent="0.5">
      <c r="A98" s="201" t="s">
        <v>58</v>
      </c>
      <c r="B98" s="191" t="s">
        <v>214</v>
      </c>
      <c r="C98" s="173">
        <f>SUMIFS(Primary_Order[Total Volume],Primary_Order[Date],$C$5,Primary_Order[Product ID],SKU_wise[[#This Row],[SKU ID]],Primary_Order[Status],'Stock Report'!$A$1)</f>
        <v>0</v>
      </c>
      <c r="D98" s="174">
        <f>SUMIFS(Primary_Order[Net Total(-15%)],Primary_Order[Date],$C$5,Primary_Order[Product ID],SKU_wise[[#This Row],[SKU ID]],Primary_Order[Status],'Stock Report'!$A$1)</f>
        <v>0</v>
      </c>
      <c r="E98" s="175">
        <f t="shared" si="6"/>
        <v>0</v>
      </c>
      <c r="F98" s="173">
        <f>SUMIFS(Primary_Order[Total Volume],Primary_Order[Date],"&gt;="&amp;DATE(YEAR($C$5),MONTH($C$5),1),Primary_Order[Date],"&lt;="&amp;$C$5,Primary_Order[Product ID],SKU_wise[[#This Row],[SKU ID]],Primary_Order[Status],'Stock Report'!$A$1)</f>
        <v>565</v>
      </c>
      <c r="G98" s="174">
        <f>SUMIFS(Primary_Order[Net Total(-15%)],Primary_Order[Date],"&gt;="&amp;DATE(YEAR($C$5),MONTH($C$5),1),Primary_Order[Date],"&lt;="&amp;$C$5,Primary_Order[Product ID],SKU_wise[[#This Row],[SKU ID]],Primary_Order[Status],'Stock Report'!$A$1)</f>
        <v>507860.86956521746</v>
      </c>
      <c r="H98" s="175">
        <f>IFERROR(SKU_wise[[#This Row],[Revenue.]]/SKU_wise[[#This Row],[Volume(Ltr).]],0)</f>
        <v>898.86879569065036</v>
      </c>
      <c r="I98" s="176">
        <f>SUMIFS(Primary_Order[Total Volume],Primary_Order[Date],"&gt;="&amp;DATE(YEAR($C$5),1,1),Primary_Order[Date],"&lt;="&amp;$C$5,Primary_Order[Product ID],SKU_wise[[#This Row],[SKU ID]],Primary_Order[Status],'Stock Report'!$A$1)</f>
        <v>1525</v>
      </c>
      <c r="J98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1390956.5217391304</v>
      </c>
      <c r="K98" s="187">
        <f>IFERROR(SKU_wise[[#This Row],[Revenue`]]/SKU_wise[[#This Row],[Volume(Ltr)`]],0)</f>
        <v>912.10263720598709</v>
      </c>
    </row>
    <row r="99" spans="1:11" x14ac:dyDescent="0.5">
      <c r="A99" s="201" t="s">
        <v>35</v>
      </c>
      <c r="B99" s="191" t="s">
        <v>215</v>
      </c>
      <c r="C99" s="173">
        <f>SUMIFS(Primary_Order[Total Volume],Primary_Order[Date],$C$5,Primary_Order[Product ID],SKU_wise[[#This Row],[SKU ID]],Primary_Order[Status],'Stock Report'!$A$1)</f>
        <v>0</v>
      </c>
      <c r="D99" s="174">
        <f>SUMIFS(Primary_Order[Net Total(-15%)],Primary_Order[Date],$C$5,Primary_Order[Product ID],SKU_wise[[#This Row],[SKU ID]],Primary_Order[Status],'Stock Report'!$A$1)</f>
        <v>0</v>
      </c>
      <c r="E99" s="175">
        <f t="shared" si="6"/>
        <v>0</v>
      </c>
      <c r="F99" s="173">
        <f>SUMIFS(Primary_Order[Total Volume],Primary_Order[Date],"&gt;="&amp;DATE(YEAR($C$5),MONTH($C$5),1),Primary_Order[Date],"&lt;="&amp;$C$5,Primary_Order[Product ID],SKU_wise[[#This Row],[SKU ID]],Primary_Order[Status],'Stock Report'!$A$1)</f>
        <v>24</v>
      </c>
      <c r="G99" s="174">
        <f>SUMIFS(Primary_Order[Net Total(-15%)],Primary_Order[Date],"&gt;="&amp;DATE(YEAR($C$5),MONTH($C$5),1),Primary_Order[Date],"&lt;="&amp;$C$5,Primary_Order[Product ID],SKU_wise[[#This Row],[SKU ID]],Primary_Order[Status],'Stock Report'!$A$1)</f>
        <v>17113.043478260868</v>
      </c>
      <c r="H99" s="175">
        <f>IFERROR(SKU_wise[[#This Row],[Revenue.]]/SKU_wise[[#This Row],[Volume(Ltr).]],0)</f>
        <v>713.04347826086951</v>
      </c>
      <c r="I99" s="176">
        <f>SUMIFS(Primary_Order[Total Volume],Primary_Order[Date],"&gt;="&amp;DATE(YEAR($C$5),1,1),Primary_Order[Date],"&lt;="&amp;$C$5,Primary_Order[Product ID],SKU_wise[[#This Row],[SKU ID]],Primary_Order[Status],'Stock Report'!$A$1)</f>
        <v>192</v>
      </c>
      <c r="J99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142061.43155496486</v>
      </c>
      <c r="K99" s="187">
        <f>IFERROR(SKU_wise[[#This Row],[Revenue`]]/SKU_wise[[#This Row],[Volume(Ltr)`]],0)</f>
        <v>739.90328934877527</v>
      </c>
    </row>
    <row r="100" spans="1:11" x14ac:dyDescent="0.5">
      <c r="A100" s="201" t="s">
        <v>36</v>
      </c>
      <c r="B100" s="191" t="s">
        <v>216</v>
      </c>
      <c r="C100" s="173">
        <f>SUMIFS(Primary_Order[Total Volume],Primary_Order[Date],$C$5,Primary_Order[Product ID],SKU_wise[[#This Row],[SKU ID]],Primary_Order[Status],'Stock Report'!$A$1)</f>
        <v>0</v>
      </c>
      <c r="D100" s="174">
        <f>SUMIFS(Primary_Order[Net Total(-15%)],Primary_Order[Date],$C$5,Primary_Order[Product ID],SKU_wise[[#This Row],[SKU ID]],Primary_Order[Status],'Stock Report'!$A$1)</f>
        <v>0</v>
      </c>
      <c r="E100" s="175">
        <f t="shared" si="6"/>
        <v>0</v>
      </c>
      <c r="F100" s="173">
        <f>SUMIFS(Primary_Order[Total Volume],Primary_Order[Date],"&gt;="&amp;DATE(YEAR($C$5),MONTH($C$5),1),Primary_Order[Date],"&lt;="&amp;$C$5,Primary_Order[Product ID],SKU_wise[[#This Row],[SKU ID]],Primary_Order[Status],'Stock Report'!$A$1)</f>
        <v>696</v>
      </c>
      <c r="G100" s="174">
        <f>SUMIFS(Primary_Order[Net Total(-15%)],Primary_Order[Date],"&gt;="&amp;DATE(YEAR($C$5),MONTH($C$5),1),Primary_Order[Date],"&lt;="&amp;$C$5,Primary_Order[Product ID],SKU_wise[[#This Row],[SKU ID]],Primary_Order[Status],'Stock Report'!$A$1)</f>
        <v>502434.78260869568</v>
      </c>
      <c r="H100" s="175">
        <f>IFERROR(SKU_wise[[#This Row],[Revenue.]]/SKU_wise[[#This Row],[Volume(Ltr).]],0)</f>
        <v>721.88905547226386</v>
      </c>
      <c r="I100" s="176">
        <f>SUMIFS(Primary_Order[Total Volume],Primary_Order[Date],"&gt;="&amp;DATE(YEAR($C$5),1,1),Primary_Order[Date],"&lt;="&amp;$C$5,Primary_Order[Product ID],SKU_wise[[#This Row],[SKU ID]],Primary_Order[Status],'Stock Report'!$A$1)</f>
        <v>10172</v>
      </c>
      <c r="J100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7363572.8877919111</v>
      </c>
      <c r="K100" s="187">
        <f>IFERROR(SKU_wise[[#This Row],[Revenue`]]/SKU_wise[[#This Row],[Volume(Ltr)`]],0)</f>
        <v>723.90610379393547</v>
      </c>
    </row>
    <row r="101" spans="1:11" x14ac:dyDescent="0.5">
      <c r="A101" s="201" t="s">
        <v>77</v>
      </c>
      <c r="B101" s="191" t="s">
        <v>217</v>
      </c>
      <c r="C101" s="173">
        <f>SUMIFS(Primary_Order[Total Volume],Primary_Order[Date],$C$5,Primary_Order[Product ID],SKU_wise[[#This Row],[SKU ID]],Primary_Order[Status],'Stock Report'!$A$1)</f>
        <v>0</v>
      </c>
      <c r="D101" s="174">
        <f>SUMIFS(Primary_Order[Net Total(-15%)],Primary_Order[Date],$C$5,Primary_Order[Product ID],SKU_wise[[#This Row],[SKU ID]],Primary_Order[Status],'Stock Report'!$A$1)</f>
        <v>0</v>
      </c>
      <c r="E101" s="175">
        <f t="shared" si="6"/>
        <v>0</v>
      </c>
      <c r="F101" s="173">
        <f>SUMIFS(Primary_Order[Total Volume],Primary_Order[Date],"&gt;="&amp;DATE(YEAR($C$5),MONTH($C$5),1),Primary_Order[Date],"&lt;="&amp;$C$5,Primary_Order[Product ID],SKU_wise[[#This Row],[SKU ID]],Primary_Order[Status],'Stock Report'!$A$1)</f>
        <v>100</v>
      </c>
      <c r="G101" s="174">
        <f>SUMIFS(Primary_Order[Net Total(-15%)],Primary_Order[Date],"&gt;="&amp;DATE(YEAR($C$5),MONTH($C$5),1),Primary_Order[Date],"&lt;="&amp;$C$5,Primary_Order[Product ID],SKU_wise[[#This Row],[SKU ID]],Primary_Order[Status],'Stock Report'!$A$1)</f>
        <v>46956.521739130432</v>
      </c>
      <c r="H101" s="175">
        <f>IFERROR(SKU_wise[[#This Row],[Revenue.]]/SKU_wise[[#This Row],[Volume(Ltr).]],0)</f>
        <v>469.56521739130432</v>
      </c>
      <c r="I101" s="176">
        <f>SUMIFS(Primary_Order[Total Volume],Primary_Order[Date],"&gt;="&amp;DATE(YEAR($C$5),1,1),Primary_Order[Date],"&lt;="&amp;$C$5,Primary_Order[Product ID],SKU_wise[[#This Row],[SKU ID]],Primary_Order[Status],'Stock Report'!$A$1)</f>
        <v>980</v>
      </c>
      <c r="J101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479725.57433073857</v>
      </c>
      <c r="K101" s="187">
        <f>IFERROR(SKU_wise[[#This Row],[Revenue`]]/SKU_wise[[#This Row],[Volume(Ltr)`]],0)</f>
        <v>489.51589217422304</v>
      </c>
    </row>
    <row r="102" spans="1:11" hidden="1" x14ac:dyDescent="0.5">
      <c r="A102" s="201" t="s">
        <v>73</v>
      </c>
      <c r="B102" s="191" t="s">
        <v>218</v>
      </c>
      <c r="C102" s="173">
        <f>SUMIFS(Primary_Order[Total Volume],Primary_Order[Date],$C$5,Primary_Order[Product ID],SKU_wise[[#This Row],[SKU ID]],Primary_Order[Status],'Stock Report'!$A$1)</f>
        <v>0</v>
      </c>
      <c r="D102" s="174">
        <f>SUMIFS(Primary_Order[Net Total(-15%)],Primary_Order[Date],$C$5,Primary_Order[Product ID],SKU_wise[[#This Row],[SKU ID]],Primary_Order[Status],'Stock Report'!$A$1)</f>
        <v>0</v>
      </c>
      <c r="E102" s="175">
        <f t="shared" si="6"/>
        <v>0</v>
      </c>
      <c r="F102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02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02" s="175">
        <f>IFERROR(SKU_wise[[#This Row],[Revenue.]]/SKU_wise[[#This Row],[Volume(Ltr).]],0)</f>
        <v>0</v>
      </c>
      <c r="I102" s="176">
        <f>SUMIFS(Primary_Order[Total Volume],Primary_Order[Date],"&gt;="&amp;DATE(YEAR($C$5),1,1),Primary_Order[Date],"&lt;="&amp;$C$5,Primary_Order[Product ID],SKU_wise[[#This Row],[SKU ID]],Primary_Order[Status],'Stock Report'!$A$1)</f>
        <v>520</v>
      </c>
      <c r="J102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256782.60869565216</v>
      </c>
      <c r="K102" s="187">
        <f>IFERROR(SKU_wise[[#This Row],[Revenue`]]/SKU_wise[[#This Row],[Volume(Ltr)`]],0)</f>
        <v>493.81270903010034</v>
      </c>
    </row>
    <row r="103" spans="1:11" x14ac:dyDescent="0.5">
      <c r="A103" s="201" t="s">
        <v>75</v>
      </c>
      <c r="B103" s="191" t="s">
        <v>219</v>
      </c>
      <c r="C103" s="173">
        <f>SUMIFS(Primary_Order[Total Volume],Primary_Order[Date],$C$5,Primary_Order[Product ID],SKU_wise[[#This Row],[SKU ID]],Primary_Order[Status],'Stock Report'!$A$1)</f>
        <v>240</v>
      </c>
      <c r="D103" s="174">
        <f>SUMIFS(Primary_Order[Net Total(-15%)],Primary_Order[Date],$C$5,Primary_Order[Product ID],SKU_wise[[#This Row],[SKU ID]],Primary_Order[Status],'Stock Report'!$A$1)</f>
        <v>114782.60869565218</v>
      </c>
      <c r="E103" s="175">
        <f t="shared" si="6"/>
        <v>478.26086956521738</v>
      </c>
      <c r="F103" s="173">
        <f>SUMIFS(Primary_Order[Total Volume],Primary_Order[Date],"&gt;="&amp;DATE(YEAR($C$5),MONTH($C$5),1),Primary_Order[Date],"&lt;="&amp;$C$5,Primary_Order[Product ID],SKU_wise[[#This Row],[SKU ID]],Primary_Order[Status],'Stock Report'!$A$1)</f>
        <v>1108</v>
      </c>
      <c r="G103" s="174">
        <f>SUMIFS(Primary_Order[Net Total(-15%)],Primary_Order[Date],"&gt;="&amp;DATE(YEAR($C$5),MONTH($C$5),1),Primary_Order[Date],"&lt;="&amp;$C$5,Primary_Order[Product ID],SKU_wise[[#This Row],[SKU ID]],Primary_Order[Status],'Stock Report'!$A$1)</f>
        <v>539130.43478260876</v>
      </c>
      <c r="H103" s="175">
        <f>IFERROR(SKU_wise[[#This Row],[Revenue.]]/SKU_wise[[#This Row],[Volume(Ltr).]],0)</f>
        <v>486.579814785748</v>
      </c>
      <c r="I103" s="176">
        <f>SUMIFS(Primary_Order[Total Volume],Primary_Order[Date],"&gt;="&amp;DATE(YEAR($C$5),1,1),Primary_Order[Date],"&lt;="&amp;$C$5,Primary_Order[Product ID],SKU_wise[[#This Row],[SKU ID]],Primary_Order[Status],'Stock Report'!$A$1)</f>
        <v>1868</v>
      </c>
      <c r="J103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931107.8412758687</v>
      </c>
      <c r="K103" s="187">
        <f>IFERROR(SKU_wise[[#This Row],[Revenue`]]/SKU_wise[[#This Row],[Volume(Ltr)`]],0)</f>
        <v>498.45173515838798</v>
      </c>
    </row>
    <row r="104" spans="1:11" x14ac:dyDescent="0.5">
      <c r="A104" s="201" t="s">
        <v>31</v>
      </c>
      <c r="B104" s="191" t="s">
        <v>220</v>
      </c>
      <c r="C104" s="173">
        <f>SUMIFS(Primary_Order[Total Volume],Primary_Order[Date],$C$5,Primary_Order[Product ID],SKU_wise[[#This Row],[SKU ID]],Primary_Order[Status],'Stock Report'!$A$1)</f>
        <v>0</v>
      </c>
      <c r="D104" s="174">
        <f>SUMIFS(Primary_Order[Net Total(-15%)],Primary_Order[Date],$C$5,Primary_Order[Product ID],SKU_wise[[#This Row],[SKU ID]],Primary_Order[Status],'Stock Report'!$A$1)</f>
        <v>0</v>
      </c>
      <c r="E104" s="175">
        <f t="shared" si="6"/>
        <v>0</v>
      </c>
      <c r="F104" s="173">
        <f>SUMIFS(Primary_Order[Total Volume],Primary_Order[Date],"&gt;="&amp;DATE(YEAR($C$5),MONTH($C$5),1),Primary_Order[Date],"&lt;="&amp;$C$5,Primary_Order[Product ID],SKU_wise[[#This Row],[SKU ID]],Primary_Order[Status],'Stock Report'!$A$1)</f>
        <v>6652</v>
      </c>
      <c r="G104" s="174">
        <f>SUMIFS(Primary_Order[Net Total(-15%)],Primary_Order[Date],"&gt;="&amp;DATE(YEAR($C$5),MONTH($C$5),1),Primary_Order[Date],"&lt;="&amp;$C$5,Primary_Order[Product ID],SKU_wise[[#This Row],[SKU ID]],Primary_Order[Status],'Stock Report'!$A$1)</f>
        <v>2997217.3913043477</v>
      </c>
      <c r="H104" s="175">
        <f>IFERROR(SKU_wise[[#This Row],[Revenue.]]/SKU_wise[[#This Row],[Volume(Ltr).]],0)</f>
        <v>450.57387121231926</v>
      </c>
      <c r="I104" s="176">
        <f>SUMIFS(Primary_Order[Total Volume],Primary_Order[Date],"&gt;="&amp;DATE(YEAR($C$5),1,1),Primary_Order[Date],"&lt;="&amp;$C$5,Primary_Order[Product ID],SKU_wise[[#This Row],[SKU ID]],Primary_Order[Status],'Stock Report'!$A$1)</f>
        <v>14352</v>
      </c>
      <c r="J10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6538280.0455667358</v>
      </c>
      <c r="K104" s="187">
        <f>IFERROR(SKU_wise[[#This Row],[Revenue`]]/SKU_wise[[#This Row],[Volume(Ltr)`]],0)</f>
        <v>455.56577797984505</v>
      </c>
    </row>
    <row r="105" spans="1:11" x14ac:dyDescent="0.5">
      <c r="A105" s="201" t="s">
        <v>32</v>
      </c>
      <c r="B105" s="191" t="s">
        <v>221</v>
      </c>
      <c r="C105" s="173">
        <f>SUMIFS(Primary_Order[Total Volume],Primary_Order[Date],$C$5,Primary_Order[Product ID],SKU_wise[[#This Row],[SKU ID]],Primary_Order[Status],'Stock Report'!$A$1)</f>
        <v>0</v>
      </c>
      <c r="D105" s="174">
        <f>SUMIFS(Primary_Order[Net Total(-15%)],Primary_Order[Date],$C$5,Primary_Order[Product ID],SKU_wise[[#This Row],[SKU ID]],Primary_Order[Status],'Stock Report'!$A$1)</f>
        <v>0</v>
      </c>
      <c r="E105" s="175">
        <f t="shared" si="6"/>
        <v>0</v>
      </c>
      <c r="F105" s="173">
        <f>SUMIFS(Primary_Order[Total Volume],Primary_Order[Date],"&gt;="&amp;DATE(YEAR($C$5),MONTH($C$5),1),Primary_Order[Date],"&lt;="&amp;$C$5,Primary_Order[Product ID],SKU_wise[[#This Row],[SKU ID]],Primary_Order[Status],'Stock Report'!$A$1)</f>
        <v>2.4</v>
      </c>
      <c r="G105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05" s="175">
        <f>IFERROR(SKU_wise[[#This Row],[Revenue.]]/SKU_wise[[#This Row],[Volume(Ltr).]],0)</f>
        <v>0</v>
      </c>
      <c r="I105" s="176">
        <f>SUMIFS(Primary_Order[Total Volume],Primary_Order[Date],"&gt;="&amp;DATE(YEAR($C$5),1,1),Primary_Order[Date],"&lt;="&amp;$C$5,Primary_Order[Product ID],SKU_wise[[#This Row],[SKU ID]],Primary_Order[Status],'Stock Report'!$A$1)</f>
        <v>4106.3999999999996</v>
      </c>
      <c r="J10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1905756.5217391301</v>
      </c>
      <c r="K105" s="187">
        <f>IFERROR(SKU_wise[[#This Row],[Revenue`]]/SKU_wise[[#This Row],[Volume(Ltr)`]],0)</f>
        <v>464.09422407440343</v>
      </c>
    </row>
    <row r="106" spans="1:11" x14ac:dyDescent="0.5">
      <c r="A106" s="201" t="s">
        <v>54</v>
      </c>
      <c r="B106" s="191" t="s">
        <v>222</v>
      </c>
      <c r="C106" s="173">
        <f>SUMIFS(Primary_Order[Total Volume],Primary_Order[Date],$C$5,Primary_Order[Product ID],SKU_wise[[#This Row],[SKU ID]],Primary_Order[Status],'Stock Report'!$A$1)</f>
        <v>8055</v>
      </c>
      <c r="D106" s="174">
        <f>SUMIFS(Primary_Order[Net Total(-15%)],Primary_Order[Date],$C$5,Primary_Order[Product ID],SKU_wise[[#This Row],[SKU ID]],Primary_Order[Status],'Stock Report'!$A$1)</f>
        <v>1400869.5652173914</v>
      </c>
      <c r="E106" s="175">
        <f t="shared" si="6"/>
        <v>173.91304347826087</v>
      </c>
      <c r="F106" s="173">
        <f>SUMIFS(Primary_Order[Total Volume],Primary_Order[Date],"&gt;="&amp;DATE(YEAR($C$5),MONTH($C$5),1),Primary_Order[Date],"&lt;="&amp;$C$5,Primary_Order[Product ID],SKU_wise[[#This Row],[SKU ID]],Primary_Order[Status],'Stock Report'!$A$1)</f>
        <v>25500</v>
      </c>
      <c r="G106" s="174">
        <f>SUMIFS(Primary_Order[Net Total(-15%)],Primary_Order[Date],"&gt;="&amp;DATE(YEAR($C$5),MONTH($C$5),1),Primary_Order[Date],"&lt;="&amp;$C$5,Primary_Order[Product ID],SKU_wise[[#This Row],[SKU ID]],Primary_Order[Status],'Stock Report'!$A$1)</f>
        <v>7560573.9130434785</v>
      </c>
      <c r="H106" s="175">
        <f>IFERROR(SKU_wise[[#This Row],[Revenue.]]/SKU_wise[[#This Row],[Volume(Ltr).]],0)</f>
        <v>296.49309462915602</v>
      </c>
      <c r="I106" s="176">
        <f>SUMIFS(Primary_Order[Total Volume],Primary_Order[Date],"&gt;="&amp;DATE(YEAR($C$5),1,1),Primary_Order[Date],"&lt;="&amp;$C$5,Primary_Order[Product ID],SKU_wise[[#This Row],[SKU ID]],Primary_Order[Status],'Stock Report'!$A$1)</f>
        <v>85365</v>
      </c>
      <c r="J106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35022461.799886085</v>
      </c>
      <c r="K106" s="187">
        <f>IFERROR(SKU_wise[[#This Row],[Revenue`]]/SKU_wise[[#This Row],[Volume(Ltr)`]],0)</f>
        <v>410.26722661378886</v>
      </c>
    </row>
    <row r="107" spans="1:11" x14ac:dyDescent="0.5">
      <c r="A107" s="201" t="s">
        <v>53</v>
      </c>
      <c r="B107" s="191" t="s">
        <v>223</v>
      </c>
      <c r="C107" s="173">
        <f>SUMIFS(Primary_Order[Total Volume],Primary_Order[Date],$C$5,Primary_Order[Product ID],SKU_wise[[#This Row],[SKU ID]],Primary_Order[Status],'Stock Report'!$A$1)</f>
        <v>0</v>
      </c>
      <c r="D107" s="174">
        <f>SUMIFS(Primary_Order[Net Total(-15%)],Primary_Order[Date],$C$5,Primary_Order[Product ID],SKU_wise[[#This Row],[SKU ID]],Primary_Order[Status],'Stock Report'!$A$1)</f>
        <v>0</v>
      </c>
      <c r="E107" s="175">
        <f t="shared" si="6"/>
        <v>0</v>
      </c>
      <c r="F107" s="173">
        <f>SUMIFS(Primary_Order[Total Volume],Primary_Order[Date],"&gt;="&amp;DATE(YEAR($C$5),MONTH($C$5),1),Primary_Order[Date],"&lt;="&amp;$C$5,Primary_Order[Product ID],SKU_wise[[#This Row],[SKU ID]],Primary_Order[Status],'Stock Report'!$A$1)</f>
        <v>5630</v>
      </c>
      <c r="G107" s="174">
        <f>SUMIFS(Primary_Order[Net Total(-15%)],Primary_Order[Date],"&gt;="&amp;DATE(YEAR($C$5),MONTH($C$5),1),Primary_Order[Date],"&lt;="&amp;$C$5,Primary_Order[Product ID],SKU_wise[[#This Row],[SKU ID]],Primary_Order[Status],'Stock Report'!$A$1)</f>
        <v>2515478.2608695654</v>
      </c>
      <c r="H107" s="175">
        <f>IFERROR(SKU_wise[[#This Row],[Revenue.]]/SKU_wise[[#This Row],[Volume(Ltr).]],0)</f>
        <v>446.79898061626386</v>
      </c>
      <c r="I107" s="176">
        <f>SUMIFS(Primary_Order[Total Volume],Primary_Order[Date],"&gt;="&amp;DATE(YEAR($C$5),1,1),Primary_Order[Date],"&lt;="&amp;$C$5,Primary_Order[Product ID],SKU_wise[[#This Row],[SKU ID]],Primary_Order[Status],'Stock Report'!$A$1)</f>
        <v>22930</v>
      </c>
      <c r="J107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10412060.945509778</v>
      </c>
      <c r="K107" s="187">
        <f>IFERROR(SKU_wise[[#This Row],[Revenue`]]/SKU_wise[[#This Row],[Volume(Ltr)`]],0)</f>
        <v>454.08028545616128</v>
      </c>
    </row>
    <row r="108" spans="1:11" x14ac:dyDescent="0.5">
      <c r="A108" s="201" t="s">
        <v>33</v>
      </c>
      <c r="B108" s="191" t="s">
        <v>224</v>
      </c>
      <c r="C108" s="173">
        <f>SUMIFS(Primary_Order[Total Volume],Primary_Order[Date],$C$5,Primary_Order[Product ID],SKU_wise[[#This Row],[SKU ID]],Primary_Order[Status],'Stock Report'!$A$1)</f>
        <v>0</v>
      </c>
      <c r="D108" s="174">
        <f>SUMIFS(Primary_Order[Net Total(-15%)],Primary_Order[Date],$C$5,Primary_Order[Product ID],SKU_wise[[#This Row],[SKU ID]],Primary_Order[Status],'Stock Report'!$A$1)</f>
        <v>0</v>
      </c>
      <c r="E108" s="175">
        <f t="shared" si="6"/>
        <v>0</v>
      </c>
      <c r="F108" s="173">
        <f>SUMIFS(Primary_Order[Total Volume],Primary_Order[Date],"&gt;="&amp;DATE(YEAR($C$5),MONTH($C$5),1),Primary_Order[Date],"&lt;="&amp;$C$5,Primary_Order[Product ID],SKU_wise[[#This Row],[SKU ID]],Primary_Order[Status],'Stock Report'!$A$1)</f>
        <v>944.4</v>
      </c>
      <c r="G108" s="174">
        <f>SUMIFS(Primary_Order[Net Total(-15%)],Primary_Order[Date],"&gt;="&amp;DATE(YEAR($C$5),MONTH($C$5),1),Primary_Order[Date],"&lt;="&amp;$C$5,Primary_Order[Product ID],SKU_wise[[#This Row],[SKU ID]],Primary_Order[Status],'Stock Report'!$A$1)</f>
        <v>431139.13043478259</v>
      </c>
      <c r="H108" s="175">
        <f>IFERROR(SKU_wise[[#This Row],[Revenue.]]/SKU_wise[[#This Row],[Volume(Ltr).]],0)</f>
        <v>456.52173913043475</v>
      </c>
      <c r="I108" s="176">
        <f>SUMIFS(Primary_Order[Total Volume],Primary_Order[Date],"&gt;="&amp;DATE(YEAR($C$5),1,1),Primary_Order[Date],"&lt;="&amp;$C$5,Primary_Order[Product ID],SKU_wise[[#This Row],[SKU ID]],Primary_Order[Status],'Stock Report'!$A$1)</f>
        <v>4928.3999999999996</v>
      </c>
      <c r="J108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2271893.9434213024</v>
      </c>
      <c r="K108" s="187">
        <f>IFERROR(SKU_wise[[#This Row],[Revenue`]]/SKU_wise[[#This Row],[Volume(Ltr)`]],0)</f>
        <v>460.98002260800718</v>
      </c>
    </row>
    <row r="109" spans="1:11" x14ac:dyDescent="0.5">
      <c r="A109" s="201" t="s">
        <v>81</v>
      </c>
      <c r="B109" s="191" t="s">
        <v>225</v>
      </c>
      <c r="C109" s="173">
        <f>SUMIFS(Primary_Order[Total Volume],Primary_Order[Date],$C$5,Primary_Order[Product ID],SKU_wise[[#This Row],[SKU ID]],Primary_Order[Status],'Stock Report'!$A$1)</f>
        <v>0</v>
      </c>
      <c r="D109" s="174">
        <f>SUMIFS(Primary_Order[Net Total(-15%)],Primary_Order[Date],$C$5,Primary_Order[Product ID],SKU_wise[[#This Row],[SKU ID]],Primary_Order[Status],'Stock Report'!$A$1)</f>
        <v>0</v>
      </c>
      <c r="E109" s="175">
        <f t="shared" si="6"/>
        <v>0</v>
      </c>
      <c r="F109" s="173">
        <f>SUMIFS(Primary_Order[Total Volume],Primary_Order[Date],"&gt;="&amp;DATE(YEAR($C$5),MONTH($C$5),1),Primary_Order[Date],"&lt;="&amp;$C$5,Primary_Order[Product ID],SKU_wise[[#This Row],[SKU ID]],Primary_Order[Status],'Stock Report'!$A$1)</f>
        <v>5020</v>
      </c>
      <c r="G109" s="174">
        <f>SUMIFS(Primary_Order[Net Total(-15%)],Primary_Order[Date],"&gt;="&amp;DATE(YEAR($C$5),MONTH($C$5),1),Primary_Order[Date],"&lt;="&amp;$C$5,Primary_Order[Product ID],SKU_wise[[#This Row],[SKU ID]],Primary_Order[Status],'Stock Report'!$A$1)</f>
        <v>1780956.5217391304</v>
      </c>
      <c r="H109" s="175">
        <f>IFERROR(SKU_wise[[#This Row],[Revenue.]]/SKU_wise[[#This Row],[Volume(Ltr).]],0)</f>
        <v>354.77221548588255</v>
      </c>
      <c r="I109" s="176">
        <f>SUMIFS(Primary_Order[Total Volume],Primary_Order[Date],"&gt;="&amp;DATE(YEAR($C$5),1,1),Primary_Order[Date],"&lt;="&amp;$C$5,Primary_Order[Product ID],SKU_wise[[#This Row],[SKU ID]],Primary_Order[Status],'Stock Report'!$A$1)</f>
        <v>20242</v>
      </c>
      <c r="J109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7608864.4499715175</v>
      </c>
      <c r="K109" s="187">
        <f>IFERROR(SKU_wise[[#This Row],[Revenue`]]/SKU_wise[[#This Row],[Volume(Ltr)`]],0)</f>
        <v>375.89489427781433</v>
      </c>
    </row>
    <row r="110" spans="1:11" x14ac:dyDescent="0.5">
      <c r="A110" s="201" t="s">
        <v>99</v>
      </c>
      <c r="B110" s="191" t="s">
        <v>226</v>
      </c>
      <c r="C110" s="173">
        <f>SUMIFS(Primary_Order[Total Volume],Primary_Order[Date],$C$5,Primary_Order[Product ID],SKU_wise[[#This Row],[SKU ID]],Primary_Order[Status],'Stock Report'!$A$1)</f>
        <v>0</v>
      </c>
      <c r="D110" s="174">
        <f>SUMIFS(Primary_Order[Net Total(-15%)],Primary_Order[Date],$C$5,Primary_Order[Product ID],SKU_wise[[#This Row],[SKU ID]],Primary_Order[Status],'Stock Report'!$A$1)</f>
        <v>0</v>
      </c>
      <c r="E110" s="175">
        <f t="shared" si="6"/>
        <v>0</v>
      </c>
      <c r="F110" s="173">
        <f>SUMIFS(Primary_Order[Total Volume],Primary_Order[Date],"&gt;="&amp;DATE(YEAR($C$5),MONTH($C$5),1),Primary_Order[Date],"&lt;="&amp;$C$5,Primary_Order[Product ID],SKU_wise[[#This Row],[SKU ID]],Primary_Order[Status],'Stock Report'!$A$1)</f>
        <v>265.2</v>
      </c>
      <c r="G110" s="174">
        <f>SUMIFS(Primary_Order[Net Total(-15%)],Primary_Order[Date],"&gt;="&amp;DATE(YEAR($C$5),MONTH($C$5),1),Primary_Order[Date],"&lt;="&amp;$C$5,Primary_Order[Product ID],SKU_wise[[#This Row],[SKU ID]],Primary_Order[Status],'Stock Report'!$A$1)</f>
        <v>97739.130434782608</v>
      </c>
      <c r="H110" s="175">
        <f>IFERROR(SKU_wise[[#This Row],[Revenue.]]/SKU_wise[[#This Row],[Volume(Ltr).]],0)</f>
        <v>368.54875729556039</v>
      </c>
      <c r="I110" s="176">
        <f>SUMIFS(Primary_Order[Total Volume],Primary_Order[Date],"&gt;="&amp;DATE(YEAR($C$5),1,1),Primary_Order[Date],"&lt;="&amp;$C$5,Primary_Order[Product ID],SKU_wise[[#This Row],[SKU ID]],Primary_Order[Status],'Stock Report'!$A$1)</f>
        <v>2497.1999999999998</v>
      </c>
      <c r="J110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1041208.6238845644</v>
      </c>
      <c r="K110" s="187">
        <f>IFERROR(SKU_wise[[#This Row],[Revenue`]]/SKU_wise[[#This Row],[Volume(Ltr)`]],0)</f>
        <v>416.95043403995055</v>
      </c>
    </row>
    <row r="111" spans="1:11" x14ac:dyDescent="0.5">
      <c r="A111" s="201" t="s">
        <v>48</v>
      </c>
      <c r="B111" s="191" t="s">
        <v>227</v>
      </c>
      <c r="C111" s="173">
        <f>SUMIFS(Primary_Order[Total Volume],Primary_Order[Date],$C$5,Primary_Order[Product ID],SKU_wise[[#This Row],[SKU ID]],Primary_Order[Status],'Stock Report'!$A$1)</f>
        <v>0</v>
      </c>
      <c r="D111" s="174">
        <f>SUMIFS(Primary_Order[Net Total(-15%)],Primary_Order[Date],$C$5,Primary_Order[Product ID],SKU_wise[[#This Row],[SKU ID]],Primary_Order[Status],'Stock Report'!$A$1)</f>
        <v>0</v>
      </c>
      <c r="E111" s="175">
        <f t="shared" si="6"/>
        <v>0</v>
      </c>
      <c r="F111" s="173">
        <f>SUMIFS(Primary_Order[Total Volume],Primary_Order[Date],"&gt;="&amp;DATE(YEAR($C$5),MONTH($C$5),1),Primary_Order[Date],"&lt;="&amp;$C$5,Primary_Order[Product ID],SKU_wise[[#This Row],[SKU ID]],Primary_Order[Status],'Stock Report'!$A$1)</f>
        <v>230</v>
      </c>
      <c r="G111" s="174">
        <f>SUMIFS(Primary_Order[Net Total(-15%)],Primary_Order[Date],"&gt;="&amp;DATE(YEAR($C$5),MONTH($C$5),1),Primary_Order[Date],"&lt;="&amp;$C$5,Primary_Order[Product ID],SKU_wise[[#This Row],[SKU ID]],Primary_Order[Status],'Stock Report'!$A$1)</f>
        <v>76521.739130434784</v>
      </c>
      <c r="H111" s="175">
        <f>IFERROR(SKU_wise[[#This Row],[Revenue.]]/SKU_wise[[#This Row],[Volume(Ltr).]],0)</f>
        <v>332.70321361058603</v>
      </c>
      <c r="I111" s="176">
        <f>SUMIFS(Primary_Order[Total Volume],Primary_Order[Date],"&gt;="&amp;DATE(YEAR($C$5),1,1),Primary_Order[Date],"&lt;="&amp;$C$5,Primary_Order[Product ID],SKU_wise[[#This Row],[SKU ID]],Primary_Order[Status],'Stock Report'!$A$1)</f>
        <v>230</v>
      </c>
      <c r="J111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76521.739130434784</v>
      </c>
      <c r="K111" s="187">
        <f>IFERROR(SKU_wise[[#This Row],[Revenue`]]/SKU_wise[[#This Row],[Volume(Ltr)`]],0)</f>
        <v>332.70321361058603</v>
      </c>
    </row>
    <row r="112" spans="1:11" x14ac:dyDescent="0.5">
      <c r="A112" s="201" t="s">
        <v>59</v>
      </c>
      <c r="B112" s="191" t="s">
        <v>228</v>
      </c>
      <c r="C112" s="173">
        <f>SUMIFS(Primary_Order[Total Volume],Primary_Order[Date],$C$5,Primary_Order[Product ID],SKU_wise[[#This Row],[SKU ID]],Primary_Order[Status],'Stock Report'!$A$1)</f>
        <v>0</v>
      </c>
      <c r="D112" s="174">
        <f>SUMIFS(Primary_Order[Net Total(-15%)],Primary_Order[Date],$C$5,Primary_Order[Product ID],SKU_wise[[#This Row],[SKU ID]],Primary_Order[Status],'Stock Report'!$A$1)</f>
        <v>0</v>
      </c>
      <c r="E112" s="175">
        <f t="shared" si="6"/>
        <v>0</v>
      </c>
      <c r="F112" s="173">
        <f>SUMIFS(Primary_Order[Total Volume],Primary_Order[Date],"&gt;="&amp;DATE(YEAR($C$5),MONTH($C$5),1),Primary_Order[Date],"&lt;="&amp;$C$5,Primary_Order[Product ID],SKU_wise[[#This Row],[SKU ID]],Primary_Order[Status],'Stock Report'!$A$1)</f>
        <v>240</v>
      </c>
      <c r="G112" s="174">
        <f>SUMIFS(Primary_Order[Net Total(-15%)],Primary_Order[Date],"&gt;="&amp;DATE(YEAR($C$5),MONTH($C$5),1),Primary_Order[Date],"&lt;="&amp;$C$5,Primary_Order[Product ID],SKU_wise[[#This Row],[SKU ID]],Primary_Order[Status],'Stock Report'!$A$1)</f>
        <v>109565.21739130435</v>
      </c>
      <c r="H112" s="175">
        <f>IFERROR(SKU_wise[[#This Row],[Revenue.]]/SKU_wise[[#This Row],[Volume(Ltr).]],0)</f>
        <v>456.52173913043481</v>
      </c>
      <c r="I112" s="176">
        <f>SUMIFS(Primary_Order[Total Volume],Primary_Order[Date],"&gt;="&amp;DATE(YEAR($C$5),1,1),Primary_Order[Date],"&lt;="&amp;$C$5,Primary_Order[Product ID],SKU_wise[[#This Row],[SKU ID]],Primary_Order[Status],'Stock Report'!$A$1)</f>
        <v>1776.8</v>
      </c>
      <c r="J112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870573.91304347827</v>
      </c>
      <c r="K112" s="187">
        <f>IFERROR(SKU_wise[[#This Row],[Revenue`]]/SKU_wise[[#This Row],[Volume(Ltr)`]],0)</f>
        <v>489.96730810641509</v>
      </c>
    </row>
    <row r="113" spans="1:11" hidden="1" x14ac:dyDescent="0.5">
      <c r="A113" s="201" t="s">
        <v>117</v>
      </c>
      <c r="B113" s="191" t="s">
        <v>229</v>
      </c>
      <c r="C113" s="173">
        <f>SUMIFS(Primary_Order[Total Volume],Primary_Order[Date],$C$5,Primary_Order[Product ID],SKU_wise[[#This Row],[SKU ID]],Primary_Order[Status],'Stock Report'!$A$1)</f>
        <v>0</v>
      </c>
      <c r="D113" s="174">
        <f>SUMIFS(Primary_Order[Net Total(-15%)],Primary_Order[Date],$C$5,Primary_Order[Product ID],SKU_wise[[#This Row],[SKU ID]],Primary_Order[Status],'Stock Report'!$A$1)</f>
        <v>0</v>
      </c>
      <c r="E113" s="175">
        <f t="shared" si="6"/>
        <v>0</v>
      </c>
      <c r="F113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13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13" s="175">
        <f>IFERROR(SKU_wise[[#This Row],[Revenue.]]/SKU_wise[[#This Row],[Volume(Ltr).]],0)</f>
        <v>0</v>
      </c>
      <c r="I113" s="176">
        <f>SUMIFS(Primary_Order[Total Volume],Primary_Order[Date],"&gt;="&amp;DATE(YEAR($C$5),1,1),Primary_Order[Date],"&lt;="&amp;$C$5,Primary_Order[Product ID],SKU_wise[[#This Row],[SKU ID]],Primary_Order[Status],'Stock Report'!$A$1)</f>
        <v>744.8</v>
      </c>
      <c r="J113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425600</v>
      </c>
      <c r="K113" s="187">
        <f>IFERROR(SKU_wise[[#This Row],[Revenue`]]/SKU_wise[[#This Row],[Volume(Ltr)`]],0)</f>
        <v>571.42857142857144</v>
      </c>
    </row>
    <row r="114" spans="1:11" hidden="1" x14ac:dyDescent="0.5">
      <c r="A114" s="201" t="s">
        <v>145</v>
      </c>
      <c r="B114" s="191" t="s">
        <v>230</v>
      </c>
      <c r="C114" s="173">
        <f>SUMIFS(Primary_Order[Total Volume],Primary_Order[Date],$C$5,Primary_Order[Product ID],SKU_wise[[#This Row],[SKU ID]],Primary_Order[Status],'Stock Report'!$A$1)</f>
        <v>0</v>
      </c>
      <c r="D114" s="174">
        <f>SUMIFS(Primary_Order[Net Total(-15%)],Primary_Order[Date],$C$5,Primary_Order[Product ID],SKU_wise[[#This Row],[SKU ID]],Primary_Order[Status],'Stock Report'!$A$1)</f>
        <v>0</v>
      </c>
      <c r="E114" s="175">
        <f t="shared" si="6"/>
        <v>0</v>
      </c>
      <c r="F114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14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14" s="175">
        <f>IFERROR(SKU_wise[[#This Row],[Revenue.]]/SKU_wise[[#This Row],[Volume(Ltr).]],0)</f>
        <v>0</v>
      </c>
      <c r="I114" s="176">
        <f>SUMIFS(Primary_Order[Total Volume],Primary_Order[Date],"&gt;="&amp;DATE(YEAR($C$5),1,1),Primary_Order[Date],"&lt;="&amp;$C$5,Primary_Order[Product ID],SKU_wise[[#This Row],[SKU ID]],Primary_Order[Status],'Stock Report'!$A$1)</f>
        <v>280</v>
      </c>
      <c r="J11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155304.34782608695</v>
      </c>
      <c r="K114" s="187">
        <f>IFERROR(SKU_wise[[#This Row],[Revenue`]]/SKU_wise[[#This Row],[Volume(Ltr)`]],0)</f>
        <v>554.65838509316768</v>
      </c>
    </row>
    <row r="115" spans="1:11" x14ac:dyDescent="0.5">
      <c r="A115" s="201" t="s">
        <v>152</v>
      </c>
      <c r="B115" s="191" t="s">
        <v>231</v>
      </c>
      <c r="C115" s="173">
        <f>SUMIFS(Primary_Order[Total Volume],Primary_Order[Date],$C$5,Primary_Order[Product ID],SKU_wise[[#This Row],[SKU ID]],Primary_Order[Status],'Stock Report'!$A$1)</f>
        <v>0</v>
      </c>
      <c r="D115" s="174">
        <f>SUMIFS(Primary_Order[Net Total(-15%)],Primary_Order[Date],$C$5,Primary_Order[Product ID],SKU_wise[[#This Row],[SKU ID]],Primary_Order[Status],'Stock Report'!$A$1)</f>
        <v>0</v>
      </c>
      <c r="E115" s="175">
        <f t="shared" si="6"/>
        <v>0</v>
      </c>
      <c r="F115" s="173">
        <f>SUMIFS(Primary_Order[Total Volume],Primary_Order[Date],"&gt;="&amp;DATE(YEAR($C$5),MONTH($C$5),1),Primary_Order[Date],"&lt;="&amp;$C$5,Primary_Order[Product ID],SKU_wise[[#This Row],[SKU ID]],Primary_Order[Status],'Stock Report'!$A$1)</f>
        <v>301</v>
      </c>
      <c r="G115" s="174">
        <f>SUMIFS(Primary_Order[Net Total(-15%)],Primary_Order[Date],"&gt;="&amp;DATE(YEAR($C$5),MONTH($C$5),1),Primary_Order[Date],"&lt;="&amp;$C$5,Primary_Order[Product ID],SKU_wise[[#This Row],[SKU ID]],Primary_Order[Status],'Stock Report'!$A$1)</f>
        <v>104347.82608695653</v>
      </c>
      <c r="H115" s="175">
        <f>IFERROR(SKU_wise[[#This Row],[Revenue.]]/SKU_wise[[#This Row],[Volume(Ltr).]],0)</f>
        <v>346.67051856131735</v>
      </c>
      <c r="I115" s="176">
        <f>SUMIFS(Primary_Order[Total Volume],Primary_Order[Date],"&gt;="&amp;DATE(YEAR($C$5),1,1),Primary_Order[Date],"&lt;="&amp;$C$5,Primary_Order[Product ID],SKU_wise[[#This Row],[SKU ID]],Primary_Order[Status],'Stock Report'!$A$1)</f>
        <v>1881</v>
      </c>
      <c r="J11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591391.30434782605</v>
      </c>
      <c r="K115" s="187">
        <f>IFERROR(SKU_wise[[#This Row],[Revenue`]]/SKU_wise[[#This Row],[Volume(Ltr)`]],0)</f>
        <v>314.40260730878578</v>
      </c>
    </row>
    <row r="116" spans="1:11" hidden="1" x14ac:dyDescent="0.5">
      <c r="A116" s="201" t="s">
        <v>168</v>
      </c>
      <c r="B116" s="191" t="s">
        <v>232</v>
      </c>
      <c r="C116" s="173">
        <f>SUMIFS(Primary_Order[Total Volume],Primary_Order[Date],$C$5,Primary_Order[Product ID],SKU_wise[[#This Row],[SKU ID]],Primary_Order[Status],'Stock Report'!$A$1)</f>
        <v>0</v>
      </c>
      <c r="D116" s="174">
        <f>SUMIFS(Primary_Order[Net Total(-15%)],Primary_Order[Date],$C$5,Primary_Order[Product ID],SKU_wise[[#This Row],[SKU ID]],Primary_Order[Status],'Stock Report'!$A$1)</f>
        <v>0</v>
      </c>
      <c r="E116" s="175">
        <f t="shared" si="6"/>
        <v>0</v>
      </c>
      <c r="F116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16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16" s="175">
        <f>IFERROR(SKU_wise[[#This Row],[Revenue.]]/SKU_wise[[#This Row],[Volume(Ltr).]],0)</f>
        <v>0</v>
      </c>
      <c r="I116" s="176">
        <f>SUMIFS(Primary_Order[Total Volume],Primary_Order[Date],"&gt;="&amp;DATE(YEAR($C$5),1,1),Primary_Order[Date],"&lt;="&amp;$C$5,Primary_Order[Product ID],SKU_wise[[#This Row],[SKU ID]],Primary_Order[Status],'Stock Report'!$A$1)</f>
        <v>29</v>
      </c>
      <c r="J116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18660.869565217392</v>
      </c>
      <c r="K116" s="187">
        <f>IFERROR(SKU_wise[[#This Row],[Revenue`]]/SKU_wise[[#This Row],[Volume(Ltr)`]],0)</f>
        <v>643.47826086956525</v>
      </c>
    </row>
    <row r="117" spans="1:11" hidden="1" x14ac:dyDescent="0.5">
      <c r="A117" s="201" t="s">
        <v>126</v>
      </c>
      <c r="B117" s="191" t="s">
        <v>233</v>
      </c>
      <c r="C117" s="173">
        <f>SUMIFS(Primary_Order[Total Volume],Primary_Order[Date],$C$5,Primary_Order[Product ID],SKU_wise[[#This Row],[SKU ID]],Primary_Order[Status],'Stock Report'!$A$1)</f>
        <v>0</v>
      </c>
      <c r="D117" s="174">
        <f>SUMIFS(Primary_Order[Net Total(-15%)],Primary_Order[Date],$C$5,Primary_Order[Product ID],SKU_wise[[#This Row],[SKU ID]],Primary_Order[Status],'Stock Report'!$A$1)</f>
        <v>0</v>
      </c>
      <c r="E117" s="175">
        <f t="shared" si="6"/>
        <v>0</v>
      </c>
      <c r="F117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17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17" s="175">
        <f>IFERROR(SKU_wise[[#This Row],[Revenue.]]/SKU_wise[[#This Row],[Volume(Ltr).]],0)</f>
        <v>0</v>
      </c>
      <c r="I117" s="176">
        <f>SUMIFS(Primary_Order[Total Volume],Primary_Order[Date],"&gt;="&amp;DATE(YEAR($C$5),1,1),Primary_Order[Date],"&lt;="&amp;$C$5,Primary_Order[Product ID],SKU_wise[[#This Row],[SKU ID]],Primary_Order[Status],'Stock Report'!$A$1)</f>
        <v>39</v>
      </c>
      <c r="J117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104000.00000000001</v>
      </c>
      <c r="K117" s="187">
        <f>IFERROR(SKU_wise[[#This Row],[Revenue`]]/SKU_wise[[#This Row],[Volume(Ltr)`]],0)</f>
        <v>2666.666666666667</v>
      </c>
    </row>
    <row r="118" spans="1:11" hidden="1" x14ac:dyDescent="0.5">
      <c r="A118" s="201" t="s">
        <v>147</v>
      </c>
      <c r="B118" s="191" t="s">
        <v>234</v>
      </c>
      <c r="C118" s="173">
        <f>SUMIFS(Primary_Order[Total Volume],Primary_Order[Date],$C$5,Primary_Order[Product ID],SKU_wise[[#This Row],[SKU ID]],Primary_Order[Status],'Stock Report'!$A$1)</f>
        <v>0</v>
      </c>
      <c r="D118" s="174">
        <f>SUMIFS(Primary_Order[Net Total(-15%)],Primary_Order[Date],$C$5,Primary_Order[Product ID],SKU_wise[[#This Row],[SKU ID]],Primary_Order[Status],'Stock Report'!$A$1)</f>
        <v>0</v>
      </c>
      <c r="E118" s="175">
        <f t="shared" si="6"/>
        <v>0</v>
      </c>
      <c r="F118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18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18" s="175">
        <f>IFERROR(SKU_wise[[#This Row],[Revenue.]]/SKU_wise[[#This Row],[Volume(Ltr).]],0)</f>
        <v>0</v>
      </c>
      <c r="I118" s="176">
        <f>SUMIFS(Primary_Order[Total Volume],Primary_Order[Date],"&gt;="&amp;DATE(YEAR($C$5),1,1),Primary_Order[Date],"&lt;="&amp;$C$5,Primary_Order[Product ID],SKU_wise[[#This Row],[SKU ID]],Primary_Order[Status],'Stock Report'!$A$1)</f>
        <v>220.8</v>
      </c>
      <c r="J118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480000</v>
      </c>
      <c r="K118" s="187">
        <f>IFERROR(SKU_wise[[#This Row],[Revenue`]]/SKU_wise[[#This Row],[Volume(Ltr)`]],0)</f>
        <v>2173.9130434782605</v>
      </c>
    </row>
    <row r="119" spans="1:11" hidden="1" x14ac:dyDescent="0.5">
      <c r="A119" s="201" t="s">
        <v>37</v>
      </c>
      <c r="B119" s="191" t="s">
        <v>235</v>
      </c>
      <c r="C119" s="173">
        <f>SUMIFS(Primary_Order[Total Volume],Primary_Order[Date],$C$5,Primary_Order[Product ID],SKU_wise[[#This Row],[SKU ID]],Primary_Order[Status],'Stock Report'!$A$1)</f>
        <v>0</v>
      </c>
      <c r="D119" s="174">
        <f>SUMIFS(Primary_Order[Net Total(-15%)],Primary_Order[Date],$C$5,Primary_Order[Product ID],SKU_wise[[#This Row],[SKU ID]],Primary_Order[Status],'Stock Report'!$A$1)</f>
        <v>0</v>
      </c>
      <c r="E119" s="175">
        <f t="shared" si="6"/>
        <v>0</v>
      </c>
      <c r="F119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19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19" s="175">
        <f>IFERROR(SKU_wise[[#This Row],[Revenue.]]/SKU_wise[[#This Row],[Volume(Ltr).]],0)</f>
        <v>0</v>
      </c>
      <c r="I119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19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19" s="187">
        <f>IFERROR(SKU_wise[[#This Row],[Revenue`]]/SKU_wise[[#This Row],[Volume(Ltr)`]],0)</f>
        <v>0</v>
      </c>
    </row>
    <row r="120" spans="1:11" hidden="1" x14ac:dyDescent="0.5">
      <c r="A120" s="201" t="s">
        <v>148</v>
      </c>
      <c r="B120" s="191" t="s">
        <v>236</v>
      </c>
      <c r="C120" s="173">
        <f>SUMIFS(Primary_Order[Total Volume],Primary_Order[Date],$C$5,Primary_Order[Product ID],SKU_wise[[#This Row],[SKU ID]],Primary_Order[Status],'Stock Report'!$A$1)</f>
        <v>0</v>
      </c>
      <c r="D120" s="174">
        <f>SUMIFS(Primary_Order[Net Total(-15%)],Primary_Order[Date],$C$5,Primary_Order[Product ID],SKU_wise[[#This Row],[SKU ID]],Primary_Order[Status],'Stock Report'!$A$1)</f>
        <v>0</v>
      </c>
      <c r="E120" s="175">
        <f t="shared" si="6"/>
        <v>0</v>
      </c>
      <c r="F120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0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0" s="175">
        <f>IFERROR(SKU_wise[[#This Row],[Revenue.]]/SKU_wise[[#This Row],[Volume(Ltr).]],0)</f>
        <v>0</v>
      </c>
      <c r="I120" s="176">
        <f>SUMIFS(Primary_Order[Total Volume],Primary_Order[Date],"&gt;="&amp;DATE(YEAR($C$5),1,1),Primary_Order[Date],"&lt;="&amp;$C$5,Primary_Order[Product ID],SKU_wise[[#This Row],[SKU ID]],Primary_Order[Status],'Stock Report'!$A$1)</f>
        <v>102</v>
      </c>
      <c r="J120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211760.86956521738</v>
      </c>
      <c r="K120" s="187">
        <f>IFERROR(SKU_wise[[#This Row],[Revenue`]]/SKU_wise[[#This Row],[Volume(Ltr)`]],0)</f>
        <v>2076.086956521739</v>
      </c>
    </row>
    <row r="121" spans="1:11" hidden="1" x14ac:dyDescent="0.5">
      <c r="A121" s="201" t="s">
        <v>193</v>
      </c>
      <c r="B121" s="191" t="s">
        <v>237</v>
      </c>
      <c r="C121" s="173">
        <f>SUMIFS(Primary_Order[Total Volume],Primary_Order[Date],$C$5,Primary_Order[Product ID],SKU_wise[[#This Row],[SKU ID]],Primary_Order[Status],'Stock Report'!$A$1)</f>
        <v>0</v>
      </c>
      <c r="D121" s="174">
        <f>SUMIFS(Primary_Order[Net Total(-15%)],Primary_Order[Date],$C$5,Primary_Order[Product ID],SKU_wise[[#This Row],[SKU ID]],Primary_Order[Status],'Stock Report'!$A$1)</f>
        <v>0</v>
      </c>
      <c r="E121" s="175">
        <f t="shared" si="6"/>
        <v>0</v>
      </c>
      <c r="F121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1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1" s="175">
        <f>IFERROR(SKU_wise[[#This Row],[Revenue.]]/SKU_wise[[#This Row],[Volume(Ltr).]],0)</f>
        <v>0</v>
      </c>
      <c r="I121" s="176">
        <f>SUMIFS(Primary_Order[Total Volume],Primary_Order[Date],"&gt;="&amp;DATE(YEAR($C$5),1,1),Primary_Order[Date],"&lt;="&amp;$C$5,Primary_Order[Product ID],SKU_wise[[#This Row],[SKU ID]],Primary_Order[Status],'Stock Report'!$A$1)</f>
        <v>55.5</v>
      </c>
      <c r="J121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129339.13043478261</v>
      </c>
      <c r="K121" s="187">
        <f>IFERROR(SKU_wise[[#This Row],[Revenue`]]/SKU_wise[[#This Row],[Volume(Ltr)`]],0)</f>
        <v>2330.4347826086955</v>
      </c>
    </row>
    <row r="122" spans="1:11" hidden="1" x14ac:dyDescent="0.5">
      <c r="A122" s="201" t="s">
        <v>181</v>
      </c>
      <c r="B122" s="191" t="s">
        <v>238</v>
      </c>
      <c r="C122" s="173">
        <f>SUMIFS(Primary_Order[Total Volume],Primary_Order[Date],$C$5,Primary_Order[Product ID],SKU_wise[[#This Row],[SKU ID]],Primary_Order[Status],'Stock Report'!$A$1)</f>
        <v>0</v>
      </c>
      <c r="D122" s="174">
        <f>SUMIFS(Primary_Order[Net Total(-15%)],Primary_Order[Date],$C$5,Primary_Order[Product ID],SKU_wise[[#This Row],[SKU ID]],Primary_Order[Status],'Stock Report'!$A$1)</f>
        <v>0</v>
      </c>
      <c r="E122" s="175">
        <f t="shared" si="6"/>
        <v>0</v>
      </c>
      <c r="F122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2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2" s="175">
        <f>IFERROR(SKU_wise[[#This Row],[Revenue.]]/SKU_wise[[#This Row],[Volume(Ltr).]],0)</f>
        <v>0</v>
      </c>
      <c r="I122" s="176">
        <f>SUMIFS(Primary_Order[Total Volume],Primary_Order[Date],"&gt;="&amp;DATE(YEAR($C$5),1,1),Primary_Order[Date],"&lt;="&amp;$C$5,Primary_Order[Product ID],SKU_wise[[#This Row],[SKU ID]],Primary_Order[Status],'Stock Report'!$A$1)</f>
        <v>53.25</v>
      </c>
      <c r="J122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112982.60869565218</v>
      </c>
      <c r="K122" s="187">
        <f>IFERROR(SKU_wise[[#This Row],[Revenue`]]/SKU_wise[[#This Row],[Volume(Ltr)`]],0)</f>
        <v>2121.7391304347825</v>
      </c>
    </row>
    <row r="123" spans="1:11" hidden="1" x14ac:dyDescent="0.5">
      <c r="A123" s="201" t="s">
        <v>149</v>
      </c>
      <c r="B123" s="191" t="s">
        <v>239</v>
      </c>
      <c r="C123" s="173">
        <f>SUMIFS(Primary_Order[Total Volume],Primary_Order[Date],$C$5,Primary_Order[Product ID],SKU_wise[[#This Row],[SKU ID]],Primary_Order[Status],'Stock Report'!$A$1)</f>
        <v>0</v>
      </c>
      <c r="D123" s="174">
        <f>SUMIFS(Primary_Order[Net Total(-15%)],Primary_Order[Date],$C$5,Primary_Order[Product ID],SKU_wise[[#This Row],[SKU ID]],Primary_Order[Status],'Stock Report'!$A$1)</f>
        <v>0</v>
      </c>
      <c r="E123" s="175">
        <f t="shared" si="6"/>
        <v>0</v>
      </c>
      <c r="F123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3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3" s="175">
        <f>IFERROR(SKU_wise[[#This Row],[Revenue.]]/SKU_wise[[#This Row],[Volume(Ltr).]],0)</f>
        <v>0</v>
      </c>
      <c r="I123" s="176">
        <f>SUMIFS(Primary_Order[Total Volume],Primary_Order[Date],"&gt;="&amp;DATE(YEAR($C$5),1,1),Primary_Order[Date],"&lt;="&amp;$C$5,Primary_Order[Product ID],SKU_wise[[#This Row],[SKU ID]],Primary_Order[Status],'Stock Report'!$A$1)</f>
        <v>33.9</v>
      </c>
      <c r="J123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59939.130434782608</v>
      </c>
      <c r="K123" s="187">
        <f>IFERROR(SKU_wise[[#This Row],[Revenue`]]/SKU_wise[[#This Row],[Volume(Ltr)`]],0)</f>
        <v>1768.1159420289855</v>
      </c>
    </row>
    <row r="124" spans="1:11" hidden="1" x14ac:dyDescent="0.5">
      <c r="A124" s="201" t="s">
        <v>107</v>
      </c>
      <c r="B124" s="191" t="s">
        <v>240</v>
      </c>
      <c r="C124" s="173">
        <f>SUMIFS(Primary_Order[Total Volume],Primary_Order[Date],$C$5,Primary_Order[Product ID],SKU_wise[[#This Row],[SKU ID]],Primary_Order[Status],'Stock Report'!$A$1)</f>
        <v>0</v>
      </c>
      <c r="D124" s="174">
        <f>SUMIFS(Primary_Order[Net Total(-15%)],Primary_Order[Date],$C$5,Primary_Order[Product ID],SKU_wise[[#This Row],[SKU ID]],Primary_Order[Status],'Stock Report'!$A$1)</f>
        <v>0</v>
      </c>
      <c r="E124" s="175">
        <f t="shared" si="6"/>
        <v>0</v>
      </c>
      <c r="F124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4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4" s="175">
        <f>IFERROR(SKU_wise[[#This Row],[Revenue.]]/SKU_wise[[#This Row],[Volume(Ltr).]],0)</f>
        <v>0</v>
      </c>
      <c r="I124" s="176">
        <f>SUMIFS(Primary_Order[Total Volume],Primary_Order[Date],"&gt;="&amp;DATE(YEAR($C$5),1,1),Primary_Order[Date],"&lt;="&amp;$C$5,Primary_Order[Product ID],SKU_wise[[#This Row],[SKU ID]],Primary_Order[Status],'Stock Report'!$A$1)</f>
        <v>2407.4</v>
      </c>
      <c r="J12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2511091.2929561418</v>
      </c>
      <c r="K124" s="187">
        <f>IFERROR(SKU_wise[[#This Row],[Revenue`]]/SKU_wise[[#This Row],[Volume(Ltr)`]],0)</f>
        <v>1043.0719003722445</v>
      </c>
    </row>
    <row r="125" spans="1:11" hidden="1" x14ac:dyDescent="0.5">
      <c r="A125" s="201" t="s">
        <v>197</v>
      </c>
      <c r="B125" s="191" t="s">
        <v>241</v>
      </c>
      <c r="C125" s="173">
        <f>SUMIFS(Primary_Order[Total Volume],Primary_Order[Date],$C$5,Primary_Order[Product ID],SKU_wise[[#This Row],[SKU ID]],Primary_Order[Status],'Stock Report'!$A$1)</f>
        <v>0</v>
      </c>
      <c r="D125" s="174">
        <f>SUMIFS(Primary_Order[Net Total(-15%)],Primary_Order[Date],$C$5,Primary_Order[Product ID],SKU_wise[[#This Row],[SKU ID]],Primary_Order[Status],'Stock Report'!$A$1)</f>
        <v>0</v>
      </c>
      <c r="E125" s="175">
        <f t="shared" si="6"/>
        <v>0</v>
      </c>
      <c r="F125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5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5" s="175">
        <f>IFERROR(SKU_wise[[#This Row],[Revenue.]]/SKU_wise[[#This Row],[Volume(Ltr).]],0)</f>
        <v>0</v>
      </c>
      <c r="I125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2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25" s="187">
        <f>IFERROR(SKU_wise[[#This Row],[Revenue`]]/SKU_wise[[#This Row],[Volume(Ltr)`]],0)</f>
        <v>0</v>
      </c>
    </row>
    <row r="126" spans="1:11" hidden="1" x14ac:dyDescent="0.5">
      <c r="A126" s="201" t="s">
        <v>104</v>
      </c>
      <c r="B126" s="191" t="s">
        <v>242</v>
      </c>
      <c r="C126" s="173">
        <f>SUMIFS(Primary_Order[Total Volume],Primary_Order[Date],$C$5,Primary_Order[Product ID],SKU_wise[[#This Row],[SKU ID]],Primary_Order[Status],'Stock Report'!$A$1)</f>
        <v>0</v>
      </c>
      <c r="D126" s="174">
        <f>SUMIFS(Primary_Order[Net Total(-15%)],Primary_Order[Date],$C$5,Primary_Order[Product ID],SKU_wise[[#This Row],[SKU ID]],Primary_Order[Status],'Stock Report'!$A$1)</f>
        <v>0</v>
      </c>
      <c r="E126" s="175">
        <f t="shared" si="6"/>
        <v>0</v>
      </c>
      <c r="F126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6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6" s="175">
        <f>IFERROR(SKU_wise[[#This Row],[Revenue.]]/SKU_wise[[#This Row],[Volume(Ltr).]],0)</f>
        <v>0</v>
      </c>
      <c r="I126" s="176">
        <f>SUMIFS(Primary_Order[Total Volume],Primary_Order[Date],"&gt;="&amp;DATE(YEAR($C$5),1,1),Primary_Order[Date],"&lt;="&amp;$C$5,Primary_Order[Product ID],SKU_wise[[#This Row],[SKU ID]],Primary_Order[Status],'Stock Report'!$A$1)</f>
        <v>482.35</v>
      </c>
      <c r="J126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1634386.9565217393</v>
      </c>
      <c r="K126" s="187">
        <f>IFERROR(SKU_wise[[#This Row],[Revenue`]]/SKU_wise[[#This Row],[Volume(Ltr)`]],0)</f>
        <v>3388.3838634222852</v>
      </c>
    </row>
    <row r="127" spans="1:11" hidden="1" x14ac:dyDescent="0.5">
      <c r="A127" s="201" t="s">
        <v>243</v>
      </c>
      <c r="B127" s="191" t="s">
        <v>244</v>
      </c>
      <c r="C127" s="173">
        <f>SUMIFS(Primary_Order[Total Volume],Primary_Order[Date],$C$5,Primary_Order[Product ID],SKU_wise[[#This Row],[SKU ID]],Primary_Order[Status],'Stock Report'!$A$1)</f>
        <v>0</v>
      </c>
      <c r="D127" s="174">
        <f>SUMIFS(Primary_Order[Net Total(-15%)],Primary_Order[Date],$C$5,Primary_Order[Product ID],SKU_wise[[#This Row],[SKU ID]],Primary_Order[Status],'Stock Report'!$A$1)</f>
        <v>0</v>
      </c>
      <c r="E127" s="175">
        <f t="shared" si="6"/>
        <v>0</v>
      </c>
      <c r="F127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7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7" s="175">
        <f>IFERROR(SKU_wise[[#This Row],[Revenue.]]/SKU_wise[[#This Row],[Volume(Ltr).]],0)</f>
        <v>0</v>
      </c>
      <c r="I127" s="176">
        <f>SUMIFS(Primary_Order[Total Volume],Primary_Order[Date],"&gt;="&amp;DATE(YEAR($C$5),1,1),Primary_Order[Date],"&lt;="&amp;$C$5,Primary_Order[Product ID],SKU_wise[[#This Row],[SKU ID]],Primary_Order[Status],'Stock Report'!$A$1)</f>
        <v>23.75</v>
      </c>
      <c r="J127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16521.739130434784</v>
      </c>
      <c r="K127" s="187">
        <f>IFERROR(SKU_wise[[#This Row],[Revenue`]]/SKU_wise[[#This Row],[Volume(Ltr)`]],0)</f>
        <v>695.6521739130435</v>
      </c>
    </row>
    <row r="128" spans="1:11" hidden="1" x14ac:dyDescent="0.5">
      <c r="A128" s="201" t="s">
        <v>245</v>
      </c>
      <c r="B128" s="191" t="s">
        <v>246</v>
      </c>
      <c r="C128" s="173">
        <f>SUMIFS(Primary_Order[Total Volume],Primary_Order[Date],$C$5,Primary_Order[Product ID],SKU_wise[[#This Row],[SKU ID]],Primary_Order[Status],'Stock Report'!$A$1)</f>
        <v>0</v>
      </c>
      <c r="D128" s="174">
        <f>SUMIFS(Primary_Order[Net Total(-15%)],Primary_Order[Date],$C$5,Primary_Order[Product ID],SKU_wise[[#This Row],[SKU ID]],Primary_Order[Status],'Stock Report'!$A$1)</f>
        <v>0</v>
      </c>
      <c r="E128" s="175">
        <f t="shared" si="6"/>
        <v>0</v>
      </c>
      <c r="F128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8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8" s="175">
        <f>IFERROR(SKU_wise[[#This Row],[Revenue.]]/SKU_wise[[#This Row],[Volume(Ltr).]],0)</f>
        <v>0</v>
      </c>
      <c r="I128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28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28" s="187">
        <f>IFERROR(SKU_wise[[#This Row],[Revenue`]]/SKU_wise[[#This Row],[Volume(Ltr)`]],0)</f>
        <v>0</v>
      </c>
    </row>
    <row r="129" spans="1:11" hidden="1" x14ac:dyDescent="0.5">
      <c r="A129" s="201" t="s">
        <v>247</v>
      </c>
      <c r="B129" s="191" t="s">
        <v>248</v>
      </c>
      <c r="C129" s="173">
        <f>SUMIFS(Primary_Order[Total Volume],Primary_Order[Date],$C$5,Primary_Order[Product ID],SKU_wise[[#This Row],[SKU ID]],Primary_Order[Status],'Stock Report'!$A$1)</f>
        <v>0</v>
      </c>
      <c r="D129" s="174">
        <f>SUMIFS(Primary_Order[Net Total(-15%)],Primary_Order[Date],$C$5,Primary_Order[Product ID],SKU_wise[[#This Row],[SKU ID]],Primary_Order[Status],'Stock Report'!$A$1)</f>
        <v>0</v>
      </c>
      <c r="E129" s="175">
        <f t="shared" si="6"/>
        <v>0</v>
      </c>
      <c r="F129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29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29" s="175">
        <f>IFERROR(SKU_wise[[#This Row],[Revenue.]]/SKU_wise[[#This Row],[Volume(Ltr).]],0)</f>
        <v>0</v>
      </c>
      <c r="I129" s="176">
        <f>SUMIFS(Primary_Order[Total Volume],Primary_Order[Date],"&gt;="&amp;DATE(YEAR($C$5),1,1),Primary_Order[Date],"&lt;="&amp;$C$5,Primary_Order[Product ID],SKU_wise[[#This Row],[SKU ID]],Primary_Order[Status],'Stock Report'!$A$1)</f>
        <v>240</v>
      </c>
      <c r="J129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991304.34782608692</v>
      </c>
      <c r="K129" s="187">
        <f>IFERROR(SKU_wise[[#This Row],[Revenue`]]/SKU_wise[[#This Row],[Volume(Ltr)`]],0)</f>
        <v>4130.4347826086951</v>
      </c>
    </row>
    <row r="130" spans="1:11" hidden="1" x14ac:dyDescent="0.5">
      <c r="A130" s="201" t="s">
        <v>105</v>
      </c>
      <c r="B130" s="191" t="s">
        <v>249</v>
      </c>
      <c r="C130" s="173">
        <f>SUMIFS(Primary_Order[Total Volume],Primary_Order[Date],$C$5,Primary_Order[Product ID],SKU_wise[[#This Row],[SKU ID]],Primary_Order[Status],'Stock Report'!$A$1)</f>
        <v>0</v>
      </c>
      <c r="D130" s="174">
        <f>SUMIFS(Primary_Order[Net Total(-15%)],Primary_Order[Date],$C$5,Primary_Order[Product ID],SKU_wise[[#This Row],[SKU ID]],Primary_Order[Status],'Stock Report'!$A$1)</f>
        <v>0</v>
      </c>
      <c r="E130" s="175">
        <f t="shared" si="6"/>
        <v>0</v>
      </c>
      <c r="F130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30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30" s="175">
        <f>IFERROR(SKU_wise[[#This Row],[Revenue.]]/SKU_wise[[#This Row],[Volume(Ltr).]],0)</f>
        <v>0</v>
      </c>
      <c r="I130" s="176">
        <f>SUMIFS(Primary_Order[Total Volume],Primary_Order[Date],"&gt;="&amp;DATE(YEAR($C$5),1,1),Primary_Order[Date],"&lt;="&amp;$C$5,Primary_Order[Product ID],SKU_wise[[#This Row],[SKU ID]],Primary_Order[Status],'Stock Report'!$A$1)</f>
        <v>417.8</v>
      </c>
      <c r="J130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1235234.7826086956</v>
      </c>
      <c r="K130" s="187">
        <f>IFERROR(SKU_wise[[#This Row],[Revenue`]]/SKU_wise[[#This Row],[Volume(Ltr)`]],0)</f>
        <v>2956.5217391304345</v>
      </c>
    </row>
    <row r="131" spans="1:11" hidden="1" x14ac:dyDescent="0.5">
      <c r="A131" s="201" t="s">
        <v>131</v>
      </c>
      <c r="B131" s="191" t="s">
        <v>250</v>
      </c>
      <c r="C131" s="173">
        <f>SUMIFS(Primary_Order[Total Volume],Primary_Order[Date],$C$5,Primary_Order[Product ID],SKU_wise[[#This Row],[SKU ID]],Primary_Order[Status],'Stock Report'!$A$1)</f>
        <v>0</v>
      </c>
      <c r="D131" s="174">
        <f>SUMIFS(Primary_Order[Net Total(-15%)],Primary_Order[Date],$C$5,Primary_Order[Product ID],SKU_wise[[#This Row],[SKU ID]],Primary_Order[Status],'Stock Report'!$A$1)</f>
        <v>0</v>
      </c>
      <c r="E131" s="175">
        <f t="shared" si="6"/>
        <v>0</v>
      </c>
      <c r="F131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31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31" s="175">
        <f>IFERROR(SKU_wise[[#This Row],[Revenue.]]/SKU_wise[[#This Row],[Volume(Ltr).]],0)</f>
        <v>0</v>
      </c>
      <c r="I131" s="176">
        <f>SUMIFS(Primary_Order[Total Volume],Primary_Order[Date],"&gt;="&amp;DATE(YEAR($C$5),1,1),Primary_Order[Date],"&lt;="&amp;$C$5,Primary_Order[Product ID],SKU_wise[[#This Row],[SKU ID]],Primary_Order[Status],'Stock Report'!$A$1)</f>
        <v>220</v>
      </c>
      <c r="J131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140660.86956521741</v>
      </c>
      <c r="K131" s="187">
        <f>IFERROR(SKU_wise[[#This Row],[Revenue`]]/SKU_wise[[#This Row],[Volume(Ltr)`]],0)</f>
        <v>639.36758893280637</v>
      </c>
    </row>
    <row r="132" spans="1:11" x14ac:dyDescent="0.5">
      <c r="A132" s="201" t="s">
        <v>96</v>
      </c>
      <c r="B132" s="191" t="s">
        <v>251</v>
      </c>
      <c r="C132" s="173">
        <f>SUMIFS(Primary_Order[Total Volume],Primary_Order[Date],$C$5,Primary_Order[Product ID],SKU_wise[[#This Row],[SKU ID]],Primary_Order[Status],'Stock Report'!$A$1)</f>
        <v>400</v>
      </c>
      <c r="D132" s="174">
        <f>SUMIFS(Primary_Order[Net Total(-15%)],Primary_Order[Date],$C$5,Primary_Order[Product ID],SKU_wise[[#This Row],[SKU ID]],Primary_Order[Status],'Stock Report'!$A$1)</f>
        <v>260869.5652173913</v>
      </c>
      <c r="E132" s="175">
        <f t="shared" si="6"/>
        <v>652.17391304347825</v>
      </c>
      <c r="F132" s="173">
        <f>SUMIFS(Primary_Order[Total Volume],Primary_Order[Date],"&gt;="&amp;DATE(YEAR($C$5),MONTH($C$5),1),Primary_Order[Date],"&lt;="&amp;$C$5,Primary_Order[Product ID],SKU_wise[[#This Row],[SKU ID]],Primary_Order[Status],'Stock Report'!$A$1)</f>
        <v>600</v>
      </c>
      <c r="G132" s="174">
        <f>SUMIFS(Primary_Order[Net Total(-15%)],Primary_Order[Date],"&gt;="&amp;DATE(YEAR($C$5),MONTH($C$5),1),Primary_Order[Date],"&lt;="&amp;$C$5,Primary_Order[Product ID],SKU_wise[[#This Row],[SKU ID]],Primary_Order[Status],'Stock Report'!$A$1)</f>
        <v>391304.34782608692</v>
      </c>
      <c r="H132" s="175">
        <f>IFERROR(SKU_wise[[#This Row],[Revenue.]]/SKU_wise[[#This Row],[Volume(Ltr).]],0)</f>
        <v>652.17391304347814</v>
      </c>
      <c r="I132" s="176">
        <f>SUMIFS(Primary_Order[Total Volume],Primary_Order[Date],"&gt;="&amp;DATE(YEAR($C$5),1,1),Primary_Order[Date],"&lt;="&amp;$C$5,Primary_Order[Product ID],SKU_wise[[#This Row],[SKU ID]],Primary_Order[Status],'Stock Report'!$A$1)</f>
        <v>1016</v>
      </c>
      <c r="J132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662608.69565217383</v>
      </c>
      <c r="K132" s="187">
        <f>IFERROR(SKU_wise[[#This Row],[Revenue`]]/SKU_wise[[#This Row],[Volume(Ltr)`]],0)</f>
        <v>652.17391304347814</v>
      </c>
    </row>
    <row r="133" spans="1:11" hidden="1" x14ac:dyDescent="0.5">
      <c r="A133" s="201" t="s">
        <v>157</v>
      </c>
      <c r="B133" s="191" t="s">
        <v>252</v>
      </c>
      <c r="C133" s="173">
        <f>SUMIFS(Primary_Order[Total Volume],Primary_Order[Date],$C$5,Primary_Order[Product ID],SKU_wise[[#This Row],[SKU ID]],Primary_Order[Status],'Stock Report'!$A$1)</f>
        <v>0</v>
      </c>
      <c r="D133" s="174">
        <f>SUMIFS(Primary_Order[Net Total(-15%)],Primary_Order[Date],$C$5,Primary_Order[Product ID],SKU_wise[[#This Row],[SKU ID]],Primary_Order[Status],'Stock Report'!$A$1)</f>
        <v>0</v>
      </c>
      <c r="E133" s="175">
        <f t="shared" si="6"/>
        <v>0</v>
      </c>
      <c r="F133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33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33" s="175">
        <f>IFERROR(SKU_wise[[#This Row],[Revenue.]]/SKU_wise[[#This Row],[Volume(Ltr).]],0)</f>
        <v>0</v>
      </c>
      <c r="I133" s="176">
        <f>SUMIFS(Primary_Order[Total Volume],Primary_Order[Date],"&gt;="&amp;DATE(YEAR($C$5),1,1),Primary_Order[Date],"&lt;="&amp;$C$5,Primary_Order[Product ID],SKU_wise[[#This Row],[SKU ID]],Primary_Order[Status],'Stock Report'!$A$1)</f>
        <v>2368</v>
      </c>
      <c r="J133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1217391.3043478262</v>
      </c>
      <c r="K133" s="187">
        <f>IFERROR(SKU_wise[[#This Row],[Revenue`]]/SKU_wise[[#This Row],[Volume(Ltr)`]],0)</f>
        <v>514.10105757931854</v>
      </c>
    </row>
    <row r="134" spans="1:11" hidden="1" x14ac:dyDescent="0.5">
      <c r="A134" s="201" t="s">
        <v>189</v>
      </c>
      <c r="B134" s="191" t="s">
        <v>253</v>
      </c>
      <c r="C134" s="173">
        <f>SUMIFS(Primary_Order[Total Volume],Primary_Order[Date],$C$5,Primary_Order[Product ID],SKU_wise[[#This Row],[SKU ID]],Primary_Order[Status],'Stock Report'!$A$1)</f>
        <v>0</v>
      </c>
      <c r="D134" s="174">
        <f>SUMIFS(Primary_Order[Net Total(-15%)],Primary_Order[Date],$C$5,Primary_Order[Product ID],SKU_wise[[#This Row],[SKU ID]],Primary_Order[Status],'Stock Report'!$A$1)</f>
        <v>0</v>
      </c>
      <c r="E134" s="175">
        <f t="shared" si="6"/>
        <v>0</v>
      </c>
      <c r="F134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34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34" s="175">
        <f>IFERROR(SKU_wise[[#This Row],[Revenue.]]/SKU_wise[[#This Row],[Volume(Ltr).]],0)</f>
        <v>0</v>
      </c>
      <c r="I134" s="176">
        <f>SUMIFS(Primary_Order[Total Volume],Primary_Order[Date],"&gt;="&amp;DATE(YEAR($C$5),1,1),Primary_Order[Date],"&lt;="&amp;$C$5,Primary_Order[Product ID],SKU_wise[[#This Row],[SKU ID]],Primary_Order[Status],'Stock Report'!$A$1)</f>
        <v>8</v>
      </c>
      <c r="J13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3130.4347826086955</v>
      </c>
      <c r="K134" s="187">
        <f>IFERROR(SKU_wise[[#This Row],[Revenue`]]/SKU_wise[[#This Row],[Volume(Ltr)`]],0)</f>
        <v>391.30434782608694</v>
      </c>
    </row>
    <row r="135" spans="1:11" x14ac:dyDescent="0.5">
      <c r="A135" s="201" t="s">
        <v>71</v>
      </c>
      <c r="B135" s="191" t="s">
        <v>254</v>
      </c>
      <c r="C135" s="173">
        <f>SUMIFS(Primary_Order[Total Volume],Primary_Order[Date],$C$5,Primary_Order[Product ID],SKU_wise[[#This Row],[SKU ID]],Primary_Order[Status],'Stock Report'!$A$1)</f>
        <v>0</v>
      </c>
      <c r="D135" s="174">
        <f>SUMIFS(Primary_Order[Net Total(-15%)],Primary_Order[Date],$C$5,Primary_Order[Product ID],SKU_wise[[#This Row],[SKU ID]],Primary_Order[Status],'Stock Report'!$A$1)</f>
        <v>0</v>
      </c>
      <c r="E135" s="175">
        <f t="shared" si="6"/>
        <v>0</v>
      </c>
      <c r="F135" s="173">
        <f>SUMIFS(Primary_Order[Total Volume],Primary_Order[Date],"&gt;="&amp;DATE(YEAR($C$5),MONTH($C$5),1),Primary_Order[Date],"&lt;="&amp;$C$5,Primary_Order[Product ID],SKU_wise[[#This Row],[SKU ID]],Primary_Order[Status],'Stock Report'!$A$1)</f>
        <v>380</v>
      </c>
      <c r="G135" s="174">
        <f>SUMIFS(Primary_Order[Net Total(-15%)],Primary_Order[Date],"&gt;="&amp;DATE(YEAR($C$5),MONTH($C$5),1),Primary_Order[Date],"&lt;="&amp;$C$5,Primary_Order[Product ID],SKU_wise[[#This Row],[SKU ID]],Primary_Order[Status],'Stock Report'!$A$1)</f>
        <v>125565.21739130435</v>
      </c>
      <c r="H135" s="175">
        <f>IFERROR(SKU_wise[[#This Row],[Revenue.]]/SKU_wise[[#This Row],[Volume(Ltr).]],0)</f>
        <v>330.43478260869568</v>
      </c>
      <c r="I135" s="176">
        <f>SUMIFS(Primary_Order[Total Volume],Primary_Order[Date],"&gt;="&amp;DATE(YEAR($C$5),1,1),Primary_Order[Date],"&lt;="&amp;$C$5,Primary_Order[Product ID],SKU_wise[[#This Row],[SKU ID]],Primary_Order[Status],'Stock Report'!$A$1)</f>
        <v>400</v>
      </c>
      <c r="J13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132608.69565217392</v>
      </c>
      <c r="K135" s="187">
        <f>IFERROR(SKU_wise[[#This Row],[Revenue`]]/SKU_wise[[#This Row],[Volume(Ltr)`]],0)</f>
        <v>331.52173913043481</v>
      </c>
    </row>
    <row r="136" spans="1:11" x14ac:dyDescent="0.5">
      <c r="A136" s="201" t="s">
        <v>161</v>
      </c>
      <c r="B136" s="191" t="s">
        <v>255</v>
      </c>
      <c r="C136" s="173">
        <f>SUMIFS(Primary_Order[Total Volume],Primary_Order[Date],$C$5,Primary_Order[Product ID],SKU_wise[[#This Row],[SKU ID]],Primary_Order[Status],'Stock Report'!$A$1)</f>
        <v>0</v>
      </c>
      <c r="D136" s="174">
        <f>SUMIFS(Primary_Order[Net Total(-15%)],Primary_Order[Date],$C$5,Primary_Order[Product ID],SKU_wise[[#This Row],[SKU ID]],Primary_Order[Status],'Stock Report'!$A$1)</f>
        <v>0</v>
      </c>
      <c r="E136" s="175">
        <f t="shared" si="6"/>
        <v>0</v>
      </c>
      <c r="F136" s="173">
        <f>SUMIFS(Primary_Order[Total Volume],Primary_Order[Date],"&gt;="&amp;DATE(YEAR($C$5),MONTH($C$5),1),Primary_Order[Date],"&lt;="&amp;$C$5,Primary_Order[Product ID],SKU_wise[[#This Row],[SKU ID]],Primary_Order[Status],'Stock Report'!$A$1)</f>
        <v>760</v>
      </c>
      <c r="G136" s="174">
        <f>SUMIFS(Primary_Order[Net Total(-15%)],Primary_Order[Date],"&gt;="&amp;DATE(YEAR($C$5),MONTH($C$5),1),Primary_Order[Date],"&lt;="&amp;$C$5,Primary_Order[Product ID],SKU_wise[[#This Row],[SKU ID]],Primary_Order[Status],'Stock Report'!$A$1)</f>
        <v>165217.39130434784</v>
      </c>
      <c r="H136" s="175">
        <f>IFERROR(SKU_wise[[#This Row],[Revenue.]]/SKU_wise[[#This Row],[Volume(Ltr).]],0)</f>
        <v>217.39130434782609</v>
      </c>
      <c r="I136" s="176">
        <f>SUMIFS(Primary_Order[Total Volume],Primary_Order[Date],"&gt;="&amp;DATE(YEAR($C$5),1,1),Primary_Order[Date],"&lt;="&amp;$C$5,Primary_Order[Product ID],SKU_wise[[#This Row],[SKU ID]],Primary_Order[Status],'Stock Report'!$A$1)</f>
        <v>760</v>
      </c>
      <c r="J136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165217.39130434784</v>
      </c>
      <c r="K136" s="187">
        <f>IFERROR(SKU_wise[[#This Row],[Revenue`]]/SKU_wise[[#This Row],[Volume(Ltr)`]],0)</f>
        <v>217.39130434782609</v>
      </c>
    </row>
    <row r="137" spans="1:11" x14ac:dyDescent="0.5">
      <c r="A137" s="201" t="s">
        <v>156</v>
      </c>
      <c r="B137" s="191" t="s">
        <v>256</v>
      </c>
      <c r="C137" s="173">
        <f>SUMIFS(Primary_Order[Total Volume],Primary_Order[Date],$C$5,Primary_Order[Product ID],SKU_wise[[#This Row],[SKU ID]],Primary_Order[Status],'Stock Report'!$A$1)</f>
        <v>0</v>
      </c>
      <c r="D137" s="174">
        <f>SUMIFS(Primary_Order[Net Total(-15%)],Primary_Order[Date],$C$5,Primary_Order[Product ID],SKU_wise[[#This Row],[SKU ID]],Primary_Order[Status],'Stock Report'!$A$1)</f>
        <v>0</v>
      </c>
      <c r="E137" s="175">
        <f t="shared" si="6"/>
        <v>0</v>
      </c>
      <c r="F137" s="173">
        <f>SUMIFS(Primary_Order[Total Volume],Primary_Order[Date],"&gt;="&amp;DATE(YEAR($C$5),MONTH($C$5),1),Primary_Order[Date],"&lt;="&amp;$C$5,Primary_Order[Product ID],SKU_wise[[#This Row],[SKU ID]],Primary_Order[Status],'Stock Report'!$A$1)</f>
        <v>1776</v>
      </c>
      <c r="G137" s="174">
        <f>SUMIFS(Primary_Order[Net Total(-15%)],Primary_Order[Date],"&gt;="&amp;DATE(YEAR($C$5),MONTH($C$5),1),Primary_Order[Date],"&lt;="&amp;$C$5,Primary_Order[Product ID],SKU_wise[[#This Row],[SKU ID]],Primary_Order[Status],'Stock Report'!$A$1)</f>
        <v>386086.95652173914</v>
      </c>
      <c r="H137" s="175">
        <f>IFERROR(SKU_wise[[#This Row],[Revenue.]]/SKU_wise[[#This Row],[Volume(Ltr).]],0)</f>
        <v>217.39130434782609</v>
      </c>
      <c r="I137" s="176">
        <f>SUMIFS(Primary_Order[Total Volume],Primary_Order[Date],"&gt;="&amp;DATE(YEAR($C$5),1,1),Primary_Order[Date],"&lt;="&amp;$C$5,Primary_Order[Product ID],SKU_wise[[#This Row],[SKU ID]],Primary_Order[Status],'Stock Report'!$A$1)</f>
        <v>2604</v>
      </c>
      <c r="J137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567826.08695652173</v>
      </c>
      <c r="K137" s="187">
        <f>IFERROR(SKU_wise[[#This Row],[Revenue`]]/SKU_wise[[#This Row],[Volume(Ltr)`]],0)</f>
        <v>218.05917317838777</v>
      </c>
    </row>
    <row r="138" spans="1:11" hidden="1" x14ac:dyDescent="0.5">
      <c r="A138" s="201" t="s">
        <v>180</v>
      </c>
      <c r="B138" s="191" t="s">
        <v>257</v>
      </c>
      <c r="C138" s="173">
        <f>SUMIFS(Primary_Order[Total Volume],Primary_Order[Date],$C$5,Primary_Order[Product ID],SKU_wise[[#This Row],[SKU ID]],Primary_Order[Status],'Stock Report'!$A$1)</f>
        <v>0</v>
      </c>
      <c r="D138" s="174">
        <f>SUMIFS(Primary_Order[Net Total(-15%)],Primary_Order[Date],$C$5,Primary_Order[Product ID],SKU_wise[[#This Row],[SKU ID]],Primary_Order[Status],'Stock Report'!$A$1)</f>
        <v>0</v>
      </c>
      <c r="E138" s="175">
        <f t="shared" si="6"/>
        <v>0</v>
      </c>
      <c r="F138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38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38" s="175">
        <f>IFERROR(SKU_wise[[#This Row],[Revenue.]]/SKU_wise[[#This Row],[Volume(Ltr).]],0)</f>
        <v>0</v>
      </c>
      <c r="I138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38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38" s="187">
        <f>IFERROR(SKU_wise[[#This Row],[Revenue`]]/SKU_wise[[#This Row],[Volume(Ltr)`]],0)</f>
        <v>0</v>
      </c>
    </row>
    <row r="139" spans="1:11" hidden="1" x14ac:dyDescent="0.5">
      <c r="A139" s="201" t="s">
        <v>258</v>
      </c>
      <c r="B139" s="191" t="s">
        <v>259</v>
      </c>
      <c r="C139" s="173">
        <f>SUMIFS(Primary_Order[Total Volume],Primary_Order[Date],$C$5,Primary_Order[Product ID],SKU_wise[[#This Row],[SKU ID]],Primary_Order[Status],'Stock Report'!$A$1)</f>
        <v>0</v>
      </c>
      <c r="D139" s="174">
        <f>SUMIFS(Primary_Order[Net Total(-15%)],Primary_Order[Date],$C$5,Primary_Order[Product ID],SKU_wise[[#This Row],[SKU ID]],Primary_Order[Status],'Stock Report'!$A$1)</f>
        <v>0</v>
      </c>
      <c r="E139" s="175">
        <f t="shared" si="6"/>
        <v>0</v>
      </c>
      <c r="F139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39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39" s="175">
        <f>IFERROR(SKU_wise[[#This Row],[Revenue.]]/SKU_wise[[#This Row],[Volume(Ltr).]],0)</f>
        <v>0</v>
      </c>
      <c r="I139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39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39" s="187">
        <f>IFERROR(SKU_wise[[#This Row],[Revenue`]]/SKU_wise[[#This Row],[Volume(Ltr)`]],0)</f>
        <v>0</v>
      </c>
    </row>
    <row r="140" spans="1:11" hidden="1" x14ac:dyDescent="0.5">
      <c r="A140" s="201" t="s">
        <v>166</v>
      </c>
      <c r="B140" s="191" t="s">
        <v>260</v>
      </c>
      <c r="C140" s="173">
        <f>SUMIFS(Primary_Order[Total Volume],Primary_Order[Date],$C$5,Primary_Order[Product ID],SKU_wise[[#This Row],[SKU ID]],Primary_Order[Status],'Stock Report'!$A$1)</f>
        <v>0</v>
      </c>
      <c r="D140" s="174">
        <f>SUMIFS(Primary_Order[Net Total(-15%)],Primary_Order[Date],$C$5,Primary_Order[Product ID],SKU_wise[[#This Row],[SKU ID]],Primary_Order[Status],'Stock Report'!$A$1)</f>
        <v>0</v>
      </c>
      <c r="E140" s="175">
        <f t="shared" si="6"/>
        <v>0</v>
      </c>
      <c r="F140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0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0" s="175">
        <f>IFERROR(SKU_wise[[#This Row],[Revenue.]]/SKU_wise[[#This Row],[Volume(Ltr).]],0)</f>
        <v>0</v>
      </c>
      <c r="I140" s="176">
        <f>SUMIFS(Primary_Order[Total Volume],Primary_Order[Date],"&gt;="&amp;DATE(YEAR($C$5),1,1),Primary_Order[Date],"&lt;="&amp;$C$5,Primary_Order[Product ID],SKU_wise[[#This Row],[SKU ID]],Primary_Order[Status],'Stock Report'!$A$1)</f>
        <v>213</v>
      </c>
      <c r="J140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69913.043478260865</v>
      </c>
      <c r="K140" s="187">
        <f>IFERROR(SKU_wise[[#This Row],[Revenue`]]/SKU_wise[[#This Row],[Volume(Ltr)`]],0)</f>
        <v>328.23025107164727</v>
      </c>
    </row>
    <row r="141" spans="1:11" hidden="1" x14ac:dyDescent="0.5">
      <c r="A141" s="201" t="s">
        <v>179</v>
      </c>
      <c r="B141" s="191" t="s">
        <v>261</v>
      </c>
      <c r="C141" s="173">
        <f>SUMIFS(Primary_Order[Total Volume],Primary_Order[Date],$C$5,Primary_Order[Product ID],SKU_wise[[#This Row],[SKU ID]],Primary_Order[Status],'Stock Report'!$A$1)</f>
        <v>0</v>
      </c>
      <c r="D141" s="174">
        <f>SUMIFS(Primary_Order[Net Total(-15%)],Primary_Order[Date],$C$5,Primary_Order[Product ID],SKU_wise[[#This Row],[SKU ID]],Primary_Order[Status],'Stock Report'!$A$1)</f>
        <v>0</v>
      </c>
      <c r="E141" s="175">
        <f t="shared" si="6"/>
        <v>0</v>
      </c>
      <c r="F141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1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1" s="175">
        <f>IFERROR(SKU_wise[[#This Row],[Revenue.]]/SKU_wise[[#This Row],[Volume(Ltr).]],0)</f>
        <v>0</v>
      </c>
      <c r="I141" s="176">
        <f>SUMIFS(Primary_Order[Total Volume],Primary_Order[Date],"&gt;="&amp;DATE(YEAR($C$5),1,1),Primary_Order[Date],"&lt;="&amp;$C$5,Primary_Order[Product ID],SKU_wise[[#This Row],[SKU ID]],Primary_Order[Status],'Stock Report'!$A$1)</f>
        <v>2134</v>
      </c>
      <c r="J141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726956.52173913049</v>
      </c>
      <c r="K141" s="187">
        <f>IFERROR(SKU_wise[[#This Row],[Revenue`]]/SKU_wise[[#This Row],[Volume(Ltr)`]],0)</f>
        <v>340.65441506051098</v>
      </c>
    </row>
    <row r="142" spans="1:11" hidden="1" x14ac:dyDescent="0.5">
      <c r="A142" s="201" t="s">
        <v>113</v>
      </c>
      <c r="B142" s="191" t="s">
        <v>262</v>
      </c>
      <c r="C142" s="173">
        <f>SUMIFS(Primary_Order[Total Volume],Primary_Order[Date],$C$5,Primary_Order[Product ID],SKU_wise[[#This Row],[SKU ID]],Primary_Order[Status],'Stock Report'!$A$1)</f>
        <v>0</v>
      </c>
      <c r="D142" s="174">
        <f>SUMIFS(Primary_Order[Net Total(-15%)],Primary_Order[Date],$C$5,Primary_Order[Product ID],SKU_wise[[#This Row],[SKU ID]],Primary_Order[Status],'Stock Report'!$A$1)</f>
        <v>0</v>
      </c>
      <c r="E142" s="175">
        <f t="shared" si="6"/>
        <v>0</v>
      </c>
      <c r="F142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2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2" s="175">
        <f>IFERROR(SKU_wise[[#This Row],[Revenue.]]/SKU_wise[[#This Row],[Volume(Ltr).]],0)</f>
        <v>0</v>
      </c>
      <c r="I142" s="176">
        <f>SUMIFS(Primary_Order[Total Volume],Primary_Order[Date],"&gt;="&amp;DATE(YEAR($C$5),1,1),Primary_Order[Date],"&lt;="&amp;$C$5,Primary_Order[Product ID],SKU_wise[[#This Row],[SKU ID]],Primary_Order[Status],'Stock Report'!$A$1)</f>
        <v>1455</v>
      </c>
      <c r="J142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485217.39130434784</v>
      </c>
      <c r="K142" s="187">
        <f>IFERROR(SKU_wise[[#This Row],[Revenue`]]/SKU_wise[[#This Row],[Volume(Ltr)`]],0)</f>
        <v>333.48274316450022</v>
      </c>
    </row>
    <row r="143" spans="1:11" hidden="1" x14ac:dyDescent="0.5">
      <c r="A143" s="201" t="s">
        <v>177</v>
      </c>
      <c r="B143" s="191" t="s">
        <v>263</v>
      </c>
      <c r="C143" s="173">
        <f>SUMIFS(Primary_Order[Total Volume],Primary_Order[Date],$C$5,Primary_Order[Product ID],SKU_wise[[#This Row],[SKU ID]],Primary_Order[Status],'Stock Report'!$A$1)</f>
        <v>0</v>
      </c>
      <c r="D143" s="174">
        <f>SUMIFS(Primary_Order[Net Total(-15%)],Primary_Order[Date],$C$5,Primary_Order[Product ID],SKU_wise[[#This Row],[SKU ID]],Primary_Order[Status],'Stock Report'!$A$1)</f>
        <v>0</v>
      </c>
      <c r="E143" s="175">
        <f t="shared" si="6"/>
        <v>0</v>
      </c>
      <c r="F143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3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3" s="175">
        <f>IFERROR(SKU_wise[[#This Row],[Revenue.]]/SKU_wise[[#This Row],[Volume(Ltr).]],0)</f>
        <v>0</v>
      </c>
      <c r="I143" s="176">
        <f>SUMIFS(Primary_Order[Total Volume],Primary_Order[Date],"&gt;="&amp;DATE(YEAR($C$5),1,1),Primary_Order[Date],"&lt;="&amp;$C$5,Primary_Order[Product ID],SKU_wise[[#This Row],[SKU ID]],Primary_Order[Status],'Stock Report'!$A$1)</f>
        <v>4</v>
      </c>
      <c r="J143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43" s="187">
        <f>IFERROR(SKU_wise[[#This Row],[Revenue`]]/SKU_wise[[#This Row],[Volume(Ltr)`]],0)</f>
        <v>0</v>
      </c>
    </row>
    <row r="144" spans="1:11" hidden="1" x14ac:dyDescent="0.5">
      <c r="A144" s="201" t="s">
        <v>160</v>
      </c>
      <c r="B144" s="191" t="s">
        <v>264</v>
      </c>
      <c r="C144" s="173">
        <f>SUMIFS(Primary_Order[Total Volume],Primary_Order[Date],$C$5,Primary_Order[Product ID],SKU_wise[[#This Row],[SKU ID]],Primary_Order[Status],'Stock Report'!$A$1)</f>
        <v>0</v>
      </c>
      <c r="D144" s="174">
        <f>SUMIFS(Primary_Order[Net Total(-15%)],Primary_Order[Date],$C$5,Primary_Order[Product ID],SKU_wise[[#This Row],[SKU ID]],Primary_Order[Status],'Stock Report'!$A$1)</f>
        <v>0</v>
      </c>
      <c r="E144" s="175">
        <f t="shared" si="6"/>
        <v>0</v>
      </c>
      <c r="F144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4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4" s="175">
        <f>IFERROR(SKU_wise[[#This Row],[Revenue.]]/SKU_wise[[#This Row],[Volume(Ltr).]],0)</f>
        <v>0</v>
      </c>
      <c r="I144" s="176">
        <f>SUMIFS(Primary_Order[Total Volume],Primary_Order[Date],"&gt;="&amp;DATE(YEAR($C$5),1,1),Primary_Order[Date],"&lt;="&amp;$C$5,Primary_Order[Product ID],SKU_wise[[#This Row],[SKU ID]],Primary_Order[Status],'Stock Report'!$A$1)</f>
        <v>10</v>
      </c>
      <c r="J14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44" s="187">
        <f>IFERROR(SKU_wise[[#This Row],[Revenue`]]/SKU_wise[[#This Row],[Volume(Ltr)`]],0)</f>
        <v>0</v>
      </c>
    </row>
    <row r="145" spans="1:11" hidden="1" x14ac:dyDescent="0.5">
      <c r="A145" s="201" t="s">
        <v>185</v>
      </c>
      <c r="B145" s="191" t="s">
        <v>265</v>
      </c>
      <c r="C145" s="173">
        <f>SUMIFS(Primary_Order[Total Volume],Primary_Order[Date],$C$5,Primary_Order[Product ID],SKU_wise[[#This Row],[SKU ID]],Primary_Order[Status],'Stock Report'!$A$1)</f>
        <v>0</v>
      </c>
      <c r="D145" s="174">
        <f>SUMIFS(Primary_Order[Net Total(-15%)],Primary_Order[Date],$C$5,Primary_Order[Product ID],SKU_wise[[#This Row],[SKU ID]],Primary_Order[Status],'Stock Report'!$A$1)</f>
        <v>0</v>
      </c>
      <c r="E145" s="175">
        <f t="shared" si="6"/>
        <v>0</v>
      </c>
      <c r="F145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5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5" s="175">
        <f>IFERROR(SKU_wise[[#This Row],[Revenue.]]/SKU_wise[[#This Row],[Volume(Ltr).]],0)</f>
        <v>0</v>
      </c>
      <c r="I145" s="176">
        <f>SUMIFS(Primary_Order[Total Volume],Primary_Order[Date],"&gt;="&amp;DATE(YEAR($C$5),1,1),Primary_Order[Date],"&lt;="&amp;$C$5,Primary_Order[Product ID],SKU_wise[[#This Row],[SKU ID]],Primary_Order[Status],'Stock Report'!$A$1)</f>
        <v>22</v>
      </c>
      <c r="J14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45" s="187">
        <f>IFERROR(SKU_wise[[#This Row],[Revenue`]]/SKU_wise[[#This Row],[Volume(Ltr)`]],0)</f>
        <v>0</v>
      </c>
    </row>
    <row r="146" spans="1:11" hidden="1" x14ac:dyDescent="0.5">
      <c r="A146" s="201" t="s">
        <v>67</v>
      </c>
      <c r="B146" s="191" t="s">
        <v>266</v>
      </c>
      <c r="C146" s="173">
        <f>SUMIFS(Primary_Order[Total Volume],Primary_Order[Date],$C$5,Primary_Order[Product ID],SKU_wise[[#This Row],[SKU ID]],Primary_Order[Status],'Stock Report'!$A$1)</f>
        <v>0</v>
      </c>
      <c r="D146" s="174">
        <f>SUMIFS(Primary_Order[Net Total(-15%)],Primary_Order[Date],$C$5,Primary_Order[Product ID],SKU_wise[[#This Row],[SKU ID]],Primary_Order[Status],'Stock Report'!$A$1)</f>
        <v>0</v>
      </c>
      <c r="E146" s="175">
        <f t="shared" si="6"/>
        <v>0</v>
      </c>
      <c r="F146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6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6" s="175">
        <f>IFERROR(SKU_wise[[#This Row],[Revenue.]]/SKU_wise[[#This Row],[Volume(Ltr).]],0)</f>
        <v>0</v>
      </c>
      <c r="I146" s="176">
        <f>SUMIFS(Primary_Order[Total Volume],Primary_Order[Date],"&gt;="&amp;DATE(YEAR($C$5),1,1),Primary_Order[Date],"&lt;="&amp;$C$5,Primary_Order[Product ID],SKU_wise[[#This Row],[SKU ID]],Primary_Order[Status],'Stock Report'!$A$1)</f>
        <v>30</v>
      </c>
      <c r="J146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46" s="187">
        <f>IFERROR(SKU_wise[[#This Row],[Revenue`]]/SKU_wise[[#This Row],[Volume(Ltr)`]],0)</f>
        <v>0</v>
      </c>
    </row>
    <row r="147" spans="1:11" hidden="1" x14ac:dyDescent="0.5">
      <c r="A147" s="201" t="s">
        <v>159</v>
      </c>
      <c r="B147" s="191" t="s">
        <v>267</v>
      </c>
      <c r="C147" s="173">
        <f>SUMIFS(Primary_Order[Total Volume],Primary_Order[Date],$C$5,Primary_Order[Product ID],SKU_wise[[#This Row],[SKU ID]],Primary_Order[Status],'Stock Report'!$A$1)</f>
        <v>0</v>
      </c>
      <c r="D147" s="174">
        <f>SUMIFS(Primary_Order[Net Total(-15%)],Primary_Order[Date],$C$5,Primary_Order[Product ID],SKU_wise[[#This Row],[SKU ID]],Primary_Order[Status],'Stock Report'!$A$1)</f>
        <v>0</v>
      </c>
      <c r="E147" s="175">
        <f t="shared" si="6"/>
        <v>0</v>
      </c>
      <c r="F147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47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47" s="175">
        <f>IFERROR(SKU_wise[[#This Row],[Revenue.]]/SKU_wise[[#This Row],[Volume(Ltr).]],0)</f>
        <v>0</v>
      </c>
      <c r="I147" s="176">
        <f>SUMIFS(Primary_Order[Total Volume],Primary_Order[Date],"&gt;="&amp;DATE(YEAR($C$5),1,1),Primary_Order[Date],"&lt;="&amp;$C$5,Primary_Order[Product ID],SKU_wise[[#This Row],[SKU ID]],Primary_Order[Status],'Stock Report'!$A$1)</f>
        <v>36</v>
      </c>
      <c r="J147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47" s="187">
        <f>IFERROR(SKU_wise[[#This Row],[Revenue`]]/SKU_wise[[#This Row],[Volume(Ltr)`]],0)</f>
        <v>0</v>
      </c>
    </row>
    <row r="148" spans="1:11" x14ac:dyDescent="0.5">
      <c r="A148" s="201" t="s">
        <v>135</v>
      </c>
      <c r="B148" s="191" t="s">
        <v>268</v>
      </c>
      <c r="C148" s="173">
        <f>SUMIFS(Primary_Order[Total Volume],Primary_Order[Date],$C$5,Primary_Order[Product ID],SKU_wise[[#This Row],[SKU ID]],Primary_Order[Status],'Stock Report'!$A$1)</f>
        <v>0</v>
      </c>
      <c r="D148" s="174">
        <f>SUMIFS(Primary_Order[Net Total(-15%)],Primary_Order[Date],$C$5,Primary_Order[Product ID],SKU_wise[[#This Row],[SKU ID]],Primary_Order[Status],'Stock Report'!$A$1)</f>
        <v>0</v>
      </c>
      <c r="E148" s="175">
        <f t="shared" si="6"/>
        <v>0</v>
      </c>
      <c r="F148" s="173">
        <f>SUMIFS(Primary_Order[Total Volume],Primary_Order[Date],"&gt;="&amp;DATE(YEAR($C$5),MONTH($C$5),1),Primary_Order[Date],"&lt;="&amp;$C$5,Primary_Order[Product ID],SKU_wise[[#This Row],[SKU ID]],Primary_Order[Status],'Stock Report'!$A$1)</f>
        <v>240</v>
      </c>
      <c r="G148" s="174">
        <f>SUMIFS(Primary_Order[Net Total(-15%)],Primary_Order[Date],"&gt;="&amp;DATE(YEAR($C$5),MONTH($C$5),1),Primary_Order[Date],"&lt;="&amp;$C$5,Primary_Order[Product ID],SKU_wise[[#This Row],[SKU ID]],Primary_Order[Status],'Stock Report'!$A$1)</f>
        <v>106434.78260869566</v>
      </c>
      <c r="H148" s="175">
        <f>IFERROR(SKU_wise[[#This Row],[Revenue.]]/SKU_wise[[#This Row],[Volume(Ltr).]],0)</f>
        <v>443.47826086956525</v>
      </c>
      <c r="I148" s="176">
        <f>SUMIFS(Primary_Order[Total Volume],Primary_Order[Date],"&gt;="&amp;DATE(YEAR($C$5),1,1),Primary_Order[Date],"&lt;="&amp;$C$5,Primary_Order[Product ID],SKU_wise[[#This Row],[SKU ID]],Primary_Order[Status],'Stock Report'!$A$1)</f>
        <v>240</v>
      </c>
      <c r="J148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106434.78260869566</v>
      </c>
      <c r="K148" s="187">
        <f>IFERROR(SKU_wise[[#This Row],[Revenue`]]/SKU_wise[[#This Row],[Volume(Ltr)`]],0)</f>
        <v>443.47826086956525</v>
      </c>
    </row>
    <row r="149" spans="1:11" x14ac:dyDescent="0.5">
      <c r="A149" s="201" t="s">
        <v>136</v>
      </c>
      <c r="B149" s="191" t="s">
        <v>269</v>
      </c>
      <c r="C149" s="173">
        <f>SUMIFS(Primary_Order[Total Volume],Primary_Order[Date],$C$5,Primary_Order[Product ID],SKU_wise[[#This Row],[SKU ID]],Primary_Order[Status],'Stock Report'!$A$1)</f>
        <v>0</v>
      </c>
      <c r="D149" s="174">
        <f>SUMIFS(Primary_Order[Net Total(-15%)],Primary_Order[Date],$C$5,Primary_Order[Product ID],SKU_wise[[#This Row],[SKU ID]],Primary_Order[Status],'Stock Report'!$A$1)</f>
        <v>0</v>
      </c>
      <c r="E149" s="175">
        <f t="shared" si="6"/>
        <v>0</v>
      </c>
      <c r="F149" s="173">
        <f>SUMIFS(Primary_Order[Total Volume],Primary_Order[Date],"&gt;="&amp;DATE(YEAR($C$5),MONTH($C$5),1),Primary_Order[Date],"&lt;="&amp;$C$5,Primary_Order[Product ID],SKU_wise[[#This Row],[SKU ID]],Primary_Order[Status],'Stock Report'!$A$1)</f>
        <v>440</v>
      </c>
      <c r="G149" s="174">
        <f>SUMIFS(Primary_Order[Net Total(-15%)],Primary_Order[Date],"&gt;="&amp;DATE(YEAR($C$5),MONTH($C$5),1),Primary_Order[Date],"&lt;="&amp;$C$5,Primary_Order[Product ID],SKU_wise[[#This Row],[SKU ID]],Primary_Order[Status],'Stock Report'!$A$1)</f>
        <v>194365.21739130435</v>
      </c>
      <c r="H149" s="175">
        <f>IFERROR(SKU_wise[[#This Row],[Revenue.]]/SKU_wise[[#This Row],[Volume(Ltr).]],0)</f>
        <v>441.73913043478262</v>
      </c>
      <c r="I149" s="176">
        <f>SUMIFS(Primary_Order[Total Volume],Primary_Order[Date],"&gt;="&amp;DATE(YEAR($C$5),1,1),Primary_Order[Date],"&lt;="&amp;$C$5,Primary_Order[Product ID],SKU_wise[[#This Row],[SKU ID]],Primary_Order[Status],'Stock Report'!$A$1)</f>
        <v>440</v>
      </c>
      <c r="J149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194365.21739130435</v>
      </c>
      <c r="K149" s="187">
        <f>IFERROR(SKU_wise[[#This Row],[Revenue`]]/SKU_wise[[#This Row],[Volume(Ltr)`]],0)</f>
        <v>441.73913043478262</v>
      </c>
    </row>
    <row r="150" spans="1:11" x14ac:dyDescent="0.5">
      <c r="A150" s="201" t="s">
        <v>137</v>
      </c>
      <c r="B150" s="191" t="s">
        <v>270</v>
      </c>
      <c r="C150" s="173">
        <f>SUMIFS(Primary_Order[Total Volume],Primary_Order[Date],$C$5,Primary_Order[Product ID],SKU_wise[[#This Row],[SKU ID]],Primary_Order[Status],'Stock Report'!$A$1)</f>
        <v>0</v>
      </c>
      <c r="D150" s="174">
        <f>SUMIFS(Primary_Order[Net Total(-15%)],Primary_Order[Date],$C$5,Primary_Order[Product ID],SKU_wise[[#This Row],[SKU ID]],Primary_Order[Status],'Stock Report'!$A$1)</f>
        <v>0</v>
      </c>
      <c r="E150" s="175">
        <f t="shared" si="6"/>
        <v>0</v>
      </c>
      <c r="F150" s="173">
        <f>SUMIFS(Primary_Order[Total Volume],Primary_Order[Date],"&gt;="&amp;DATE(YEAR($C$5),MONTH($C$5),1),Primary_Order[Date],"&lt;="&amp;$C$5,Primary_Order[Product ID],SKU_wise[[#This Row],[SKU ID]],Primary_Order[Status],'Stock Report'!$A$1)</f>
        <v>540</v>
      </c>
      <c r="G150" s="174">
        <f>SUMIFS(Primary_Order[Net Total(-15%)],Primary_Order[Date],"&gt;="&amp;DATE(YEAR($C$5),MONTH($C$5),1),Primary_Order[Date],"&lt;="&amp;$C$5,Primary_Order[Product ID],SKU_wise[[#This Row],[SKU ID]],Primary_Order[Status],'Stock Report'!$A$1)</f>
        <v>231026.08695652176</v>
      </c>
      <c r="H150" s="175">
        <f>IFERROR(SKU_wise[[#This Row],[Revenue.]]/SKU_wise[[#This Row],[Volume(Ltr).]],0)</f>
        <v>427.82608695652175</v>
      </c>
      <c r="I150" s="176">
        <f>SUMIFS(Primary_Order[Total Volume],Primary_Order[Date],"&gt;="&amp;DATE(YEAR($C$5),1,1),Primary_Order[Date],"&lt;="&amp;$C$5,Primary_Order[Product ID],SKU_wise[[#This Row],[SKU ID]],Primary_Order[Status],'Stock Report'!$A$1)</f>
        <v>540</v>
      </c>
      <c r="J150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231026.08695652176</v>
      </c>
      <c r="K150" s="187">
        <f>IFERROR(SKU_wise[[#This Row],[Revenue`]]/SKU_wise[[#This Row],[Volume(Ltr)`]],0)</f>
        <v>427.82608695652175</v>
      </c>
    </row>
    <row r="151" spans="1:11" x14ac:dyDescent="0.5">
      <c r="A151" s="201" t="s">
        <v>138</v>
      </c>
      <c r="B151" s="191" t="s">
        <v>271</v>
      </c>
      <c r="C151" s="173">
        <f>SUMIFS(Primary_Order[Total Volume],Primary_Order[Date],$C$5,Primary_Order[Product ID],SKU_wise[[#This Row],[SKU ID]],Primary_Order[Status],'Stock Report'!$A$1)</f>
        <v>0</v>
      </c>
      <c r="D151" s="174">
        <f>SUMIFS(Primary_Order[Net Total(-15%)],Primary_Order[Date],$C$5,Primary_Order[Product ID],SKU_wise[[#This Row],[SKU ID]],Primary_Order[Status],'Stock Report'!$A$1)</f>
        <v>0</v>
      </c>
      <c r="E151" s="175">
        <f t="shared" si="6"/>
        <v>0</v>
      </c>
      <c r="F151" s="173">
        <f>SUMIFS(Primary_Order[Total Volume],Primary_Order[Date],"&gt;="&amp;DATE(YEAR($C$5),MONTH($C$5),1),Primary_Order[Date],"&lt;="&amp;$C$5,Primary_Order[Product ID],SKU_wise[[#This Row],[SKU ID]],Primary_Order[Status],'Stock Report'!$A$1)</f>
        <v>1440</v>
      </c>
      <c r="G151" s="174">
        <f>SUMIFS(Primary_Order[Net Total(-15%)],Primary_Order[Date],"&gt;="&amp;DATE(YEAR($C$5),MONTH($C$5),1),Primary_Order[Date],"&lt;="&amp;$C$5,Primary_Order[Product ID],SKU_wise[[#This Row],[SKU ID]],Primary_Order[Status],'Stock Report'!$A$1)</f>
        <v>612313.04347826086</v>
      </c>
      <c r="H151" s="175">
        <f>IFERROR(SKU_wise[[#This Row],[Revenue.]]/SKU_wise[[#This Row],[Volume(Ltr).]],0)</f>
        <v>425.21739130434781</v>
      </c>
      <c r="I151" s="176">
        <f>SUMIFS(Primary_Order[Total Volume],Primary_Order[Date],"&gt;="&amp;DATE(YEAR($C$5),1,1),Primary_Order[Date],"&lt;="&amp;$C$5,Primary_Order[Product ID],SKU_wise[[#This Row],[SKU ID]],Primary_Order[Status],'Stock Report'!$A$1)</f>
        <v>1440</v>
      </c>
      <c r="J151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612313.04347826086</v>
      </c>
      <c r="K151" s="187">
        <f>IFERROR(SKU_wise[[#This Row],[Revenue`]]/SKU_wise[[#This Row],[Volume(Ltr)`]],0)</f>
        <v>425.21739130434781</v>
      </c>
    </row>
    <row r="152" spans="1:11" x14ac:dyDescent="0.5">
      <c r="A152" s="201" t="s">
        <v>143</v>
      </c>
      <c r="B152" s="191" t="s">
        <v>277</v>
      </c>
      <c r="C152" s="173">
        <f>SUMIFS(Primary_Order[Total Volume],Primary_Order[Date],$C$5,Primary_Order[Product ID],SKU_wise[[#This Row],[SKU ID]],Primary_Order[Status],'Stock Report'!$A$1)</f>
        <v>0</v>
      </c>
      <c r="D152" s="174">
        <f>SUMIFS(Primary_Order[Net Total(-15%)],Primary_Order[Date],$C$5,Primary_Order[Product ID],SKU_wise[[#This Row],[SKU ID]],Primary_Order[Status],'Stock Report'!$A$1)</f>
        <v>0</v>
      </c>
      <c r="E152" s="175">
        <f t="shared" si="6"/>
        <v>0</v>
      </c>
      <c r="F152" s="173">
        <f>SUMIFS(Primary_Order[Total Volume],Primary_Order[Date],"&gt;="&amp;DATE(YEAR($C$5),MONTH($C$5),1),Primary_Order[Date],"&lt;="&amp;$C$5,Primary_Order[Product ID],SKU_wise[[#This Row],[SKU ID]],Primary_Order[Status],'Stock Report'!$A$1)</f>
        <v>8</v>
      </c>
      <c r="G152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52" s="175">
        <f>IFERROR(SKU_wise[[#This Row],[Revenue.]]/SKU_wise[[#This Row],[Volume(Ltr).]],0)</f>
        <v>0</v>
      </c>
      <c r="I152" s="176">
        <f>SUMIFS(Primary_Order[Total Volume],Primary_Order[Date],"&gt;="&amp;DATE(YEAR($C$5),1,1),Primary_Order[Date],"&lt;="&amp;$C$5,Primary_Order[Product ID],SKU_wise[[#This Row],[SKU ID]],Primary_Order[Status],'Stock Report'!$A$1)</f>
        <v>8</v>
      </c>
      <c r="J152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52" s="187">
        <f>IFERROR(SKU_wise[[#This Row],[Revenue`]]/SKU_wise[[#This Row],[Volume(Ltr)`]],0)</f>
        <v>0</v>
      </c>
    </row>
    <row r="153" spans="1:11" hidden="1" x14ac:dyDescent="0.5">
      <c r="A153" s="201" t="s">
        <v>164</v>
      </c>
      <c r="B153" s="191" t="s">
        <v>278</v>
      </c>
      <c r="C153" s="173">
        <f>SUMIFS(Primary_Order[Total Volume],Primary_Order[Date],$C$5,Primary_Order[Product ID],SKU_wise[[#This Row],[SKU ID]],Primary_Order[Status],'Stock Report'!$A$1)</f>
        <v>0</v>
      </c>
      <c r="D153" s="174">
        <f>SUMIFS(Primary_Order[Net Total(-15%)],Primary_Order[Date],$C$5,Primary_Order[Product ID],SKU_wise[[#This Row],[SKU ID]],Primary_Order[Status],'Stock Report'!$A$1)</f>
        <v>0</v>
      </c>
      <c r="E153" s="175">
        <f t="shared" si="6"/>
        <v>0</v>
      </c>
      <c r="F153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53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53" s="175">
        <f>IFERROR(SKU_wise[[#This Row],[Revenue.]]/SKU_wise[[#This Row],[Volume(Ltr).]],0)</f>
        <v>0</v>
      </c>
      <c r="I153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53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53" s="187">
        <f>IFERROR(SKU_wise[[#This Row],[Revenue`]]/SKU_wise[[#This Row],[Volume(Ltr)`]],0)</f>
        <v>0</v>
      </c>
    </row>
    <row r="154" spans="1:11" hidden="1" x14ac:dyDescent="0.5">
      <c r="A154" s="201" t="s">
        <v>154</v>
      </c>
      <c r="B154" s="192" t="s">
        <v>279</v>
      </c>
      <c r="C154" s="179">
        <f>SUMIFS(Primary_Order[Total Volume],Primary_Order[Date],$C$5,Primary_Order[Product ID],SKU_wise[[#This Row],[SKU ID]],Primary_Order[Status],'Stock Report'!$A$1)</f>
        <v>0</v>
      </c>
      <c r="D154" s="180">
        <f>SUMIFS(Primary_Order[Net Total(-15%)],Primary_Order[Date],$C$5,Primary_Order[Product ID],SKU_wise[[#This Row],[SKU ID]],Primary_Order[Status],'Stock Report'!$A$1)</f>
        <v>0</v>
      </c>
      <c r="E154" s="175">
        <f t="shared" si="6"/>
        <v>0</v>
      </c>
      <c r="F154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54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54" s="175">
        <f>IFERROR(SKU_wise[[#This Row],[Revenue.]]/SKU_wise[[#This Row],[Volume(Ltr).]],0)</f>
        <v>0</v>
      </c>
      <c r="I154" s="176">
        <f>SUMIFS(Primary_Order[Total Volume],Primary_Order[Date],"&gt;="&amp;DATE(YEAR($C$5),1,1),Primary_Order[Date],"&lt;="&amp;$C$5,Primary_Order[Product ID],SKU_wise[[#This Row],[SKU ID]],Primary_Order[Status],'Stock Report'!$A$1)</f>
        <v>0</v>
      </c>
      <c r="J154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0</v>
      </c>
      <c r="K154" s="187">
        <f>IFERROR(SKU_wise[[#This Row],[Revenue`]]/SKU_wise[[#This Row],[Volume(Ltr)`]],0)</f>
        <v>0</v>
      </c>
    </row>
    <row r="155" spans="1:11" hidden="1" x14ac:dyDescent="0.5">
      <c r="A155" s="201" t="s">
        <v>369</v>
      </c>
      <c r="B155" s="191" t="s">
        <v>370</v>
      </c>
      <c r="C155" s="173">
        <f>SUMIFS(Primary_Order[Total Volume],Primary_Order[Date],$C$5,Primary_Order[Product ID],SKU_wise[[#This Row],[SKU ID]],Primary_Order[Status],'Stock Report'!$A$1)</f>
        <v>0</v>
      </c>
      <c r="D155" s="174">
        <f>SUMIFS(Primary_Order[Net Total(-15%)],Primary_Order[Date],$C$5,Primary_Order[Product ID],SKU_wise[[#This Row],[SKU ID]],Primary_Order[Status],'Stock Report'!$A$1)</f>
        <v>0</v>
      </c>
      <c r="E155" s="175">
        <f t="shared" ref="E155:E156" si="7">IFERROR(D155/C155,0)</f>
        <v>0</v>
      </c>
      <c r="F155" s="173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55" s="174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55" s="175">
        <f>IFERROR(SKU_wise[[#This Row],[Revenue.]]/SKU_wise[[#This Row],[Volume(Ltr).]],0)</f>
        <v>0</v>
      </c>
      <c r="I155" s="176">
        <f>SUMIFS(Primary_Order[Total Volume],Primary_Order[Date],"&gt;="&amp;DATE(YEAR($C$5),1,1),Primary_Order[Date],"&lt;="&amp;$C$5,Primary_Order[Product ID],SKU_wise[[#This Row],[SKU ID]],Primary_Order[Status],'Stock Report'!$A$1)</f>
        <v>5.1749999999999998</v>
      </c>
      <c r="J155" s="174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12000.000000000002</v>
      </c>
      <c r="K155" s="187">
        <f>IFERROR(SKU_wise[[#This Row],[Revenue`]]/SKU_wise[[#This Row],[Volume(Ltr)`]],0)</f>
        <v>2318.8405797101454</v>
      </c>
    </row>
    <row r="156" spans="1:11" hidden="1" x14ac:dyDescent="0.5">
      <c r="A156" s="202" t="s">
        <v>372</v>
      </c>
      <c r="B156" s="192" t="s">
        <v>373</v>
      </c>
      <c r="C156" s="179">
        <f>SUMIFS(Primary_Order[Total Volume],Primary_Order[Date],$C$5,Primary_Order[Product ID],SKU_wise[[#This Row],[SKU ID]],Primary_Order[Status],'Stock Report'!$A$1)</f>
        <v>0</v>
      </c>
      <c r="D156" s="180">
        <f>SUMIFS(Primary_Order[Net Total(-15%)],Primary_Order[Date],$C$5,Primary_Order[Product ID],SKU_wise[[#This Row],[SKU ID]],Primary_Order[Status],'Stock Report'!$A$1)</f>
        <v>0</v>
      </c>
      <c r="E156" s="181">
        <f t="shared" si="7"/>
        <v>0</v>
      </c>
      <c r="F156" s="179">
        <f>SUMIFS(Primary_Order[Total Volume],Primary_Order[Date],"&gt;="&amp;DATE(YEAR($C$5),MONTH($C$5),1),Primary_Order[Date],"&lt;="&amp;$C$5,Primary_Order[Product ID],SKU_wise[[#This Row],[SKU ID]],Primary_Order[Status],'Stock Report'!$A$1)</f>
        <v>0</v>
      </c>
      <c r="G156" s="180">
        <f>SUMIFS(Primary_Order[Net Total(-15%)],Primary_Order[Date],"&gt;="&amp;DATE(YEAR($C$5),MONTH($C$5),1),Primary_Order[Date],"&lt;="&amp;$C$5,Primary_Order[Product ID],SKU_wise[[#This Row],[SKU ID]],Primary_Order[Status],'Stock Report'!$A$1)</f>
        <v>0</v>
      </c>
      <c r="H156" s="181">
        <f>IFERROR(SKU_wise[[#This Row],[Revenue.]]/SKU_wise[[#This Row],[Volume(Ltr).]],0)</f>
        <v>0</v>
      </c>
      <c r="I156" s="182">
        <f>SUMIFS(Primary_Order[Total Volume],Primary_Order[Date],"&gt;="&amp;DATE(YEAR($C$5),1,1),Primary_Order[Date],"&lt;="&amp;$C$5,Primary_Order[Product ID],SKU_wise[[#This Row],[SKU ID]],Primary_Order[Status],'Stock Report'!$A$1)</f>
        <v>46</v>
      </c>
      <c r="J156" s="180">
        <f>SUMIFS(Primary_Order[Net Total(-15%)],Primary_Order[Date],"&gt;="&amp;DATE(YEAR($C$5),1,1),Primary_Order[Date],"&lt;="&amp;$C$5,Primary_Order[Product ID],SKU_wise[[#This Row],[SKU ID]],Primary_Order[Payment Type],"&lt;&gt;Free",Primary_Order[Status],'Stock Report'!$A$1)</f>
        <v>65000</v>
      </c>
      <c r="K156" s="188">
        <f>IFERROR(SKU_wise[[#This Row],[Revenue`]]/SKU_wise[[#This Row],[Volume(Ltr)`]],0)</f>
        <v>1413.0434782608695</v>
      </c>
    </row>
    <row r="157" spans="1:11" ht="16.5" x14ac:dyDescent="0.5">
      <c r="A157" s="203"/>
      <c r="B157" s="276" t="s">
        <v>206</v>
      </c>
      <c r="C157" s="277">
        <f>SUM(C94:C156)</f>
        <v>8695</v>
      </c>
      <c r="D157" s="278">
        <f>SUM(D94:D156)</f>
        <v>1776521.7391304348</v>
      </c>
      <c r="E157" s="279">
        <f>IFERROR(D157/C157,0)</f>
        <v>204.31532364927369</v>
      </c>
      <c r="F157" s="277">
        <f>SUM(F94:F156)</f>
        <v>54682.2</v>
      </c>
      <c r="G157" s="278">
        <f>SUM(G94:G156)</f>
        <v>20604808.695652176</v>
      </c>
      <c r="H157" s="279">
        <f>IFERROR(G157/F157,0)</f>
        <v>376.81016300829481</v>
      </c>
      <c r="I157" s="277">
        <f>SUM(I94:I156)</f>
        <v>211122.72499999995</v>
      </c>
      <c r="J157" s="278">
        <f>SUM(J94:J156)</f>
        <v>107193270.43478262</v>
      </c>
      <c r="K157" s="280">
        <f>IFERROR(J157/I157,0)</f>
        <v>507.72966498411125</v>
      </c>
    </row>
    <row r="161" spans="6:6" x14ac:dyDescent="0.5">
      <c r="F161" s="194"/>
    </row>
  </sheetData>
  <sheetProtection formatColumns="0" formatRows="0" autoFilter="0"/>
  <mergeCells count="35">
    <mergeCell ref="I22:K22"/>
    <mergeCell ref="C91:E91"/>
    <mergeCell ref="F91:H91"/>
    <mergeCell ref="I91:K91"/>
    <mergeCell ref="C92:E92"/>
    <mergeCell ref="F92:H92"/>
    <mergeCell ref="I92:K92"/>
    <mergeCell ref="I11:K11"/>
    <mergeCell ref="C12:E12"/>
    <mergeCell ref="F12:H12"/>
    <mergeCell ref="I12:K12"/>
    <mergeCell ref="C21:E21"/>
    <mergeCell ref="F21:H21"/>
    <mergeCell ref="I21:K21"/>
    <mergeCell ref="I5:K5"/>
    <mergeCell ref="C4:E4"/>
    <mergeCell ref="C5:E5"/>
    <mergeCell ref="F4:H4"/>
    <mergeCell ref="F5:H5"/>
    <mergeCell ref="B21:B22"/>
    <mergeCell ref="B91:B92"/>
    <mergeCell ref="B4:B5"/>
    <mergeCell ref="B11:B12"/>
    <mergeCell ref="D1:G2"/>
    <mergeCell ref="C11:E11"/>
    <mergeCell ref="F11:H11"/>
    <mergeCell ref="C22:E22"/>
    <mergeCell ref="F22:H22"/>
    <mergeCell ref="H1:K3"/>
    <mergeCell ref="B1:C3"/>
    <mergeCell ref="D3:G3"/>
    <mergeCell ref="B10:K10"/>
    <mergeCell ref="B20:K20"/>
    <mergeCell ref="B90:K90"/>
    <mergeCell ref="I4:K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9458" r:id="rId4" name="SpinButton1">
          <controlPr defaultSize="0" autoLine="0" linkedCell="'Stock Report'!$B$1" r:id="rId5">
            <anchor moveWithCells="1">
              <from>
                <xdr:col>3</xdr:col>
                <xdr:colOff>876300</xdr:colOff>
                <xdr:row>2</xdr:row>
                <xdr:rowOff>19050</xdr:rowOff>
              </from>
              <to>
                <xdr:col>6</xdr:col>
                <xdr:colOff>38100</xdr:colOff>
                <xdr:row>2</xdr:row>
                <xdr:rowOff>184150</xdr:rowOff>
              </to>
            </anchor>
          </controlPr>
        </control>
      </mc:Choice>
      <mc:Fallback>
        <control shapeId="19458" r:id="rId4" name="SpinButton1"/>
      </mc:Fallback>
    </mc:AlternateContent>
    <mc:AlternateContent xmlns:mc="http://schemas.openxmlformats.org/markup-compatibility/2006">
      <mc:Choice Requires="x14">
        <control shapeId="19462" r:id="rId6" name="Status">
          <controlPr defaultSize="0" autoLine="0" linkedCell="'Stock Report'!$A$1" listFillRange="M4:M11" r:id="rId7">
            <anchor moveWithCells="1">
              <from>
                <xdr:col>11</xdr:col>
                <xdr:colOff>323850</xdr:colOff>
                <xdr:row>2</xdr:row>
                <xdr:rowOff>82550</xdr:rowOff>
              </from>
              <to>
                <xdr:col>13</xdr:col>
                <xdr:colOff>228600</xdr:colOff>
                <xdr:row>12</xdr:row>
                <xdr:rowOff>38100</xdr:rowOff>
              </to>
            </anchor>
          </controlPr>
        </control>
      </mc:Choice>
      <mc:Fallback>
        <control shapeId="19462" r:id="rId6" name="Status"/>
      </mc:Fallback>
    </mc:AlternateContent>
  </controls>
  <tableParts count="4"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0C9C5-905A-44FF-97D7-57116A66FCBD}">
  <sheetPr codeName="Sheet5">
    <tabColor rgb="FFFF0000"/>
  </sheetPr>
  <dimension ref="A1:P70"/>
  <sheetViews>
    <sheetView workbookViewId="0">
      <selection activeCell="A2" sqref="A2:L2"/>
    </sheetView>
  </sheetViews>
  <sheetFormatPr defaultRowHeight="16.5" x14ac:dyDescent="0.5"/>
  <cols>
    <col min="1" max="1" width="10.1796875" bestFit="1" customWidth="1"/>
    <col min="2" max="2" width="37.453125" bestFit="1" customWidth="1"/>
    <col min="3" max="3" width="30.26953125" bestFit="1" customWidth="1"/>
    <col min="4" max="4" width="11.36328125" bestFit="1" customWidth="1"/>
    <col min="5" max="5" width="15.453125" bestFit="1" customWidth="1"/>
    <col min="6" max="6" width="17.81640625" bestFit="1" customWidth="1"/>
    <col min="7" max="7" width="12.90625" bestFit="1" customWidth="1"/>
    <col min="8" max="8" width="9.7265625" bestFit="1" customWidth="1"/>
    <col min="9" max="9" width="12.6328125" bestFit="1" customWidth="1"/>
    <col min="10" max="10" width="14.26953125" bestFit="1" customWidth="1"/>
    <col min="11" max="11" width="14.1796875" bestFit="1" customWidth="1"/>
    <col min="12" max="12" width="17.08984375" bestFit="1" customWidth="1"/>
    <col min="13" max="13" width="8.81640625" bestFit="1" customWidth="1"/>
    <col min="14" max="14" width="7.453125" bestFit="1" customWidth="1"/>
    <col min="15" max="15" width="6.54296875" bestFit="1" customWidth="1"/>
    <col min="16" max="16" width="11.81640625" bestFit="1" customWidth="1"/>
  </cols>
  <sheetData>
    <row r="1" spans="1:16" x14ac:dyDescent="0.5">
      <c r="A1" s="370" t="s">
        <v>208</v>
      </c>
      <c r="B1" s="371" t="s">
        <v>209</v>
      </c>
      <c r="C1" s="371" t="s">
        <v>286</v>
      </c>
      <c r="D1" s="371" t="s">
        <v>287</v>
      </c>
      <c r="E1" s="371" t="s">
        <v>288</v>
      </c>
      <c r="F1" s="371" t="s">
        <v>289</v>
      </c>
      <c r="G1" s="371" t="s">
        <v>290</v>
      </c>
      <c r="H1" s="371" t="s">
        <v>291</v>
      </c>
      <c r="I1" s="371" t="s">
        <v>292</v>
      </c>
      <c r="J1" s="371" t="s">
        <v>293</v>
      </c>
      <c r="K1" s="372" t="s">
        <v>294</v>
      </c>
      <c r="L1" s="373" t="s">
        <v>376</v>
      </c>
      <c r="M1" s="373" t="s">
        <v>837</v>
      </c>
      <c r="N1" s="373" t="s">
        <v>750</v>
      </c>
      <c r="O1" s="374" t="s">
        <v>1103</v>
      </c>
      <c r="P1" s="374" t="s">
        <v>1147</v>
      </c>
    </row>
    <row r="2" spans="1:16" x14ac:dyDescent="0.5">
      <c r="A2" s="13" t="s">
        <v>106</v>
      </c>
      <c r="B2" s="2" t="s">
        <v>210</v>
      </c>
      <c r="C2" s="2" t="s">
        <v>295</v>
      </c>
      <c r="D2" s="2" t="s">
        <v>296</v>
      </c>
      <c r="E2" s="6">
        <v>12</v>
      </c>
      <c r="F2" s="375">
        <v>1</v>
      </c>
      <c r="G2" s="7">
        <v>2100</v>
      </c>
      <c r="H2" s="7">
        <v>2100</v>
      </c>
      <c r="I2" s="2" t="s">
        <v>297</v>
      </c>
      <c r="J2" s="2" t="s">
        <v>298</v>
      </c>
      <c r="K2" s="14">
        <v>1650</v>
      </c>
      <c r="L2" s="19" t="s">
        <v>377</v>
      </c>
      <c r="M2" s="19" t="s">
        <v>841</v>
      </c>
      <c r="N2" s="41">
        <v>1214.3</v>
      </c>
      <c r="O2" s="32">
        <v>1750</v>
      </c>
      <c r="P2">
        <v>45.154293569131831</v>
      </c>
    </row>
    <row r="3" spans="1:16" x14ac:dyDescent="0.5">
      <c r="A3" s="13" t="s">
        <v>56</v>
      </c>
      <c r="B3" s="2" t="s">
        <v>1075</v>
      </c>
      <c r="C3" s="2" t="s">
        <v>44</v>
      </c>
      <c r="D3" s="2" t="s">
        <v>296</v>
      </c>
      <c r="E3" s="6">
        <v>12</v>
      </c>
      <c r="F3" s="375">
        <v>1</v>
      </c>
      <c r="G3" s="7">
        <v>1450</v>
      </c>
      <c r="H3" s="7">
        <v>1450</v>
      </c>
      <c r="I3" s="2" t="s">
        <v>297</v>
      </c>
      <c r="J3" s="2" t="s">
        <v>298</v>
      </c>
      <c r="K3" s="14">
        <v>1450</v>
      </c>
      <c r="L3" s="2" t="s">
        <v>378</v>
      </c>
      <c r="M3" s="19" t="s">
        <v>842</v>
      </c>
      <c r="N3" s="3">
        <v>689.86</v>
      </c>
      <c r="O3" s="32">
        <v>1080</v>
      </c>
      <c r="P3">
        <v>24.88359649610679</v>
      </c>
    </row>
    <row r="4" spans="1:16" x14ac:dyDescent="0.5">
      <c r="A4" s="13" t="s">
        <v>43</v>
      </c>
      <c r="B4" s="2" t="s">
        <v>212</v>
      </c>
      <c r="C4" s="2" t="s">
        <v>44</v>
      </c>
      <c r="D4" s="2" t="s">
        <v>299</v>
      </c>
      <c r="E4" s="6">
        <v>20</v>
      </c>
      <c r="F4" s="375">
        <v>1.2</v>
      </c>
      <c r="G4" s="7">
        <v>1700</v>
      </c>
      <c r="H4" s="7">
        <v>1416.6666666666667</v>
      </c>
      <c r="I4" s="2" t="s">
        <v>297</v>
      </c>
      <c r="J4" s="2" t="s">
        <v>298</v>
      </c>
      <c r="K4" s="14">
        <v>1700</v>
      </c>
      <c r="L4" s="2" t="s">
        <v>378</v>
      </c>
      <c r="M4" s="19" t="s">
        <v>842</v>
      </c>
      <c r="N4" s="3">
        <v>777.3</v>
      </c>
      <c r="O4" s="32">
        <v>1295</v>
      </c>
      <c r="P4">
        <v>30.15</v>
      </c>
    </row>
    <row r="5" spans="1:16" x14ac:dyDescent="0.5">
      <c r="A5" s="13" t="s">
        <v>57</v>
      </c>
      <c r="B5" s="2" t="s">
        <v>1076</v>
      </c>
      <c r="C5" s="2" t="s">
        <v>1073</v>
      </c>
      <c r="D5" s="2" t="s">
        <v>296</v>
      </c>
      <c r="E5" s="6">
        <v>12</v>
      </c>
      <c r="F5" s="375">
        <v>1</v>
      </c>
      <c r="G5" s="7">
        <v>1450</v>
      </c>
      <c r="H5" s="7">
        <v>1450</v>
      </c>
      <c r="I5" s="2" t="s">
        <v>297</v>
      </c>
      <c r="J5" s="2" t="s">
        <v>298</v>
      </c>
      <c r="K5" s="14">
        <v>995</v>
      </c>
      <c r="L5" s="2" t="s">
        <v>377</v>
      </c>
      <c r="M5" s="19" t="s">
        <v>842</v>
      </c>
      <c r="N5" s="3">
        <v>693.99</v>
      </c>
      <c r="O5" s="32">
        <v>1070</v>
      </c>
      <c r="P5">
        <v>25.031971305738853</v>
      </c>
    </row>
    <row r="6" spans="1:16" x14ac:dyDescent="0.5">
      <c r="A6" s="13" t="s">
        <v>58</v>
      </c>
      <c r="B6" s="2" t="s">
        <v>1077</v>
      </c>
      <c r="C6" s="2" t="s">
        <v>1074</v>
      </c>
      <c r="D6" s="2" t="s">
        <v>296</v>
      </c>
      <c r="E6" s="6">
        <v>12</v>
      </c>
      <c r="F6" s="375">
        <v>1</v>
      </c>
      <c r="G6" s="7">
        <v>1450</v>
      </c>
      <c r="H6" s="7">
        <v>1450</v>
      </c>
      <c r="I6" s="2" t="s">
        <v>297</v>
      </c>
      <c r="J6" s="2" t="s">
        <v>298</v>
      </c>
      <c r="K6" s="14">
        <v>1450</v>
      </c>
      <c r="L6" s="2" t="s">
        <v>379</v>
      </c>
      <c r="M6" s="19" t="s">
        <v>842</v>
      </c>
      <c r="N6" s="3">
        <v>763.69839999999999</v>
      </c>
      <c r="O6" s="32">
        <v>1080</v>
      </c>
      <c r="P6">
        <v>27.712890292553194</v>
      </c>
    </row>
    <row r="7" spans="1:16" x14ac:dyDescent="0.5">
      <c r="A7" s="13" t="s">
        <v>35</v>
      </c>
      <c r="B7" s="2" t="s">
        <v>215</v>
      </c>
      <c r="C7" s="2" t="s">
        <v>15</v>
      </c>
      <c r="D7" s="2" t="s">
        <v>296</v>
      </c>
      <c r="E7" s="6">
        <v>12</v>
      </c>
      <c r="F7" s="375">
        <v>1</v>
      </c>
      <c r="G7" s="7">
        <v>1050</v>
      </c>
      <c r="H7" s="7">
        <v>1050</v>
      </c>
      <c r="I7" s="2" t="s">
        <v>297</v>
      </c>
      <c r="J7" s="2" t="s">
        <v>300</v>
      </c>
      <c r="K7" s="14">
        <v>1050</v>
      </c>
      <c r="L7" s="2" t="s">
        <v>378</v>
      </c>
      <c r="M7" s="19" t="s">
        <v>843</v>
      </c>
      <c r="N7" s="3">
        <v>602.64</v>
      </c>
      <c r="O7" s="32">
        <v>860</v>
      </c>
      <c r="P7">
        <v>20.058263141491793</v>
      </c>
    </row>
    <row r="8" spans="1:16" x14ac:dyDescent="0.5">
      <c r="A8" s="13" t="s">
        <v>36</v>
      </c>
      <c r="B8" s="2" t="s">
        <v>216</v>
      </c>
      <c r="C8" s="2" t="s">
        <v>16</v>
      </c>
      <c r="D8" s="2" t="s">
        <v>296</v>
      </c>
      <c r="E8" s="6">
        <v>12</v>
      </c>
      <c r="F8" s="375">
        <v>1</v>
      </c>
      <c r="G8" s="7">
        <v>1050</v>
      </c>
      <c r="H8" s="7">
        <v>1050</v>
      </c>
      <c r="I8" s="2" t="s">
        <v>297</v>
      </c>
      <c r="J8" s="2" t="s">
        <v>300</v>
      </c>
      <c r="K8" s="14">
        <v>790</v>
      </c>
      <c r="L8" s="2" t="s">
        <v>377</v>
      </c>
      <c r="M8" s="19" t="s">
        <v>843</v>
      </c>
      <c r="N8" s="3">
        <v>608.33000000000004</v>
      </c>
      <c r="O8" s="32">
        <v>860</v>
      </c>
      <c r="P8">
        <v>22.831696879008128</v>
      </c>
    </row>
    <row r="9" spans="1:16" x14ac:dyDescent="0.5">
      <c r="A9" s="13" t="s">
        <v>77</v>
      </c>
      <c r="B9" s="2" t="s">
        <v>217</v>
      </c>
      <c r="C9" s="2" t="s">
        <v>78</v>
      </c>
      <c r="D9" s="2" t="s">
        <v>301</v>
      </c>
      <c r="E9" s="6">
        <v>20</v>
      </c>
      <c r="F9" s="375">
        <v>1</v>
      </c>
      <c r="G9" s="2">
        <v>690</v>
      </c>
      <c r="H9" s="7">
        <v>690</v>
      </c>
      <c r="I9" s="2" t="s">
        <v>297</v>
      </c>
      <c r="J9" s="2" t="s">
        <v>300</v>
      </c>
      <c r="K9" s="14">
        <v>690</v>
      </c>
      <c r="L9" s="2" t="s">
        <v>378</v>
      </c>
      <c r="M9" s="19" t="s">
        <v>844</v>
      </c>
      <c r="N9" s="3">
        <v>425.1</v>
      </c>
      <c r="O9" s="32">
        <v>600</v>
      </c>
      <c r="P9">
        <v>16.510409052982897</v>
      </c>
    </row>
    <row r="10" spans="1:16" x14ac:dyDescent="0.5">
      <c r="A10" s="13" t="s">
        <v>73</v>
      </c>
      <c r="B10" s="2" t="s">
        <v>218</v>
      </c>
      <c r="C10" s="2" t="s">
        <v>74</v>
      </c>
      <c r="D10" s="2" t="s">
        <v>301</v>
      </c>
      <c r="E10" s="6">
        <v>20</v>
      </c>
      <c r="F10" s="375">
        <v>1</v>
      </c>
      <c r="G10" s="2">
        <v>690</v>
      </c>
      <c r="H10" s="7">
        <v>690</v>
      </c>
      <c r="I10" s="2" t="s">
        <v>297</v>
      </c>
      <c r="J10" s="2" t="s">
        <v>300</v>
      </c>
      <c r="K10" s="14">
        <v>550</v>
      </c>
      <c r="L10" s="2" t="s">
        <v>377</v>
      </c>
      <c r="M10" s="19" t="s">
        <v>844</v>
      </c>
      <c r="N10" s="3">
        <v>418.48</v>
      </c>
      <c r="O10" s="32">
        <v>600</v>
      </c>
      <c r="P10">
        <v>16.260514614215129</v>
      </c>
    </row>
    <row r="11" spans="1:16" x14ac:dyDescent="0.5">
      <c r="A11" s="13" t="s">
        <v>75</v>
      </c>
      <c r="B11" s="2" t="s">
        <v>219</v>
      </c>
      <c r="C11" s="2" t="s">
        <v>76</v>
      </c>
      <c r="D11" s="2" t="s">
        <v>301</v>
      </c>
      <c r="E11" s="6">
        <v>20</v>
      </c>
      <c r="F11" s="375">
        <v>1</v>
      </c>
      <c r="G11" s="2">
        <v>720</v>
      </c>
      <c r="H11" s="7">
        <v>720</v>
      </c>
      <c r="I11" s="2" t="s">
        <v>297</v>
      </c>
      <c r="J11" s="2" t="s">
        <v>300</v>
      </c>
      <c r="K11" s="14">
        <v>720</v>
      </c>
      <c r="L11" s="2" t="s">
        <v>379</v>
      </c>
      <c r="M11" s="19" t="s">
        <v>844</v>
      </c>
      <c r="N11" s="3">
        <v>469.39</v>
      </c>
      <c r="O11" s="32">
        <v>600</v>
      </c>
      <c r="P11">
        <v>17.537095410292075</v>
      </c>
    </row>
    <row r="12" spans="1:16" x14ac:dyDescent="0.5">
      <c r="A12" s="13" t="s">
        <v>31</v>
      </c>
      <c r="B12" s="2" t="s">
        <v>220</v>
      </c>
      <c r="C12" s="2" t="s">
        <v>14</v>
      </c>
      <c r="D12" s="2" t="s">
        <v>301</v>
      </c>
      <c r="E12" s="6">
        <v>20</v>
      </c>
      <c r="F12" s="375">
        <v>1</v>
      </c>
      <c r="G12" s="2">
        <v>660</v>
      </c>
      <c r="H12" s="7">
        <v>660</v>
      </c>
      <c r="I12" s="2" t="s">
        <v>297</v>
      </c>
      <c r="J12" s="2" t="s">
        <v>302</v>
      </c>
      <c r="K12" s="14">
        <v>660</v>
      </c>
      <c r="L12" s="2" t="s">
        <v>378</v>
      </c>
      <c r="M12" s="19" t="s">
        <v>845</v>
      </c>
      <c r="N12" s="3">
        <v>379.33</v>
      </c>
      <c r="O12" s="32">
        <v>540</v>
      </c>
      <c r="P12">
        <v>13.940654417513684</v>
      </c>
    </row>
    <row r="13" spans="1:16" x14ac:dyDescent="0.5">
      <c r="A13" s="13" t="s">
        <v>32</v>
      </c>
      <c r="B13" s="2" t="s">
        <v>221</v>
      </c>
      <c r="C13" s="2" t="s">
        <v>14</v>
      </c>
      <c r="D13" s="2" t="s">
        <v>299</v>
      </c>
      <c r="E13" s="6">
        <v>20</v>
      </c>
      <c r="F13" s="375">
        <v>1.2</v>
      </c>
      <c r="G13" s="2">
        <v>790</v>
      </c>
      <c r="H13" s="7">
        <v>658.33333333333337</v>
      </c>
      <c r="I13" s="2" t="s">
        <v>297</v>
      </c>
      <c r="J13" s="2" t="s">
        <v>302</v>
      </c>
      <c r="K13" s="14">
        <v>790</v>
      </c>
      <c r="L13" s="2" t="s">
        <v>378</v>
      </c>
      <c r="M13" s="19" t="s">
        <v>845</v>
      </c>
      <c r="N13" s="3">
        <v>438.9</v>
      </c>
      <c r="O13" s="32">
        <v>650</v>
      </c>
      <c r="P13">
        <v>16.37</v>
      </c>
    </row>
    <row r="14" spans="1:16" x14ac:dyDescent="0.5">
      <c r="A14" s="13" t="s">
        <v>54</v>
      </c>
      <c r="B14" s="2" t="s">
        <v>222</v>
      </c>
      <c r="C14" s="2" t="s">
        <v>55</v>
      </c>
      <c r="D14" s="2" t="s">
        <v>301</v>
      </c>
      <c r="E14" s="6">
        <v>20</v>
      </c>
      <c r="F14" s="375">
        <v>1</v>
      </c>
      <c r="G14" s="2">
        <v>660</v>
      </c>
      <c r="H14" s="7">
        <v>660</v>
      </c>
      <c r="I14" s="2" t="s">
        <v>297</v>
      </c>
      <c r="J14" s="2" t="s">
        <v>302</v>
      </c>
      <c r="K14" s="14">
        <v>505</v>
      </c>
      <c r="L14" s="2" t="s">
        <v>377</v>
      </c>
      <c r="M14" s="19" t="s">
        <v>845</v>
      </c>
      <c r="N14" s="3">
        <v>384.85</v>
      </c>
      <c r="O14" s="32">
        <v>550</v>
      </c>
      <c r="P14">
        <v>15.115788557993733</v>
      </c>
    </row>
    <row r="15" spans="1:16" x14ac:dyDescent="0.5">
      <c r="A15" s="13" t="s">
        <v>53</v>
      </c>
      <c r="B15" s="2" t="s">
        <v>223</v>
      </c>
      <c r="C15" s="2" t="s">
        <v>34</v>
      </c>
      <c r="D15" s="2" t="s">
        <v>301</v>
      </c>
      <c r="E15" s="6">
        <v>20</v>
      </c>
      <c r="F15" s="375">
        <v>1</v>
      </c>
      <c r="G15" s="2">
        <v>660</v>
      </c>
      <c r="H15" s="7">
        <v>660</v>
      </c>
      <c r="I15" s="2" t="s">
        <v>297</v>
      </c>
      <c r="J15" s="2" t="s">
        <v>302</v>
      </c>
      <c r="K15" s="14">
        <v>530</v>
      </c>
      <c r="L15" s="2" t="s">
        <v>380</v>
      </c>
      <c r="M15" s="19" t="s">
        <v>845</v>
      </c>
      <c r="N15" s="3">
        <v>412.76</v>
      </c>
      <c r="O15" s="32">
        <v>535</v>
      </c>
      <c r="P15">
        <v>14.913778308684112</v>
      </c>
    </row>
    <row r="16" spans="1:16" x14ac:dyDescent="0.5">
      <c r="A16" s="13" t="s">
        <v>33</v>
      </c>
      <c r="B16" s="2" t="s">
        <v>224</v>
      </c>
      <c r="C16" s="2" t="s">
        <v>34</v>
      </c>
      <c r="D16" s="2" t="s">
        <v>299</v>
      </c>
      <c r="E16" s="6">
        <v>20</v>
      </c>
      <c r="F16" s="375">
        <v>1.2</v>
      </c>
      <c r="G16" s="2">
        <v>790</v>
      </c>
      <c r="H16" s="7">
        <v>658.33333333333337</v>
      </c>
      <c r="I16" s="2" t="s">
        <v>297</v>
      </c>
      <c r="J16" s="2" t="s">
        <v>302</v>
      </c>
      <c r="K16" s="14">
        <v>610</v>
      </c>
      <c r="L16" s="2" t="s">
        <v>380</v>
      </c>
      <c r="M16" s="19" t="s">
        <v>845</v>
      </c>
      <c r="N16" s="3">
        <v>469.89779535060973</v>
      </c>
      <c r="O16" s="32">
        <v>645</v>
      </c>
      <c r="P16">
        <v>17.672835750000001</v>
      </c>
    </row>
    <row r="17" spans="1:16" x14ac:dyDescent="0.5">
      <c r="A17" s="13" t="s">
        <v>81</v>
      </c>
      <c r="B17" s="2" t="s">
        <v>225</v>
      </c>
      <c r="C17" s="2" t="s">
        <v>82</v>
      </c>
      <c r="D17" s="2" t="s">
        <v>301</v>
      </c>
      <c r="E17" s="6">
        <v>20</v>
      </c>
      <c r="F17" s="375">
        <v>1</v>
      </c>
      <c r="G17" s="2">
        <v>620</v>
      </c>
      <c r="H17" s="7">
        <v>620</v>
      </c>
      <c r="I17" s="2" t="s">
        <v>297</v>
      </c>
      <c r="J17" s="2" t="s">
        <v>302</v>
      </c>
      <c r="K17" s="14">
        <v>620</v>
      </c>
      <c r="L17" s="2" t="s">
        <v>379</v>
      </c>
      <c r="M17" s="19" t="s">
        <v>845</v>
      </c>
      <c r="N17" s="3">
        <v>364.92</v>
      </c>
      <c r="O17" s="32">
        <v>495</v>
      </c>
      <c r="P17">
        <v>14.544540000000001</v>
      </c>
    </row>
    <row r="18" spans="1:16" x14ac:dyDescent="0.5">
      <c r="A18" s="13" t="s">
        <v>99</v>
      </c>
      <c r="B18" s="2" t="s">
        <v>226</v>
      </c>
      <c r="C18" s="2" t="s">
        <v>82</v>
      </c>
      <c r="D18" s="2" t="s">
        <v>299</v>
      </c>
      <c r="E18" s="6">
        <v>20</v>
      </c>
      <c r="F18" s="375">
        <v>1.2</v>
      </c>
      <c r="G18" s="2">
        <v>740</v>
      </c>
      <c r="H18" s="7">
        <v>616.66666666666674</v>
      </c>
      <c r="I18" s="2" t="s">
        <v>297</v>
      </c>
      <c r="J18" s="2" t="s">
        <v>302</v>
      </c>
      <c r="K18" s="14">
        <v>740</v>
      </c>
      <c r="L18" s="2" t="s">
        <v>379</v>
      </c>
      <c r="M18" s="19" t="s">
        <v>845</v>
      </c>
      <c r="N18" s="3">
        <v>434.61</v>
      </c>
      <c r="O18" s="32">
        <v>595</v>
      </c>
      <c r="P18">
        <v>17.223779999999998</v>
      </c>
    </row>
    <row r="19" spans="1:16" x14ac:dyDescent="0.5">
      <c r="A19" s="13" t="s">
        <v>48</v>
      </c>
      <c r="B19" s="2" t="s">
        <v>227</v>
      </c>
      <c r="C19" s="2" t="s">
        <v>49</v>
      </c>
      <c r="D19" s="2" t="s">
        <v>301</v>
      </c>
      <c r="E19" s="6">
        <v>20</v>
      </c>
      <c r="F19" s="375">
        <v>1</v>
      </c>
      <c r="G19" s="2">
        <v>565</v>
      </c>
      <c r="H19" s="7">
        <v>565</v>
      </c>
      <c r="I19" s="2" t="s">
        <v>297</v>
      </c>
      <c r="J19" s="2" t="s">
        <v>302</v>
      </c>
      <c r="K19" s="14">
        <v>565</v>
      </c>
      <c r="L19" s="2" t="s">
        <v>380</v>
      </c>
      <c r="M19" s="19" t="s">
        <v>846</v>
      </c>
      <c r="N19" s="3">
        <v>359.57</v>
      </c>
      <c r="O19" s="32">
        <v>565</v>
      </c>
      <c r="P19">
        <v>14.022779252512111</v>
      </c>
    </row>
    <row r="20" spans="1:16" x14ac:dyDescent="0.5">
      <c r="A20" s="13" t="s">
        <v>59</v>
      </c>
      <c r="B20" s="2" t="s">
        <v>228</v>
      </c>
      <c r="C20" s="2" t="s">
        <v>60</v>
      </c>
      <c r="D20" s="2" t="s">
        <v>303</v>
      </c>
      <c r="E20" s="6">
        <v>20</v>
      </c>
      <c r="F20" s="375">
        <v>0.8</v>
      </c>
      <c r="G20" s="2">
        <v>580</v>
      </c>
      <c r="H20" s="7">
        <v>725</v>
      </c>
      <c r="I20" s="2" t="s">
        <v>297</v>
      </c>
      <c r="J20" s="2" t="s">
        <v>302</v>
      </c>
      <c r="K20" s="14">
        <v>435</v>
      </c>
      <c r="L20" s="2" t="s">
        <v>378</v>
      </c>
      <c r="M20" s="19" t="s">
        <v>857</v>
      </c>
      <c r="N20" s="3">
        <v>333.33</v>
      </c>
      <c r="O20" s="32">
        <v>485</v>
      </c>
      <c r="P20">
        <v>12.807247290640394</v>
      </c>
    </row>
    <row r="21" spans="1:16" x14ac:dyDescent="0.5">
      <c r="A21" s="13" t="s">
        <v>117</v>
      </c>
      <c r="B21" s="2" t="s">
        <v>229</v>
      </c>
      <c r="C21" s="2" t="s">
        <v>1216</v>
      </c>
      <c r="D21" s="2" t="s">
        <v>304</v>
      </c>
      <c r="E21" s="6">
        <v>40</v>
      </c>
      <c r="F21" s="375">
        <v>0.17499999999999999</v>
      </c>
      <c r="G21" s="2">
        <v>170</v>
      </c>
      <c r="H21" s="7">
        <v>971.42857142857144</v>
      </c>
      <c r="I21" s="2" t="s">
        <v>305</v>
      </c>
      <c r="J21" s="2" t="s">
        <v>305</v>
      </c>
      <c r="K21" s="14">
        <v>115</v>
      </c>
      <c r="L21" s="2" t="s">
        <v>305</v>
      </c>
      <c r="M21" s="19" t="s">
        <v>856</v>
      </c>
      <c r="N21" s="3">
        <v>82.75</v>
      </c>
      <c r="O21" s="32">
        <v>144.5</v>
      </c>
      <c r="P21">
        <v>3.0051395833333339</v>
      </c>
    </row>
    <row r="22" spans="1:16" x14ac:dyDescent="0.5">
      <c r="A22" s="13" t="s">
        <v>145</v>
      </c>
      <c r="B22" s="2" t="s">
        <v>230</v>
      </c>
      <c r="C22" s="2" t="s">
        <v>1216</v>
      </c>
      <c r="D22" s="2" t="s">
        <v>306</v>
      </c>
      <c r="E22" s="6">
        <v>20</v>
      </c>
      <c r="F22" s="375">
        <v>0.35</v>
      </c>
      <c r="G22" s="2">
        <v>300</v>
      </c>
      <c r="H22" s="7">
        <v>857.14285714285722</v>
      </c>
      <c r="I22" s="2" t="s">
        <v>305</v>
      </c>
      <c r="J22" s="2" t="s">
        <v>305</v>
      </c>
      <c r="K22" s="14">
        <v>220</v>
      </c>
      <c r="L22" s="2" t="s">
        <v>305</v>
      </c>
      <c r="M22" s="19" t="s">
        <v>856</v>
      </c>
      <c r="N22" s="3">
        <v>164.71</v>
      </c>
      <c r="O22" s="32">
        <v>255</v>
      </c>
      <c r="P22">
        <v>5.66</v>
      </c>
    </row>
    <row r="23" spans="1:16" x14ac:dyDescent="0.5">
      <c r="A23" s="13" t="s">
        <v>152</v>
      </c>
      <c r="B23" s="2" t="s">
        <v>231</v>
      </c>
      <c r="C23" s="2" t="s">
        <v>307</v>
      </c>
      <c r="D23" s="2" t="s">
        <v>301</v>
      </c>
      <c r="E23" s="6">
        <v>20</v>
      </c>
      <c r="F23" s="375">
        <v>1</v>
      </c>
      <c r="G23" s="2">
        <v>500</v>
      </c>
      <c r="H23" s="7">
        <v>500</v>
      </c>
      <c r="I23" s="2" t="s">
        <v>305</v>
      </c>
      <c r="J23" s="2" t="s">
        <v>305</v>
      </c>
      <c r="K23" s="14">
        <v>340</v>
      </c>
      <c r="L23" s="2" t="s">
        <v>305</v>
      </c>
      <c r="M23" s="19" t="s">
        <v>855</v>
      </c>
      <c r="N23" s="3">
        <v>230.64</v>
      </c>
      <c r="O23" s="32">
        <v>425</v>
      </c>
      <c r="P23">
        <v>9.3814011904761898</v>
      </c>
    </row>
    <row r="24" spans="1:16" x14ac:dyDescent="0.5">
      <c r="A24" s="13" t="s">
        <v>168</v>
      </c>
      <c r="B24" s="2" t="s">
        <v>232</v>
      </c>
      <c r="C24" s="2" t="s">
        <v>308</v>
      </c>
      <c r="D24" s="2" t="s">
        <v>309</v>
      </c>
      <c r="E24" s="6">
        <v>20</v>
      </c>
      <c r="F24" s="375">
        <v>0.5</v>
      </c>
      <c r="G24" s="2">
        <v>500</v>
      </c>
      <c r="H24" s="7">
        <v>1000</v>
      </c>
      <c r="I24" s="2" t="s">
        <v>305</v>
      </c>
      <c r="J24" s="2" t="s">
        <v>305</v>
      </c>
      <c r="K24" s="14">
        <v>370</v>
      </c>
      <c r="L24" s="2" t="s">
        <v>305</v>
      </c>
      <c r="M24" s="19" t="s">
        <v>858</v>
      </c>
      <c r="N24" s="3">
        <v>284.94</v>
      </c>
      <c r="O24" s="32">
        <v>425</v>
      </c>
      <c r="P24">
        <v>6.562005000000001</v>
      </c>
    </row>
    <row r="25" spans="1:16" x14ac:dyDescent="0.5">
      <c r="A25" s="13" t="s">
        <v>126</v>
      </c>
      <c r="B25" s="2" t="s">
        <v>233</v>
      </c>
      <c r="C25" s="2" t="s">
        <v>310</v>
      </c>
      <c r="D25" s="2" t="s">
        <v>311</v>
      </c>
      <c r="E25" s="6">
        <v>20</v>
      </c>
      <c r="F25" s="375">
        <v>0.15</v>
      </c>
      <c r="G25" s="2">
        <v>600</v>
      </c>
      <c r="H25" s="7">
        <v>4000</v>
      </c>
      <c r="I25" s="2" t="s">
        <v>305</v>
      </c>
      <c r="J25" s="2" t="s">
        <v>305</v>
      </c>
      <c r="K25" s="14">
        <v>460</v>
      </c>
      <c r="L25" s="2" t="s">
        <v>305</v>
      </c>
      <c r="M25" s="19" t="s">
        <v>859</v>
      </c>
      <c r="N25" s="3">
        <v>357.09268115942029</v>
      </c>
      <c r="O25" s="32">
        <v>510</v>
      </c>
      <c r="P25">
        <v>3.0051395833333339</v>
      </c>
    </row>
    <row r="26" spans="1:16" x14ac:dyDescent="0.5">
      <c r="A26" s="13" t="s">
        <v>147</v>
      </c>
      <c r="B26" s="2" t="s">
        <v>234</v>
      </c>
      <c r="C26" s="2" t="s">
        <v>310</v>
      </c>
      <c r="D26" s="2" t="s">
        <v>312</v>
      </c>
      <c r="E26" s="6">
        <v>12</v>
      </c>
      <c r="F26" s="375">
        <v>0.4</v>
      </c>
      <c r="G26" s="7">
        <v>1175</v>
      </c>
      <c r="H26" s="7">
        <v>2937.5</v>
      </c>
      <c r="I26" s="2" t="s">
        <v>305</v>
      </c>
      <c r="J26" s="2" t="s">
        <v>305</v>
      </c>
      <c r="K26" s="14">
        <v>1000</v>
      </c>
      <c r="L26" s="2" t="s">
        <v>305</v>
      </c>
      <c r="M26" s="19" t="s">
        <v>859</v>
      </c>
      <c r="N26" s="3">
        <v>673.80179297597044</v>
      </c>
      <c r="O26" s="32">
        <v>998.75</v>
      </c>
      <c r="P26">
        <v>26</v>
      </c>
    </row>
    <row r="27" spans="1:16" x14ac:dyDescent="0.5">
      <c r="A27" s="13" t="s">
        <v>37</v>
      </c>
      <c r="B27" s="2" t="s">
        <v>235</v>
      </c>
      <c r="C27" s="2" t="s">
        <v>38</v>
      </c>
      <c r="D27" s="2" t="s">
        <v>311</v>
      </c>
      <c r="E27" s="6">
        <v>20</v>
      </c>
      <c r="F27" s="375">
        <v>0.15</v>
      </c>
      <c r="G27" s="2">
        <v>645</v>
      </c>
      <c r="H27" s="7">
        <v>4300</v>
      </c>
      <c r="I27" s="2" t="s">
        <v>305</v>
      </c>
      <c r="J27" s="2" t="s">
        <v>305</v>
      </c>
      <c r="K27" s="14">
        <v>510</v>
      </c>
      <c r="L27" s="2" t="s">
        <v>305</v>
      </c>
      <c r="M27" s="19" t="s">
        <v>859</v>
      </c>
      <c r="N27" s="3">
        <v>358.22666666666669</v>
      </c>
      <c r="O27" s="32">
        <v>548.25</v>
      </c>
      <c r="P27">
        <v>19.96</v>
      </c>
    </row>
    <row r="28" spans="1:16" x14ac:dyDescent="0.5">
      <c r="A28" s="13" t="s">
        <v>148</v>
      </c>
      <c r="B28" s="2" t="s">
        <v>236</v>
      </c>
      <c r="C28" s="2" t="s">
        <v>38</v>
      </c>
      <c r="D28" s="2" t="s">
        <v>312</v>
      </c>
      <c r="E28" s="6">
        <v>12</v>
      </c>
      <c r="F28" s="375">
        <v>0.4</v>
      </c>
      <c r="G28" s="7">
        <v>1250</v>
      </c>
      <c r="H28" s="7">
        <v>3125</v>
      </c>
      <c r="I28" s="2" t="s">
        <v>305</v>
      </c>
      <c r="J28" s="2" t="s">
        <v>305</v>
      </c>
      <c r="K28" s="14">
        <v>955</v>
      </c>
      <c r="L28" s="2" t="s">
        <v>305</v>
      </c>
      <c r="M28" s="19" t="s">
        <v>859</v>
      </c>
      <c r="N28" s="3">
        <v>706.42901098901098</v>
      </c>
      <c r="O28" s="32">
        <v>1062.5</v>
      </c>
      <c r="P28">
        <v>29.028499641181345</v>
      </c>
    </row>
    <row r="29" spans="1:16" x14ac:dyDescent="0.5">
      <c r="A29" s="13" t="s">
        <v>193</v>
      </c>
      <c r="B29" s="2" t="s">
        <v>237</v>
      </c>
      <c r="C29" s="2" t="s">
        <v>313</v>
      </c>
      <c r="D29" s="2" t="s">
        <v>314</v>
      </c>
      <c r="E29" s="6">
        <v>12</v>
      </c>
      <c r="F29" s="375">
        <v>0.25</v>
      </c>
      <c r="G29" s="2">
        <v>860</v>
      </c>
      <c r="H29" s="7">
        <v>3440</v>
      </c>
      <c r="I29" s="2" t="s">
        <v>305</v>
      </c>
      <c r="J29" s="2" t="s">
        <v>305</v>
      </c>
      <c r="K29" s="14">
        <v>670</v>
      </c>
      <c r="L29" s="2" t="s">
        <v>305</v>
      </c>
      <c r="M29" s="19" t="s">
        <v>860</v>
      </c>
      <c r="N29" s="3">
        <v>503.24</v>
      </c>
      <c r="O29" s="32">
        <v>731</v>
      </c>
      <c r="P29">
        <v>16.02</v>
      </c>
    </row>
    <row r="30" spans="1:16" x14ac:dyDescent="0.5">
      <c r="A30" s="13" t="s">
        <v>181</v>
      </c>
      <c r="B30" s="2" t="s">
        <v>238</v>
      </c>
      <c r="C30" s="2" t="s">
        <v>315</v>
      </c>
      <c r="D30" s="2" t="s">
        <v>314</v>
      </c>
      <c r="E30" s="6">
        <v>12</v>
      </c>
      <c r="F30" s="375">
        <v>0.25</v>
      </c>
      <c r="G30" s="2">
        <v>760</v>
      </c>
      <c r="H30" s="7">
        <v>3040</v>
      </c>
      <c r="I30" s="2" t="s">
        <v>305</v>
      </c>
      <c r="J30" s="2" t="s">
        <v>305</v>
      </c>
      <c r="K30" s="14">
        <v>610</v>
      </c>
      <c r="L30" s="2" t="s">
        <v>305</v>
      </c>
      <c r="M30" s="19" t="s">
        <v>860</v>
      </c>
      <c r="N30" s="3">
        <v>459.43</v>
      </c>
      <c r="O30" s="32">
        <v>646</v>
      </c>
      <c r="P30">
        <v>16.02</v>
      </c>
    </row>
    <row r="31" spans="1:16" x14ac:dyDescent="0.5">
      <c r="A31" s="13" t="s">
        <v>149</v>
      </c>
      <c r="B31" s="2" t="s">
        <v>239</v>
      </c>
      <c r="C31" s="2" t="s">
        <v>316</v>
      </c>
      <c r="D31" s="2" t="s">
        <v>317</v>
      </c>
      <c r="E31" s="6">
        <v>12</v>
      </c>
      <c r="F31" s="375">
        <v>0.3</v>
      </c>
      <c r="G31" s="7">
        <v>1175</v>
      </c>
      <c r="H31" s="7">
        <v>3916.666666666667</v>
      </c>
      <c r="I31" s="2" t="s">
        <v>305</v>
      </c>
      <c r="J31" s="2" t="s">
        <v>305</v>
      </c>
      <c r="K31" s="14">
        <v>950</v>
      </c>
      <c r="L31" s="2" t="s">
        <v>305</v>
      </c>
      <c r="M31" s="19" t="s">
        <v>847</v>
      </c>
      <c r="N31" s="3">
        <v>792.02</v>
      </c>
      <c r="O31" s="32">
        <v>998.75</v>
      </c>
      <c r="P31">
        <v>24.94</v>
      </c>
    </row>
    <row r="32" spans="1:16" x14ac:dyDescent="0.5">
      <c r="A32" s="13" t="s">
        <v>107</v>
      </c>
      <c r="B32" s="2" t="s">
        <v>240</v>
      </c>
      <c r="C32" s="2" t="s">
        <v>318</v>
      </c>
      <c r="D32" s="2" t="s">
        <v>1091</v>
      </c>
      <c r="E32" s="6">
        <v>40</v>
      </c>
      <c r="F32" s="375">
        <v>0.1</v>
      </c>
      <c r="G32" s="2">
        <v>150</v>
      </c>
      <c r="H32" s="7">
        <v>1500</v>
      </c>
      <c r="I32" s="2" t="s">
        <v>305</v>
      </c>
      <c r="J32" s="2" t="s">
        <v>305</v>
      </c>
      <c r="K32" s="14">
        <v>120</v>
      </c>
      <c r="L32" s="2" t="s">
        <v>305</v>
      </c>
      <c r="M32" s="19" t="s">
        <v>838</v>
      </c>
      <c r="N32" s="3">
        <v>72.349999999999994</v>
      </c>
      <c r="O32" s="32">
        <v>127.5</v>
      </c>
      <c r="P32">
        <v>2.74</v>
      </c>
    </row>
    <row r="33" spans="1:16" x14ac:dyDescent="0.5">
      <c r="A33" s="13" t="s">
        <v>197</v>
      </c>
      <c r="B33" s="2" t="s">
        <v>241</v>
      </c>
      <c r="C33" s="2" t="s">
        <v>319</v>
      </c>
      <c r="D33" s="2" t="s">
        <v>320</v>
      </c>
      <c r="E33" s="6">
        <v>12</v>
      </c>
      <c r="F33" s="375">
        <v>0.5</v>
      </c>
      <c r="G33" s="2">
        <v>910</v>
      </c>
      <c r="H33" s="7">
        <v>1820</v>
      </c>
      <c r="I33" s="2" t="s">
        <v>305</v>
      </c>
      <c r="J33" s="2" t="s">
        <v>305</v>
      </c>
      <c r="K33" s="14">
        <v>740</v>
      </c>
      <c r="L33" s="2" t="s">
        <v>305</v>
      </c>
      <c r="M33" s="19" t="s">
        <v>838</v>
      </c>
      <c r="N33" s="3">
        <v>509.72</v>
      </c>
      <c r="O33" s="32">
        <v>773.5</v>
      </c>
      <c r="P33">
        <v>150</v>
      </c>
    </row>
    <row r="34" spans="1:16" x14ac:dyDescent="0.5">
      <c r="A34" s="13" t="s">
        <v>104</v>
      </c>
      <c r="B34" s="2" t="s">
        <v>242</v>
      </c>
      <c r="C34" s="2" t="s">
        <v>321</v>
      </c>
      <c r="D34" s="2" t="s">
        <v>1092</v>
      </c>
      <c r="E34" s="6">
        <v>24</v>
      </c>
      <c r="F34" s="375">
        <v>0.05</v>
      </c>
      <c r="G34" s="2">
        <v>250</v>
      </c>
      <c r="H34" s="7">
        <v>5000</v>
      </c>
      <c r="I34" s="2" t="s">
        <v>305</v>
      </c>
      <c r="J34" s="2" t="s">
        <v>305</v>
      </c>
      <c r="K34" s="14">
        <v>195</v>
      </c>
      <c r="L34" s="2" t="s">
        <v>305</v>
      </c>
      <c r="M34" s="19" t="s">
        <v>861</v>
      </c>
      <c r="N34" s="3">
        <v>130.11000000000001</v>
      </c>
      <c r="O34" s="32">
        <v>212.5</v>
      </c>
      <c r="P34">
        <v>4.45</v>
      </c>
    </row>
    <row r="35" spans="1:16" x14ac:dyDescent="0.5">
      <c r="A35" s="13" t="s">
        <v>243</v>
      </c>
      <c r="B35" s="2" t="s">
        <v>244</v>
      </c>
      <c r="C35" s="2" t="s">
        <v>321</v>
      </c>
      <c r="D35" s="2" t="s">
        <v>322</v>
      </c>
      <c r="E35" s="6">
        <v>24</v>
      </c>
      <c r="F35" s="375">
        <v>0.25</v>
      </c>
      <c r="G35" s="7">
        <v>1200</v>
      </c>
      <c r="H35" s="7">
        <v>4800</v>
      </c>
      <c r="I35" s="2" t="s">
        <v>305</v>
      </c>
      <c r="J35" s="2" t="s">
        <v>305</v>
      </c>
      <c r="K35" s="14">
        <v>1200</v>
      </c>
      <c r="L35" s="2" t="s">
        <v>305</v>
      </c>
      <c r="M35" s="19" t="s">
        <v>861</v>
      </c>
      <c r="N35" s="3">
        <v>666.33</v>
      </c>
      <c r="O35" s="32">
        <v>1020</v>
      </c>
      <c r="P35">
        <v>0</v>
      </c>
    </row>
    <row r="36" spans="1:16" x14ac:dyDescent="0.5">
      <c r="A36" s="13" t="s">
        <v>245</v>
      </c>
      <c r="B36" s="2" t="s">
        <v>246</v>
      </c>
      <c r="C36" s="2" t="s">
        <v>323</v>
      </c>
      <c r="D36" s="2" t="s">
        <v>324</v>
      </c>
      <c r="E36" s="6">
        <v>12</v>
      </c>
      <c r="F36" s="375">
        <v>0.3</v>
      </c>
      <c r="G36" s="7">
        <v>1400</v>
      </c>
      <c r="H36" s="7">
        <v>4666.666666666667</v>
      </c>
      <c r="I36" s="2" t="s">
        <v>305</v>
      </c>
      <c r="J36" s="2" t="s">
        <v>305</v>
      </c>
      <c r="K36" s="14">
        <v>1000</v>
      </c>
      <c r="L36" s="2" t="s">
        <v>305</v>
      </c>
      <c r="M36" s="19" t="s">
        <v>861</v>
      </c>
      <c r="N36" s="3">
        <v>686.66</v>
      </c>
      <c r="O36" s="32">
        <v>1190</v>
      </c>
      <c r="P36">
        <v>25.123944444444447</v>
      </c>
    </row>
    <row r="37" spans="1:16" x14ac:dyDescent="0.5">
      <c r="A37" s="13" t="s">
        <v>247</v>
      </c>
      <c r="B37" s="2" t="s">
        <v>248</v>
      </c>
      <c r="C37" s="2" t="s">
        <v>323</v>
      </c>
      <c r="D37" s="2" t="s">
        <v>325</v>
      </c>
      <c r="E37" s="6">
        <v>24</v>
      </c>
      <c r="F37" s="375">
        <v>0.2</v>
      </c>
      <c r="G37" s="2">
        <v>950</v>
      </c>
      <c r="H37" s="7">
        <v>4750</v>
      </c>
      <c r="I37" s="2" t="s">
        <v>305</v>
      </c>
      <c r="J37" s="2" t="s">
        <v>305</v>
      </c>
      <c r="K37" s="14">
        <v>950</v>
      </c>
      <c r="L37" s="2" t="s">
        <v>305</v>
      </c>
      <c r="M37" s="19" t="s">
        <v>861</v>
      </c>
      <c r="N37" s="3">
        <v>439.64</v>
      </c>
      <c r="O37" s="32">
        <v>807.5</v>
      </c>
      <c r="P37">
        <v>0</v>
      </c>
    </row>
    <row r="38" spans="1:16" x14ac:dyDescent="0.5">
      <c r="A38" s="13" t="s">
        <v>105</v>
      </c>
      <c r="B38" s="2" t="s">
        <v>249</v>
      </c>
      <c r="C38" s="2" t="s">
        <v>323</v>
      </c>
      <c r="D38" s="2" t="s">
        <v>1092</v>
      </c>
      <c r="E38" s="6">
        <v>24</v>
      </c>
      <c r="F38" s="375">
        <v>0.05</v>
      </c>
      <c r="G38" s="2">
        <v>240</v>
      </c>
      <c r="H38" s="7">
        <v>4800</v>
      </c>
      <c r="I38" s="2" t="s">
        <v>305</v>
      </c>
      <c r="J38" s="2" t="s">
        <v>305</v>
      </c>
      <c r="K38" s="14">
        <v>170</v>
      </c>
      <c r="L38" s="2" t="s">
        <v>305</v>
      </c>
      <c r="M38" s="19" t="s">
        <v>861</v>
      </c>
      <c r="N38" s="3">
        <v>132.07</v>
      </c>
      <c r="O38" s="32">
        <v>204</v>
      </c>
      <c r="P38">
        <v>4.5</v>
      </c>
    </row>
    <row r="39" spans="1:16" x14ac:dyDescent="0.5">
      <c r="A39" s="13" t="s">
        <v>131</v>
      </c>
      <c r="B39" s="2" t="s">
        <v>250</v>
      </c>
      <c r="C39" s="2" t="s">
        <v>326</v>
      </c>
      <c r="D39" s="2" t="s">
        <v>327</v>
      </c>
      <c r="E39" s="6">
        <v>4</v>
      </c>
      <c r="F39" s="375">
        <v>4</v>
      </c>
      <c r="G39" s="7">
        <v>4800</v>
      </c>
      <c r="H39" s="7">
        <v>1200</v>
      </c>
      <c r="I39" s="2" t="s">
        <v>328</v>
      </c>
      <c r="J39" s="2" t="s">
        <v>298</v>
      </c>
      <c r="K39" s="14">
        <v>4800</v>
      </c>
      <c r="L39" s="2" t="s">
        <v>384</v>
      </c>
      <c r="M39" s="19" t="s">
        <v>861</v>
      </c>
      <c r="N39" s="3">
        <v>2323.52</v>
      </c>
      <c r="O39" s="32">
        <v>4800</v>
      </c>
      <c r="P39">
        <v>73.677549999999997</v>
      </c>
    </row>
    <row r="40" spans="1:16" x14ac:dyDescent="0.5">
      <c r="A40" s="13" t="s">
        <v>96</v>
      </c>
      <c r="B40" s="2" t="s">
        <v>716</v>
      </c>
      <c r="C40" s="2" t="s">
        <v>715</v>
      </c>
      <c r="D40" s="2" t="s">
        <v>327</v>
      </c>
      <c r="E40" s="6">
        <v>4</v>
      </c>
      <c r="F40" s="375">
        <v>4</v>
      </c>
      <c r="G40" s="7">
        <v>5600</v>
      </c>
      <c r="H40" s="7">
        <v>1400</v>
      </c>
      <c r="I40" s="2" t="s">
        <v>328</v>
      </c>
      <c r="J40" s="2" t="s">
        <v>298</v>
      </c>
      <c r="K40" s="14">
        <v>5600</v>
      </c>
      <c r="L40" s="2" t="s">
        <v>385</v>
      </c>
      <c r="M40" s="19" t="s">
        <v>849</v>
      </c>
      <c r="N40" s="3">
        <v>2935.97</v>
      </c>
      <c r="O40" s="32">
        <v>5600</v>
      </c>
      <c r="P40">
        <v>50.8</v>
      </c>
    </row>
    <row r="41" spans="1:16" x14ac:dyDescent="0.5">
      <c r="A41" s="13" t="s">
        <v>157</v>
      </c>
      <c r="B41" s="2" t="s">
        <v>252</v>
      </c>
      <c r="C41" s="2" t="s">
        <v>329</v>
      </c>
      <c r="D41" s="2" t="s">
        <v>327</v>
      </c>
      <c r="E41" s="6">
        <v>4</v>
      </c>
      <c r="F41" s="375">
        <v>4</v>
      </c>
      <c r="G41" s="7">
        <v>5000</v>
      </c>
      <c r="H41" s="7">
        <v>1250</v>
      </c>
      <c r="I41" s="2" t="s">
        <v>328</v>
      </c>
      <c r="J41" s="2" t="s">
        <v>298</v>
      </c>
      <c r="K41" s="14">
        <v>5000</v>
      </c>
      <c r="L41" s="2" t="s">
        <v>386</v>
      </c>
      <c r="M41" s="19" t="s">
        <v>848</v>
      </c>
      <c r="N41" s="3">
        <v>1892.27</v>
      </c>
      <c r="O41" s="32">
        <v>5000</v>
      </c>
      <c r="P41">
        <v>73.677549999999997</v>
      </c>
    </row>
    <row r="42" spans="1:16" x14ac:dyDescent="0.5">
      <c r="A42" s="13" t="s">
        <v>189</v>
      </c>
      <c r="B42" s="2" t="s">
        <v>253</v>
      </c>
      <c r="C42" s="2" t="s">
        <v>330</v>
      </c>
      <c r="D42" s="2" t="s">
        <v>327</v>
      </c>
      <c r="E42" s="6">
        <v>4</v>
      </c>
      <c r="F42" s="375">
        <v>4</v>
      </c>
      <c r="G42" s="7">
        <v>2000</v>
      </c>
      <c r="H42" s="7">
        <v>500</v>
      </c>
      <c r="I42" s="2" t="s">
        <v>328</v>
      </c>
      <c r="J42" s="2" t="s">
        <v>302</v>
      </c>
      <c r="K42" s="14">
        <v>2000</v>
      </c>
      <c r="L42" s="2" t="s">
        <v>378</v>
      </c>
      <c r="M42" s="19" t="s">
        <v>850</v>
      </c>
      <c r="N42" s="3">
        <v>1452.74</v>
      </c>
      <c r="O42" s="32">
        <v>2000</v>
      </c>
      <c r="P42">
        <v>52.14</v>
      </c>
    </row>
    <row r="43" spans="1:16" x14ac:dyDescent="0.5">
      <c r="A43" s="13" t="s">
        <v>71</v>
      </c>
      <c r="B43" s="2" t="s">
        <v>254</v>
      </c>
      <c r="C43" s="2" t="s">
        <v>72</v>
      </c>
      <c r="D43" s="2" t="s">
        <v>327</v>
      </c>
      <c r="E43" s="6">
        <v>4</v>
      </c>
      <c r="F43" s="375">
        <v>4</v>
      </c>
      <c r="G43" s="7">
        <v>2700</v>
      </c>
      <c r="H43" s="7">
        <v>675</v>
      </c>
      <c r="I43" s="2" t="s">
        <v>328</v>
      </c>
      <c r="J43" s="2" t="s">
        <v>302</v>
      </c>
      <c r="K43" s="14">
        <v>2700</v>
      </c>
      <c r="L43" s="2" t="s">
        <v>381</v>
      </c>
      <c r="M43" s="19" t="s">
        <v>850</v>
      </c>
      <c r="N43" s="3">
        <v>1322.77</v>
      </c>
      <c r="O43" s="32">
        <v>2700</v>
      </c>
      <c r="P43">
        <v>48.12</v>
      </c>
    </row>
    <row r="44" spans="1:16" x14ac:dyDescent="0.5">
      <c r="A44" s="13" t="s">
        <v>161</v>
      </c>
      <c r="B44" s="2" t="s">
        <v>255</v>
      </c>
      <c r="C44" s="2" t="s">
        <v>331</v>
      </c>
      <c r="D44" s="2" t="s">
        <v>301</v>
      </c>
      <c r="E44" s="6">
        <v>20</v>
      </c>
      <c r="F44" s="375">
        <v>1</v>
      </c>
      <c r="G44" s="2">
        <v>585</v>
      </c>
      <c r="H44" s="7">
        <v>585</v>
      </c>
      <c r="I44" s="2" t="s">
        <v>328</v>
      </c>
      <c r="J44" s="2" t="s">
        <v>302</v>
      </c>
      <c r="K44" s="14">
        <v>585</v>
      </c>
      <c r="L44" s="2" t="s">
        <v>379</v>
      </c>
      <c r="M44" s="19" t="s">
        <v>851</v>
      </c>
      <c r="N44" s="3">
        <v>400.1</v>
      </c>
      <c r="O44" s="32">
        <v>585</v>
      </c>
      <c r="P44">
        <v>52.141948453608244</v>
      </c>
    </row>
    <row r="45" spans="1:16" x14ac:dyDescent="0.5">
      <c r="A45" s="13" t="s">
        <v>156</v>
      </c>
      <c r="B45" s="2" t="s">
        <v>256</v>
      </c>
      <c r="C45" s="2" t="s">
        <v>331</v>
      </c>
      <c r="D45" s="2" t="s">
        <v>332</v>
      </c>
      <c r="E45" s="6">
        <v>4</v>
      </c>
      <c r="F45" s="375">
        <v>4</v>
      </c>
      <c r="G45" s="7">
        <v>2350</v>
      </c>
      <c r="H45" s="7">
        <v>587.5</v>
      </c>
      <c r="I45" s="2" t="s">
        <v>328</v>
      </c>
      <c r="J45" s="2" t="s">
        <v>302</v>
      </c>
      <c r="K45" s="14">
        <v>2350</v>
      </c>
      <c r="L45" s="2" t="s">
        <v>379</v>
      </c>
      <c r="M45" s="19" t="s">
        <v>851</v>
      </c>
      <c r="N45" s="3">
        <v>1095.45</v>
      </c>
      <c r="O45" s="32">
        <v>2350</v>
      </c>
      <c r="P45">
        <v>52.14</v>
      </c>
    </row>
    <row r="46" spans="1:16" x14ac:dyDescent="0.5">
      <c r="A46" s="13" t="s">
        <v>180</v>
      </c>
      <c r="B46" s="2" t="s">
        <v>257</v>
      </c>
      <c r="C46" s="2" t="s">
        <v>333</v>
      </c>
      <c r="D46" s="2" t="s">
        <v>296</v>
      </c>
      <c r="E46" s="6">
        <v>12</v>
      </c>
      <c r="F46" s="375">
        <v>1</v>
      </c>
      <c r="G46" s="7">
        <v>1500</v>
      </c>
      <c r="H46" s="7">
        <v>1500</v>
      </c>
      <c r="I46" s="2" t="s">
        <v>305</v>
      </c>
      <c r="J46" s="2" t="s">
        <v>305</v>
      </c>
      <c r="K46" s="14">
        <v>1500</v>
      </c>
      <c r="L46" s="2" t="s">
        <v>305</v>
      </c>
      <c r="M46" s="19" t="s">
        <v>839</v>
      </c>
      <c r="N46" s="3">
        <v>1192.42</v>
      </c>
      <c r="O46" s="32">
        <v>1275</v>
      </c>
      <c r="P46">
        <v>46.428286458333332</v>
      </c>
    </row>
    <row r="47" spans="1:16" x14ac:dyDescent="0.5">
      <c r="A47" s="13" t="s">
        <v>258</v>
      </c>
      <c r="B47" s="2" t="s">
        <v>259</v>
      </c>
      <c r="C47" s="2" t="s">
        <v>334</v>
      </c>
      <c r="D47" s="2" t="s">
        <v>296</v>
      </c>
      <c r="E47" s="6">
        <v>12</v>
      </c>
      <c r="F47" s="375">
        <v>1</v>
      </c>
      <c r="G47" s="7">
        <v>1800</v>
      </c>
      <c r="H47" s="7">
        <v>1800</v>
      </c>
      <c r="I47" s="2" t="s">
        <v>305</v>
      </c>
      <c r="J47" s="2" t="s">
        <v>305</v>
      </c>
      <c r="K47" s="14">
        <v>1800</v>
      </c>
      <c r="L47" s="2" t="s">
        <v>305</v>
      </c>
      <c r="M47" s="19" t="s">
        <v>839</v>
      </c>
      <c r="N47" s="3">
        <v>1222.3399999999999</v>
      </c>
      <c r="O47" s="32">
        <v>1530</v>
      </c>
      <c r="P47">
        <v>0</v>
      </c>
    </row>
    <row r="48" spans="1:16" x14ac:dyDescent="0.5">
      <c r="A48" s="13" t="s">
        <v>166</v>
      </c>
      <c r="B48" s="2" t="s">
        <v>260</v>
      </c>
      <c r="C48" s="2" t="s">
        <v>335</v>
      </c>
      <c r="D48" s="2" t="s">
        <v>301</v>
      </c>
      <c r="E48" s="6">
        <v>20</v>
      </c>
      <c r="F48" s="375">
        <v>1</v>
      </c>
      <c r="G48" s="2">
        <v>620</v>
      </c>
      <c r="H48" s="7">
        <v>620</v>
      </c>
      <c r="I48" s="2" t="s">
        <v>336</v>
      </c>
      <c r="J48" s="2" t="s">
        <v>302</v>
      </c>
      <c r="K48" s="14">
        <v>620</v>
      </c>
      <c r="L48" s="2" t="s">
        <v>381</v>
      </c>
      <c r="M48" s="19" t="s">
        <v>840</v>
      </c>
      <c r="N48" s="3">
        <v>416.38</v>
      </c>
      <c r="O48" s="32">
        <v>546</v>
      </c>
      <c r="P48">
        <v>15.904295739348374</v>
      </c>
    </row>
    <row r="49" spans="1:16" x14ac:dyDescent="0.5">
      <c r="A49" s="13" t="s">
        <v>179</v>
      </c>
      <c r="B49" s="2" t="s">
        <v>261</v>
      </c>
      <c r="C49" s="2" t="s">
        <v>335</v>
      </c>
      <c r="D49" s="2" t="s">
        <v>337</v>
      </c>
      <c r="E49" s="6">
        <v>1</v>
      </c>
      <c r="F49" s="375">
        <v>11</v>
      </c>
      <c r="G49" s="7">
        <v>6000</v>
      </c>
      <c r="H49" s="7">
        <v>545.4545454545455</v>
      </c>
      <c r="I49" s="2" t="s">
        <v>336</v>
      </c>
      <c r="J49" s="2" t="s">
        <v>302</v>
      </c>
      <c r="K49" s="14">
        <v>6000</v>
      </c>
      <c r="L49" s="2" t="s">
        <v>381</v>
      </c>
      <c r="M49" s="19" t="s">
        <v>840</v>
      </c>
      <c r="N49" s="3">
        <v>4110.7299999999996</v>
      </c>
      <c r="O49" s="32">
        <v>5280</v>
      </c>
      <c r="P49">
        <v>91.529074386821478</v>
      </c>
    </row>
    <row r="50" spans="1:16" x14ac:dyDescent="0.5">
      <c r="A50" s="13" t="s">
        <v>113</v>
      </c>
      <c r="B50" s="2" t="s">
        <v>262</v>
      </c>
      <c r="C50" s="2" t="s">
        <v>335</v>
      </c>
      <c r="D50" s="2" t="s">
        <v>338</v>
      </c>
      <c r="E50" s="6">
        <v>1</v>
      </c>
      <c r="F50" s="375">
        <v>15</v>
      </c>
      <c r="G50" s="7">
        <v>8150</v>
      </c>
      <c r="H50" s="7">
        <v>543.33333333333337</v>
      </c>
      <c r="I50" s="2" t="s">
        <v>336</v>
      </c>
      <c r="J50" s="2" t="s">
        <v>302</v>
      </c>
      <c r="K50" s="14">
        <v>8150</v>
      </c>
      <c r="L50" s="2" t="s">
        <v>381</v>
      </c>
      <c r="M50" s="19" t="s">
        <v>840</v>
      </c>
      <c r="N50" s="3">
        <v>5534.87</v>
      </c>
      <c r="O50" s="32">
        <v>7170</v>
      </c>
      <c r="P50">
        <v>17.223779999999998</v>
      </c>
    </row>
    <row r="51" spans="1:16" x14ac:dyDescent="0.5">
      <c r="A51" s="13" t="s">
        <v>177</v>
      </c>
      <c r="B51" s="2" t="s">
        <v>263</v>
      </c>
      <c r="C51" s="2" t="s">
        <v>68</v>
      </c>
      <c r="D51" s="2" t="s">
        <v>301</v>
      </c>
      <c r="E51" s="6">
        <v>20</v>
      </c>
      <c r="F51" s="375">
        <v>1</v>
      </c>
      <c r="G51" s="2">
        <v>550</v>
      </c>
      <c r="H51" s="7">
        <v>550</v>
      </c>
      <c r="I51" s="2" t="s">
        <v>336</v>
      </c>
      <c r="J51" s="2" t="s">
        <v>302</v>
      </c>
      <c r="K51" s="14">
        <v>550</v>
      </c>
      <c r="L51" s="2" t="s">
        <v>379</v>
      </c>
      <c r="M51" s="19" t="s">
        <v>840</v>
      </c>
      <c r="N51" s="3">
        <v>369.61</v>
      </c>
      <c r="O51" s="32">
        <v>484</v>
      </c>
      <c r="P51">
        <v>14.069014843750002</v>
      </c>
    </row>
    <row r="52" spans="1:16" x14ac:dyDescent="0.5">
      <c r="A52" s="13" t="s">
        <v>160</v>
      </c>
      <c r="B52" s="2" t="s">
        <v>264</v>
      </c>
      <c r="C52" s="2" t="s">
        <v>68</v>
      </c>
      <c r="D52" s="2" t="s">
        <v>339</v>
      </c>
      <c r="E52" s="6">
        <v>4</v>
      </c>
      <c r="F52" s="375">
        <v>5</v>
      </c>
      <c r="G52" s="7">
        <v>2700</v>
      </c>
      <c r="H52" s="7">
        <v>540</v>
      </c>
      <c r="I52" s="2" t="s">
        <v>336</v>
      </c>
      <c r="J52" s="2" t="s">
        <v>302</v>
      </c>
      <c r="K52" s="14">
        <v>2700</v>
      </c>
      <c r="L52" s="2" t="s">
        <v>379</v>
      </c>
      <c r="M52" s="19" t="s">
        <v>840</v>
      </c>
      <c r="N52" s="3">
        <v>1830.15</v>
      </c>
      <c r="O52" s="32">
        <v>2375</v>
      </c>
      <c r="P52">
        <v>67.341065</v>
      </c>
    </row>
    <row r="53" spans="1:16" x14ac:dyDescent="0.5">
      <c r="A53" s="13" t="s">
        <v>185</v>
      </c>
      <c r="B53" s="2" t="s">
        <v>265</v>
      </c>
      <c r="C53" s="2" t="s">
        <v>68</v>
      </c>
      <c r="D53" s="2" t="s">
        <v>337</v>
      </c>
      <c r="E53" s="6">
        <v>1</v>
      </c>
      <c r="F53" s="375">
        <v>11</v>
      </c>
      <c r="G53" s="7">
        <v>5800</v>
      </c>
      <c r="H53" s="7">
        <v>527.27272727272725</v>
      </c>
      <c r="I53" s="2" t="s">
        <v>336</v>
      </c>
      <c r="J53" s="2" t="s">
        <v>302</v>
      </c>
      <c r="K53" s="14">
        <v>5800</v>
      </c>
      <c r="L53" s="2" t="s">
        <v>379</v>
      </c>
      <c r="M53" s="19" t="s">
        <v>840</v>
      </c>
      <c r="N53" s="3">
        <v>3893.57</v>
      </c>
      <c r="O53" s="32">
        <v>5104</v>
      </c>
      <c r="P53">
        <v>148.25591979166668</v>
      </c>
    </row>
    <row r="54" spans="1:16" x14ac:dyDescent="0.5">
      <c r="A54" s="13" t="s">
        <v>67</v>
      </c>
      <c r="B54" s="2" t="s">
        <v>266</v>
      </c>
      <c r="C54" s="2" t="s">
        <v>68</v>
      </c>
      <c r="D54" s="2" t="s">
        <v>338</v>
      </c>
      <c r="E54" s="6">
        <v>1</v>
      </c>
      <c r="F54" s="375">
        <v>15</v>
      </c>
      <c r="G54" s="7">
        <v>7800</v>
      </c>
      <c r="H54" s="7">
        <v>520</v>
      </c>
      <c r="I54" s="2" t="s">
        <v>336</v>
      </c>
      <c r="J54" s="2" t="s">
        <v>302</v>
      </c>
      <c r="K54" s="14">
        <v>7800</v>
      </c>
      <c r="L54" s="2" t="s">
        <v>379</v>
      </c>
      <c r="M54" s="19" t="s">
        <v>840</v>
      </c>
      <c r="N54" s="3">
        <v>5055.04</v>
      </c>
      <c r="O54" s="32">
        <v>6870</v>
      </c>
      <c r="P54">
        <v>200.393686</v>
      </c>
    </row>
    <row r="55" spans="1:16" x14ac:dyDescent="0.5">
      <c r="A55" s="13" t="s">
        <v>159</v>
      </c>
      <c r="B55" s="2" t="s">
        <v>267</v>
      </c>
      <c r="C55" s="2" t="s">
        <v>68</v>
      </c>
      <c r="D55" s="2" t="s">
        <v>340</v>
      </c>
      <c r="E55" s="6">
        <v>1</v>
      </c>
      <c r="F55" s="375">
        <v>18</v>
      </c>
      <c r="G55" s="7">
        <v>9300</v>
      </c>
      <c r="H55" s="7">
        <v>516.66666666666663</v>
      </c>
      <c r="I55" s="2" t="s">
        <v>336</v>
      </c>
      <c r="J55" s="2" t="s">
        <v>302</v>
      </c>
      <c r="K55" s="14">
        <v>9300</v>
      </c>
      <c r="L55" s="2" t="s">
        <v>379</v>
      </c>
      <c r="M55" s="19" t="s">
        <v>840</v>
      </c>
      <c r="N55" s="3">
        <v>6029.74</v>
      </c>
      <c r="O55" s="32">
        <v>8190</v>
      </c>
      <c r="P55">
        <v>236.34</v>
      </c>
    </row>
    <row r="56" spans="1:16" x14ac:dyDescent="0.5">
      <c r="A56" s="13" t="s">
        <v>135</v>
      </c>
      <c r="B56" s="2" t="s">
        <v>268</v>
      </c>
      <c r="C56" s="2" t="s">
        <v>341</v>
      </c>
      <c r="D56" s="2" t="s">
        <v>301</v>
      </c>
      <c r="E56" s="6">
        <v>20</v>
      </c>
      <c r="F56" s="375">
        <v>1</v>
      </c>
      <c r="G56" s="2">
        <v>660</v>
      </c>
      <c r="H56" s="7">
        <v>660</v>
      </c>
      <c r="I56" s="2" t="s">
        <v>342</v>
      </c>
      <c r="J56" s="2" t="s">
        <v>302</v>
      </c>
      <c r="K56" s="14">
        <v>660</v>
      </c>
      <c r="L56" s="2" t="s">
        <v>381</v>
      </c>
      <c r="M56" s="19" t="s">
        <v>342</v>
      </c>
      <c r="N56" s="3">
        <v>398.22</v>
      </c>
      <c r="O56" s="32">
        <v>660</v>
      </c>
      <c r="P56">
        <v>16.339932000000001</v>
      </c>
    </row>
    <row r="57" spans="1:16" x14ac:dyDescent="0.5">
      <c r="A57" s="13" t="s">
        <v>136</v>
      </c>
      <c r="B57" s="2" t="s">
        <v>269</v>
      </c>
      <c r="C57" s="2" t="s">
        <v>341</v>
      </c>
      <c r="D57" s="2" t="s">
        <v>339</v>
      </c>
      <c r="E57" s="6">
        <v>4</v>
      </c>
      <c r="F57" s="375">
        <v>5</v>
      </c>
      <c r="G57" s="7">
        <v>3100</v>
      </c>
      <c r="H57" s="7">
        <v>620</v>
      </c>
      <c r="I57" s="2" t="s">
        <v>342</v>
      </c>
      <c r="J57" s="2" t="s">
        <v>302</v>
      </c>
      <c r="K57" s="14">
        <v>3100</v>
      </c>
      <c r="L57" s="2" t="s">
        <v>381</v>
      </c>
      <c r="M57" s="19" t="s">
        <v>342</v>
      </c>
      <c r="N57" s="3">
        <v>1958.69</v>
      </c>
      <c r="O57" s="32">
        <v>3100</v>
      </c>
      <c r="P57">
        <v>81.386664999999994</v>
      </c>
    </row>
    <row r="58" spans="1:16" x14ac:dyDescent="0.5">
      <c r="A58" s="13" t="s">
        <v>137</v>
      </c>
      <c r="B58" s="2" t="s">
        <v>270</v>
      </c>
      <c r="C58" s="2" t="s">
        <v>341</v>
      </c>
      <c r="D58" s="2" t="s">
        <v>343</v>
      </c>
      <c r="E58" s="6">
        <v>1</v>
      </c>
      <c r="F58" s="375">
        <v>7.5</v>
      </c>
      <c r="G58" s="7">
        <v>4613</v>
      </c>
      <c r="H58" s="7">
        <v>615.06666666666672</v>
      </c>
      <c r="I58" s="2" t="s">
        <v>342</v>
      </c>
      <c r="J58" s="2" t="s">
        <v>302</v>
      </c>
      <c r="K58" s="14">
        <v>4613</v>
      </c>
      <c r="L58" s="2" t="s">
        <v>381</v>
      </c>
      <c r="M58" s="19" t="s">
        <v>342</v>
      </c>
      <c r="N58" s="3">
        <v>2907.76</v>
      </c>
      <c r="O58" s="32">
        <v>4613</v>
      </c>
      <c r="P58">
        <v>121.61050500000002</v>
      </c>
    </row>
    <row r="59" spans="1:16" x14ac:dyDescent="0.5">
      <c r="A59" s="13" t="s">
        <v>138</v>
      </c>
      <c r="B59" s="2" t="s">
        <v>271</v>
      </c>
      <c r="C59" s="2" t="s">
        <v>341</v>
      </c>
      <c r="D59" s="2" t="s">
        <v>344</v>
      </c>
      <c r="E59" s="6">
        <v>1</v>
      </c>
      <c r="F59" s="375">
        <v>10</v>
      </c>
      <c r="G59" s="7">
        <v>6100</v>
      </c>
      <c r="H59" s="7">
        <v>610</v>
      </c>
      <c r="I59" s="2" t="s">
        <v>342</v>
      </c>
      <c r="J59" s="2" t="s">
        <v>302</v>
      </c>
      <c r="K59" s="14">
        <v>6100</v>
      </c>
      <c r="L59" s="2" t="s">
        <v>381</v>
      </c>
      <c r="M59" s="19" t="s">
        <v>342</v>
      </c>
      <c r="N59" s="3">
        <v>3787.67</v>
      </c>
      <c r="O59" s="32">
        <v>6100</v>
      </c>
      <c r="P59">
        <v>161.52105499999999</v>
      </c>
    </row>
    <row r="60" spans="1:16" x14ac:dyDescent="0.5">
      <c r="A60" s="15" t="s">
        <v>345</v>
      </c>
      <c r="B60" s="8" t="s">
        <v>346</v>
      </c>
      <c r="C60" s="9" t="s">
        <v>347</v>
      </c>
      <c r="D60" s="8" t="s">
        <v>348</v>
      </c>
      <c r="E60" s="10">
        <v>4</v>
      </c>
      <c r="F60" s="376">
        <v>3.5</v>
      </c>
      <c r="G60" s="8"/>
      <c r="H60" s="8"/>
      <c r="I60" s="8" t="s">
        <v>328</v>
      </c>
      <c r="J60" s="2" t="s">
        <v>302</v>
      </c>
      <c r="K60" s="14">
        <v>0</v>
      </c>
      <c r="L60" s="2" t="s">
        <v>386</v>
      </c>
      <c r="M60" s="19" t="s">
        <v>852</v>
      </c>
      <c r="N60" s="3">
        <v>1187.99</v>
      </c>
      <c r="O60" s="32">
        <v>0</v>
      </c>
      <c r="P60">
        <v>46.39</v>
      </c>
    </row>
    <row r="61" spans="1:16" x14ac:dyDescent="0.5">
      <c r="A61" s="15" t="s">
        <v>349</v>
      </c>
      <c r="B61" s="8" t="s">
        <v>350</v>
      </c>
      <c r="C61" s="9" t="s">
        <v>351</v>
      </c>
      <c r="D61" s="8" t="s">
        <v>352</v>
      </c>
      <c r="E61" s="10">
        <v>4</v>
      </c>
      <c r="F61" s="376">
        <v>5</v>
      </c>
      <c r="G61" s="8"/>
      <c r="H61" s="8"/>
      <c r="I61" s="8" t="s">
        <v>328</v>
      </c>
      <c r="J61" s="8" t="s">
        <v>305</v>
      </c>
      <c r="K61" s="14">
        <v>0</v>
      </c>
      <c r="L61" s="2" t="s">
        <v>387</v>
      </c>
      <c r="M61" s="19" t="s">
        <v>849</v>
      </c>
      <c r="N61" s="3">
        <v>0</v>
      </c>
      <c r="O61" s="32">
        <v>0</v>
      </c>
      <c r="P61">
        <v>0</v>
      </c>
    </row>
    <row r="62" spans="1:16" x14ac:dyDescent="0.5">
      <c r="A62" s="15" t="s">
        <v>353</v>
      </c>
      <c r="B62" s="8" t="s">
        <v>354</v>
      </c>
      <c r="C62" s="9" t="s">
        <v>355</v>
      </c>
      <c r="D62" s="8" t="s">
        <v>356</v>
      </c>
      <c r="E62" s="10">
        <v>20</v>
      </c>
      <c r="F62" s="376">
        <v>0.5</v>
      </c>
      <c r="G62" s="8"/>
      <c r="H62" s="8"/>
      <c r="I62" s="8" t="s">
        <v>305</v>
      </c>
      <c r="J62" s="8" t="s">
        <v>305</v>
      </c>
      <c r="K62" s="14">
        <v>0</v>
      </c>
      <c r="L62" s="8" t="s">
        <v>305</v>
      </c>
      <c r="M62" s="19" t="s">
        <v>858</v>
      </c>
      <c r="N62" s="3">
        <v>197.84</v>
      </c>
      <c r="O62" s="32">
        <v>0</v>
      </c>
      <c r="P62">
        <v>6.562005000000001</v>
      </c>
    </row>
    <row r="63" spans="1:16" x14ac:dyDescent="0.5">
      <c r="A63" s="15" t="s">
        <v>357</v>
      </c>
      <c r="B63" s="8" t="s">
        <v>358</v>
      </c>
      <c r="C63" s="9" t="s">
        <v>359</v>
      </c>
      <c r="D63" s="8" t="s">
        <v>360</v>
      </c>
      <c r="E63" s="10">
        <v>12</v>
      </c>
      <c r="F63" s="376">
        <v>1</v>
      </c>
      <c r="G63" s="8"/>
      <c r="H63" s="8"/>
      <c r="I63" s="8" t="s">
        <v>305</v>
      </c>
      <c r="J63" s="8" t="s">
        <v>305</v>
      </c>
      <c r="K63" s="14">
        <v>0</v>
      </c>
      <c r="L63" s="8" t="s">
        <v>305</v>
      </c>
      <c r="M63" s="19" t="s">
        <v>855</v>
      </c>
      <c r="N63" s="3">
        <v>423.2</v>
      </c>
      <c r="O63" s="32">
        <v>0</v>
      </c>
      <c r="P63">
        <v>0</v>
      </c>
    </row>
    <row r="64" spans="1:16" x14ac:dyDescent="0.5">
      <c r="A64" s="15" t="s">
        <v>361</v>
      </c>
      <c r="B64" s="8" t="s">
        <v>362</v>
      </c>
      <c r="C64" s="9" t="s">
        <v>72</v>
      </c>
      <c r="D64" s="8" t="s">
        <v>352</v>
      </c>
      <c r="E64" s="10">
        <v>4</v>
      </c>
      <c r="F64" s="376">
        <v>5</v>
      </c>
      <c r="G64" s="8"/>
      <c r="H64" s="8"/>
      <c r="I64" s="8" t="s">
        <v>328</v>
      </c>
      <c r="J64" s="2" t="s">
        <v>302</v>
      </c>
      <c r="K64" s="14">
        <v>0</v>
      </c>
      <c r="L64" s="2" t="s">
        <v>381</v>
      </c>
      <c r="M64" s="19" t="s">
        <v>850</v>
      </c>
      <c r="N64" s="3">
        <v>0</v>
      </c>
      <c r="O64" s="32">
        <v>0</v>
      </c>
      <c r="P64">
        <v>52.141948453608251</v>
      </c>
    </row>
    <row r="65" spans="1:16" x14ac:dyDescent="0.5">
      <c r="A65" s="15" t="s">
        <v>363</v>
      </c>
      <c r="B65" s="8" t="s">
        <v>364</v>
      </c>
      <c r="C65" s="9" t="s">
        <v>347</v>
      </c>
      <c r="D65" s="8" t="s">
        <v>332</v>
      </c>
      <c r="E65" s="10">
        <v>4</v>
      </c>
      <c r="F65" s="376">
        <v>4</v>
      </c>
      <c r="G65" s="8"/>
      <c r="H65" s="8"/>
      <c r="I65" s="8" t="s">
        <v>328</v>
      </c>
      <c r="J65" s="2" t="s">
        <v>302</v>
      </c>
      <c r="K65" s="14">
        <v>0</v>
      </c>
      <c r="L65" s="2" t="s">
        <v>386</v>
      </c>
      <c r="M65" s="19" t="s">
        <v>852</v>
      </c>
      <c r="N65" s="3">
        <v>0</v>
      </c>
      <c r="O65" s="32">
        <v>0</v>
      </c>
      <c r="P65">
        <v>48.736986842105267</v>
      </c>
    </row>
    <row r="66" spans="1:16" x14ac:dyDescent="0.5">
      <c r="A66" s="15" t="s">
        <v>143</v>
      </c>
      <c r="B66" s="8" t="s">
        <v>277</v>
      </c>
      <c r="C66" s="11" t="s">
        <v>365</v>
      </c>
      <c r="D66" s="8" t="s">
        <v>366</v>
      </c>
      <c r="E66" s="10">
        <v>20</v>
      </c>
      <c r="F66" s="376">
        <v>1</v>
      </c>
      <c r="G66" s="8"/>
      <c r="H66" s="8"/>
      <c r="I66" s="8" t="s">
        <v>297</v>
      </c>
      <c r="J66" s="2" t="s">
        <v>302</v>
      </c>
      <c r="K66" s="14">
        <v>0</v>
      </c>
      <c r="L66" s="2" t="s">
        <v>379</v>
      </c>
      <c r="M66" s="19" t="s">
        <v>853</v>
      </c>
      <c r="N66" s="3">
        <v>343.38</v>
      </c>
      <c r="O66" s="32">
        <v>0</v>
      </c>
      <c r="P66">
        <v>13.133975375000002</v>
      </c>
    </row>
    <row r="67" spans="1:16" x14ac:dyDescent="0.5">
      <c r="A67" s="15" t="s">
        <v>164</v>
      </c>
      <c r="B67" s="8" t="s">
        <v>278</v>
      </c>
      <c r="C67" s="12" t="s">
        <v>367</v>
      </c>
      <c r="D67" s="8" t="s">
        <v>366</v>
      </c>
      <c r="E67" s="10">
        <v>20</v>
      </c>
      <c r="F67" s="376">
        <v>1</v>
      </c>
      <c r="G67" s="8"/>
      <c r="H67" s="8"/>
      <c r="I67" s="8" t="s">
        <v>297</v>
      </c>
      <c r="J67" s="2" t="s">
        <v>300</v>
      </c>
      <c r="K67" s="14">
        <v>0</v>
      </c>
      <c r="L67" s="2" t="s">
        <v>386</v>
      </c>
      <c r="M67" s="19" t="s">
        <v>844</v>
      </c>
      <c r="N67" s="3">
        <v>447.79</v>
      </c>
      <c r="O67" s="32">
        <v>0</v>
      </c>
      <c r="P67">
        <v>18.309535128205127</v>
      </c>
    </row>
    <row r="68" spans="1:16" x14ac:dyDescent="0.5">
      <c r="A68" s="15" t="s">
        <v>154</v>
      </c>
      <c r="B68" s="8" t="s">
        <v>279</v>
      </c>
      <c r="C68" s="12" t="s">
        <v>368</v>
      </c>
      <c r="D68" s="8" t="s">
        <v>366</v>
      </c>
      <c r="E68" s="10">
        <v>20</v>
      </c>
      <c r="F68" s="376">
        <v>1</v>
      </c>
      <c r="G68" s="8"/>
      <c r="H68" s="8"/>
      <c r="I68" s="8" t="s">
        <v>297</v>
      </c>
      <c r="J68" s="2" t="s">
        <v>302</v>
      </c>
      <c r="K68" s="14">
        <v>0</v>
      </c>
      <c r="L68" s="2" t="s">
        <v>379</v>
      </c>
      <c r="M68" s="19" t="s">
        <v>854</v>
      </c>
      <c r="N68" s="3">
        <v>368.75</v>
      </c>
      <c r="O68" s="32">
        <v>0</v>
      </c>
      <c r="P68">
        <v>14.808</v>
      </c>
    </row>
    <row r="69" spans="1:16" x14ac:dyDescent="0.5">
      <c r="A69" s="13" t="s">
        <v>369</v>
      </c>
      <c r="B69" s="2" t="s">
        <v>370</v>
      </c>
      <c r="C69" s="6" t="s">
        <v>371</v>
      </c>
      <c r="D69" s="2" t="s">
        <v>1094</v>
      </c>
      <c r="E69" s="6">
        <v>36</v>
      </c>
      <c r="F69" s="375">
        <v>7.4999999999999997E-2</v>
      </c>
      <c r="G69" s="2"/>
      <c r="H69" s="2"/>
      <c r="I69" s="2" t="s">
        <v>305</v>
      </c>
      <c r="J69" s="2" t="s">
        <v>305</v>
      </c>
      <c r="K69" s="14">
        <v>0</v>
      </c>
      <c r="L69" s="2" t="s">
        <v>305</v>
      </c>
      <c r="M69" s="19" t="s">
        <v>876</v>
      </c>
      <c r="N69" s="3">
        <v>132.27000000000001</v>
      </c>
      <c r="O69" s="32">
        <v>170</v>
      </c>
      <c r="P69">
        <v>5.6336805555555554</v>
      </c>
    </row>
    <row r="70" spans="1:16" x14ac:dyDescent="0.5">
      <c r="A70" s="16" t="s">
        <v>372</v>
      </c>
      <c r="B70" s="4" t="s">
        <v>373</v>
      </c>
      <c r="C70" s="17" t="s">
        <v>371</v>
      </c>
      <c r="D70" s="4" t="s">
        <v>1093</v>
      </c>
      <c r="E70" s="17">
        <v>12</v>
      </c>
      <c r="F70" s="377">
        <v>0.4</v>
      </c>
      <c r="G70" s="4"/>
      <c r="H70" s="4"/>
      <c r="I70" s="4" t="s">
        <v>305</v>
      </c>
      <c r="J70" s="4" t="s">
        <v>305</v>
      </c>
      <c r="K70" s="18">
        <v>0</v>
      </c>
      <c r="L70" s="2" t="s">
        <v>305</v>
      </c>
      <c r="M70" s="19" t="s">
        <v>876</v>
      </c>
      <c r="N70" s="5">
        <v>423.95</v>
      </c>
      <c r="O70" s="32">
        <v>552.5</v>
      </c>
      <c r="P70">
        <v>18.029908333333331</v>
      </c>
    </row>
  </sheetData>
  <sheetProtection autoFilter="0"/>
  <conditionalFormatting sqref="A2:A70">
    <cfRule type="duplicateValues" dxfId="195" priority="1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9B2CB-85E9-4B53-BB80-88BF489F7704}">
  <sheetPr codeName="Sheet6">
    <tabColor rgb="FFFF0000"/>
  </sheetPr>
  <dimension ref="A1:H23"/>
  <sheetViews>
    <sheetView workbookViewId="0">
      <selection activeCell="D11" sqref="D11"/>
    </sheetView>
  </sheetViews>
  <sheetFormatPr defaultRowHeight="16.5" x14ac:dyDescent="0.5"/>
  <cols>
    <col min="1" max="1" width="5.81640625" customWidth="1"/>
    <col min="2" max="2" width="23.54296875" customWidth="1"/>
    <col min="3" max="3" width="13" customWidth="1"/>
    <col min="4" max="4" width="14.81640625" customWidth="1"/>
    <col min="5" max="6" width="19" customWidth="1"/>
    <col min="7" max="7" width="37.90625" customWidth="1"/>
    <col min="8" max="8" width="37.26953125" customWidth="1"/>
  </cols>
  <sheetData>
    <row r="1" spans="1:8" x14ac:dyDescent="0.5">
      <c r="A1" s="21" t="s">
        <v>422</v>
      </c>
      <c r="B1" s="22" t="s">
        <v>423</v>
      </c>
      <c r="C1" s="22" t="s">
        <v>424</v>
      </c>
      <c r="D1" s="22" t="s">
        <v>8</v>
      </c>
      <c r="E1" s="22" t="s">
        <v>425</v>
      </c>
      <c r="F1" s="22" t="s">
        <v>426</v>
      </c>
      <c r="G1" s="23" t="s">
        <v>427</v>
      </c>
      <c r="H1" s="22" t="s">
        <v>697</v>
      </c>
    </row>
    <row r="2" spans="1:8" x14ac:dyDescent="0.5">
      <c r="A2" s="24">
        <v>16832</v>
      </c>
      <c r="B2" s="2" t="s">
        <v>83</v>
      </c>
      <c r="C2" s="2" t="s">
        <v>388</v>
      </c>
      <c r="D2" s="2" t="s">
        <v>389</v>
      </c>
      <c r="E2" s="20" t="s">
        <v>390</v>
      </c>
      <c r="F2" s="2" t="str">
        <f>B13</f>
        <v>Raihan Siddiqui</v>
      </c>
      <c r="G2" s="25" t="s">
        <v>391</v>
      </c>
      <c r="H2" s="19" t="s">
        <v>698</v>
      </c>
    </row>
    <row r="3" spans="1:8" x14ac:dyDescent="0.5">
      <c r="A3" s="94">
        <v>17305</v>
      </c>
      <c r="B3" s="37" t="s">
        <v>92</v>
      </c>
      <c r="C3" s="37" t="s">
        <v>392</v>
      </c>
      <c r="D3" s="37" t="s">
        <v>393</v>
      </c>
      <c r="E3" s="55" t="s">
        <v>394</v>
      </c>
      <c r="F3" s="37" t="str">
        <f>B14</f>
        <v>Abdul Matin</v>
      </c>
      <c r="G3" s="56" t="s">
        <v>395</v>
      </c>
      <c r="H3" s="57" t="s">
        <v>698</v>
      </c>
    </row>
    <row r="4" spans="1:8" x14ac:dyDescent="0.5">
      <c r="A4" s="24">
        <v>17132</v>
      </c>
      <c r="B4" s="2" t="s">
        <v>79</v>
      </c>
      <c r="C4" s="2" t="s">
        <v>396</v>
      </c>
      <c r="D4" s="2" t="s">
        <v>397</v>
      </c>
      <c r="E4" s="20" t="s">
        <v>398</v>
      </c>
      <c r="F4" s="2" t="str">
        <f>B14</f>
        <v>Abdul Matin</v>
      </c>
      <c r="G4" s="25" t="s">
        <v>399</v>
      </c>
      <c r="H4" s="19" t="s">
        <v>698</v>
      </c>
    </row>
    <row r="5" spans="1:8" x14ac:dyDescent="0.5">
      <c r="A5" s="24">
        <v>16831</v>
      </c>
      <c r="B5" s="2" t="s">
        <v>64</v>
      </c>
      <c r="C5" s="2" t="s">
        <v>388</v>
      </c>
      <c r="D5" s="2" t="s">
        <v>400</v>
      </c>
      <c r="E5" s="20" t="s">
        <v>401</v>
      </c>
      <c r="F5" s="2" t="str">
        <f>B14</f>
        <v>Abdul Matin</v>
      </c>
      <c r="G5" s="25" t="s">
        <v>402</v>
      </c>
      <c r="H5" s="19" t="s">
        <v>698</v>
      </c>
    </row>
    <row r="6" spans="1:8" x14ac:dyDescent="0.5">
      <c r="A6" s="54">
        <v>16574</v>
      </c>
      <c r="B6" s="37" t="s">
        <v>281</v>
      </c>
      <c r="C6" s="37" t="s">
        <v>388</v>
      </c>
      <c r="D6" s="37" t="s">
        <v>52</v>
      </c>
      <c r="E6" s="55" t="s">
        <v>403</v>
      </c>
      <c r="F6" s="37" t="str">
        <f>B14</f>
        <v>Abdul Matin</v>
      </c>
      <c r="G6" s="56" t="s">
        <v>404</v>
      </c>
      <c r="H6" s="57" t="s">
        <v>699</v>
      </c>
    </row>
    <row r="7" spans="1:8" x14ac:dyDescent="0.5">
      <c r="A7" s="24">
        <v>16811</v>
      </c>
      <c r="B7" s="2" t="s">
        <v>45</v>
      </c>
      <c r="C7" s="2" t="s">
        <v>388</v>
      </c>
      <c r="D7" s="2" t="s">
        <v>405</v>
      </c>
      <c r="E7" s="20" t="s">
        <v>406</v>
      </c>
      <c r="F7" s="2" t="str">
        <f>B12</f>
        <v>Razur Rahman (Bipul)</v>
      </c>
      <c r="G7" s="25" t="s">
        <v>407</v>
      </c>
      <c r="H7" s="19" t="s">
        <v>698</v>
      </c>
    </row>
    <row r="8" spans="1:8" x14ac:dyDescent="0.5">
      <c r="A8" s="24">
        <v>16812</v>
      </c>
      <c r="B8" s="2" t="s">
        <v>27</v>
      </c>
      <c r="C8" s="2" t="s">
        <v>388</v>
      </c>
      <c r="D8" s="2" t="s">
        <v>408</v>
      </c>
      <c r="E8" s="20" t="s">
        <v>409</v>
      </c>
      <c r="F8" s="2" t="str">
        <f>B12</f>
        <v>Razur Rahman (Bipul)</v>
      </c>
      <c r="G8" s="25" t="s">
        <v>410</v>
      </c>
      <c r="H8" s="19" t="s">
        <v>698</v>
      </c>
    </row>
    <row r="9" spans="1:8" x14ac:dyDescent="0.5">
      <c r="A9" s="27">
        <v>17343</v>
      </c>
      <c r="B9" s="4" t="s">
        <v>39</v>
      </c>
      <c r="C9" s="4" t="s">
        <v>388</v>
      </c>
      <c r="D9" s="4" t="s">
        <v>700</v>
      </c>
      <c r="E9" s="28" t="s">
        <v>420</v>
      </c>
      <c r="F9" s="4" t="str">
        <f>B14</f>
        <v>Abdul Matin</v>
      </c>
      <c r="G9" s="29" t="s">
        <v>421</v>
      </c>
      <c r="H9" s="19" t="s">
        <v>698</v>
      </c>
    </row>
    <row r="10" spans="1:8" x14ac:dyDescent="0.5">
      <c r="A10" s="27">
        <v>17379</v>
      </c>
      <c r="B10" s="4" t="s">
        <v>701</v>
      </c>
      <c r="C10" s="2" t="s">
        <v>392</v>
      </c>
      <c r="D10" s="4" t="s">
        <v>684</v>
      </c>
      <c r="E10" s="28" t="s">
        <v>403</v>
      </c>
      <c r="F10" s="4" t="str">
        <f>B14</f>
        <v>Abdul Matin</v>
      </c>
      <c r="G10" s="29" t="s">
        <v>702</v>
      </c>
      <c r="H10" s="19" t="s">
        <v>698</v>
      </c>
    </row>
    <row r="11" spans="1:8" x14ac:dyDescent="0.5">
      <c r="A11" s="26">
        <v>17304</v>
      </c>
      <c r="B11" s="2" t="s">
        <v>280</v>
      </c>
      <c r="C11" s="2" t="s">
        <v>388</v>
      </c>
      <c r="D11" s="2" t="s">
        <v>282</v>
      </c>
      <c r="E11" s="20" t="s">
        <v>411</v>
      </c>
      <c r="F11" s="2" t="str">
        <f>B13</f>
        <v>Raihan Siddiqui</v>
      </c>
      <c r="G11" s="25" t="s">
        <v>412</v>
      </c>
      <c r="H11" s="19" t="s">
        <v>698</v>
      </c>
    </row>
    <row r="12" spans="1:8" x14ac:dyDescent="0.5">
      <c r="A12" s="26">
        <v>17307</v>
      </c>
      <c r="B12" s="2" t="s">
        <v>28</v>
      </c>
      <c r="C12" s="2" t="s">
        <v>2</v>
      </c>
      <c r="D12" s="2" t="s">
        <v>703</v>
      </c>
      <c r="E12" s="20" t="s">
        <v>413</v>
      </c>
      <c r="F12" s="2" t="s">
        <v>414</v>
      </c>
      <c r="G12" s="25" t="s">
        <v>415</v>
      </c>
      <c r="H12" s="19" t="s">
        <v>698</v>
      </c>
    </row>
    <row r="13" spans="1:8" x14ac:dyDescent="0.5">
      <c r="A13" s="26">
        <v>17342</v>
      </c>
      <c r="B13" s="2" t="s">
        <v>84</v>
      </c>
      <c r="C13" s="2" t="s">
        <v>2</v>
      </c>
      <c r="D13" s="2" t="s">
        <v>704</v>
      </c>
      <c r="E13" s="20" t="s">
        <v>416</v>
      </c>
      <c r="F13" s="2" t="s">
        <v>414</v>
      </c>
      <c r="G13" s="25" t="s">
        <v>417</v>
      </c>
      <c r="H13" s="19" t="s">
        <v>698</v>
      </c>
    </row>
    <row r="14" spans="1:8" x14ac:dyDescent="0.5">
      <c r="A14" s="26">
        <v>17341</v>
      </c>
      <c r="B14" s="2" t="s">
        <v>40</v>
      </c>
      <c r="C14" s="2" t="s">
        <v>2</v>
      </c>
      <c r="D14" s="2" t="s">
        <v>705</v>
      </c>
      <c r="E14" s="20" t="s">
        <v>418</v>
      </c>
      <c r="F14" s="2" t="s">
        <v>414</v>
      </c>
      <c r="G14" s="25" t="s">
        <v>419</v>
      </c>
      <c r="H14" s="19" t="s">
        <v>698</v>
      </c>
    </row>
    <row r="19" spans="5:6" x14ac:dyDescent="0.5">
      <c r="E19" s="2" t="s">
        <v>28</v>
      </c>
      <c r="F19" s="2" t="s">
        <v>428</v>
      </c>
    </row>
    <row r="20" spans="5:6" x14ac:dyDescent="0.5">
      <c r="E20" s="2" t="s">
        <v>84</v>
      </c>
      <c r="F20" s="2" t="s">
        <v>429</v>
      </c>
    </row>
    <row r="21" spans="5:6" x14ac:dyDescent="0.5">
      <c r="E21" s="2" t="s">
        <v>40</v>
      </c>
      <c r="F21" s="2" t="s">
        <v>430</v>
      </c>
    </row>
    <row r="22" spans="5:6" x14ac:dyDescent="0.5">
      <c r="E22" s="2" t="s">
        <v>51</v>
      </c>
      <c r="F22" s="2" t="s">
        <v>51</v>
      </c>
    </row>
    <row r="23" spans="5:6" x14ac:dyDescent="0.5">
      <c r="E23" s="2" t="s">
        <v>87</v>
      </c>
      <c r="F23" s="2" t="s">
        <v>87</v>
      </c>
    </row>
  </sheetData>
  <sheetProtection algorithmName="SHA-512" hashValue="Abn2h1TuouNiiJbmocwMfDR4KrewPXlc1ZypUBxUu60u+g2URs+/MNaPYI71tS8nASwOOZDhlK3ZFjssf9nvgQ==" saltValue="FhjTFZSic2VCr7FoUz+4nQ==" spinCount="100000" sheet="1" objects="1" scenarios="1" autoFilter="0"/>
  <hyperlinks>
    <hyperlink ref="G14" r:id="rId1" xr:uid="{FECF0DF1-E34F-45A1-A9DB-2E64DC636369}"/>
    <hyperlink ref="G9" r:id="rId2" xr:uid="{9A31535B-ED7C-41A7-B62A-B473FD58A533}"/>
    <hyperlink ref="G2" r:id="rId3" xr:uid="{0E9EB336-F886-440C-9795-AAD402DD8946}"/>
    <hyperlink ref="G3" r:id="rId4" xr:uid="{C0A59ED6-32E5-444E-AFBB-AF3AFEB98AE5}"/>
    <hyperlink ref="G4" r:id="rId5" xr:uid="{5CD98D4B-84C5-401E-8763-34E5ACD096C1}"/>
    <hyperlink ref="G5" r:id="rId6" xr:uid="{4E6549C6-8D80-4CB8-8D0D-1414CCF184AE}"/>
    <hyperlink ref="G6" r:id="rId7" xr:uid="{C49B407B-B067-4795-BCA6-2C955CC516A6}"/>
    <hyperlink ref="G7" r:id="rId8" xr:uid="{E0AD54D3-108E-43E2-92F8-6A9488DBE69B}"/>
    <hyperlink ref="G8" r:id="rId9" xr:uid="{343330E6-2E8A-4F48-BFA2-132B15AFD339}"/>
    <hyperlink ref="G11" r:id="rId10" xr:uid="{F9E472AF-1B06-478B-8767-8B613D456DE6}"/>
    <hyperlink ref="G12" r:id="rId11" xr:uid="{1599F1DC-DBA8-44D9-A294-19AD13B950B6}"/>
    <hyperlink ref="G13" r:id="rId12" xr:uid="{C3E9E0FE-85D1-4A54-A731-BCA661B2E866}"/>
  </hyperlinks>
  <pageMargins left="0.7" right="0.7" top="0.75" bottom="0.75" header="0.3" footer="0.3"/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CE944-309E-49E0-9B2D-7C869A86D135}">
  <sheetPr codeName="Sheet7">
    <tabColor rgb="FFFF0000"/>
  </sheetPr>
  <dimension ref="A1:O65"/>
  <sheetViews>
    <sheetView workbookViewId="0">
      <selection activeCell="A31" sqref="A31:XFD31"/>
    </sheetView>
  </sheetViews>
  <sheetFormatPr defaultRowHeight="16.5" x14ac:dyDescent="0.5"/>
  <cols>
    <col min="1" max="1" width="7.81640625" customWidth="1"/>
    <col min="2" max="2" width="31" customWidth="1"/>
    <col min="3" max="3" width="22.81640625" customWidth="1"/>
    <col min="4" max="4" width="11.81640625" customWidth="1"/>
    <col min="5" max="5" width="40.26953125" customWidth="1"/>
    <col min="6" max="6" width="11.36328125" customWidth="1"/>
    <col min="7" max="7" width="23.54296875" customWidth="1"/>
    <col min="8" max="8" width="19" customWidth="1"/>
    <col min="9" max="9" width="8.453125" customWidth="1"/>
    <col min="10" max="10" width="10.7265625" customWidth="1"/>
    <col min="11" max="11" width="39.08984375" customWidth="1"/>
    <col min="12" max="12" width="27.08984375" customWidth="1"/>
    <col min="13" max="13" width="35" customWidth="1"/>
    <col min="14" max="14" width="29.26953125" customWidth="1"/>
    <col min="15" max="15" width="12.90625" customWidth="1"/>
  </cols>
  <sheetData>
    <row r="1" spans="1:15" x14ac:dyDescent="0.5">
      <c r="A1" s="22" t="s">
        <v>5</v>
      </c>
      <c r="B1" s="22" t="s">
        <v>440</v>
      </c>
      <c r="C1" s="22" t="s">
        <v>441</v>
      </c>
      <c r="D1" s="22" t="s">
        <v>442</v>
      </c>
      <c r="E1" s="22" t="s">
        <v>8</v>
      </c>
      <c r="F1" s="22" t="s">
        <v>443</v>
      </c>
      <c r="G1" s="22" t="s">
        <v>7</v>
      </c>
      <c r="H1" s="22" t="s">
        <v>2</v>
      </c>
      <c r="I1" s="22" t="s">
        <v>374</v>
      </c>
      <c r="J1" s="22" t="s">
        <v>444</v>
      </c>
      <c r="K1" s="31" t="s">
        <v>445</v>
      </c>
      <c r="L1" s="22" t="s">
        <v>446</v>
      </c>
      <c r="M1" s="22" t="s">
        <v>447</v>
      </c>
      <c r="N1" s="22" t="s">
        <v>448</v>
      </c>
      <c r="O1" s="22" t="s">
        <v>449</v>
      </c>
    </row>
    <row r="2" spans="1:15" x14ac:dyDescent="0.5">
      <c r="A2" s="2" t="s">
        <v>97</v>
      </c>
      <c r="B2" s="6" t="s">
        <v>98</v>
      </c>
      <c r="C2" s="6" t="s">
        <v>450</v>
      </c>
      <c r="D2" s="2" t="s">
        <v>451</v>
      </c>
      <c r="E2" s="6" t="s">
        <v>452</v>
      </c>
      <c r="F2" s="6" t="s">
        <v>453</v>
      </c>
      <c r="G2" s="4" t="s">
        <v>709</v>
      </c>
      <c r="H2" s="2" t="s">
        <v>40</v>
      </c>
      <c r="I2" s="2" t="s">
        <v>430</v>
      </c>
      <c r="J2" s="2" t="s">
        <v>1</v>
      </c>
      <c r="K2" s="2" t="s">
        <v>454</v>
      </c>
      <c r="L2" s="2" t="s">
        <v>455</v>
      </c>
      <c r="M2" s="2" t="str">
        <f>N2&amp;", "&amp;O2</f>
        <v>পাংশা, রাজবাড়ী</v>
      </c>
      <c r="N2" s="2" t="s">
        <v>456</v>
      </c>
      <c r="O2" s="2" t="s">
        <v>457</v>
      </c>
    </row>
    <row r="3" spans="1:15" x14ac:dyDescent="0.5">
      <c r="A3" s="2" t="s">
        <v>170</v>
      </c>
      <c r="B3" s="6" t="s">
        <v>171</v>
      </c>
      <c r="C3" s="6" t="s">
        <v>458</v>
      </c>
      <c r="D3" s="2" t="s">
        <v>459</v>
      </c>
      <c r="E3" s="6" t="s">
        <v>460</v>
      </c>
      <c r="F3" s="6" t="s">
        <v>400</v>
      </c>
      <c r="G3" s="2" t="s">
        <v>64</v>
      </c>
      <c r="H3" s="2" t="s">
        <v>40</v>
      </c>
      <c r="I3" s="2" t="s">
        <v>430</v>
      </c>
      <c r="J3" s="2" t="s">
        <v>1</v>
      </c>
      <c r="K3" s="2" t="s">
        <v>461</v>
      </c>
      <c r="L3" s="2" t="s">
        <v>462</v>
      </c>
      <c r="M3" s="2" t="str">
        <f t="shared" ref="M3:M35" si="0">N3&amp;", "&amp;O3</f>
        <v>খুলনা সদর, খুলনা</v>
      </c>
      <c r="N3" s="2" t="s">
        <v>463</v>
      </c>
      <c r="O3" s="2" t="s">
        <v>464</v>
      </c>
    </row>
    <row r="4" spans="1:15" x14ac:dyDescent="0.5">
      <c r="A4" s="2" t="s">
        <v>102</v>
      </c>
      <c r="B4" s="6" t="s">
        <v>46</v>
      </c>
      <c r="C4" s="6" t="s">
        <v>465</v>
      </c>
      <c r="D4" s="2" t="s">
        <v>466</v>
      </c>
      <c r="E4" s="6" t="s">
        <v>47</v>
      </c>
      <c r="F4" s="6" t="s">
        <v>467</v>
      </c>
      <c r="G4" s="2" t="s">
        <v>45</v>
      </c>
      <c r="H4" s="2" t="s">
        <v>28</v>
      </c>
      <c r="I4" s="2" t="s">
        <v>428</v>
      </c>
      <c r="J4" s="2" t="s">
        <v>1</v>
      </c>
      <c r="K4" s="2" t="s">
        <v>468</v>
      </c>
      <c r="L4" s="2" t="s">
        <v>469</v>
      </c>
      <c r="M4" s="2" t="str">
        <f t="shared" si="0"/>
        <v>তালতলা, সিলেট</v>
      </c>
      <c r="N4" s="2" t="s">
        <v>470</v>
      </c>
      <c r="O4" s="2" t="s">
        <v>471</v>
      </c>
    </row>
    <row r="5" spans="1:15" x14ac:dyDescent="0.5">
      <c r="A5" s="2" t="s">
        <v>122</v>
      </c>
      <c r="B5" s="6" t="s">
        <v>431</v>
      </c>
      <c r="C5" s="6" t="s">
        <v>472</v>
      </c>
      <c r="D5" s="2" t="s">
        <v>432</v>
      </c>
      <c r="E5" s="6" t="s">
        <v>276</v>
      </c>
      <c r="F5" s="6" t="s">
        <v>393</v>
      </c>
      <c r="G5" s="2" t="s">
        <v>39</v>
      </c>
      <c r="H5" s="2" t="s">
        <v>40</v>
      </c>
      <c r="I5" s="2" t="s">
        <v>430</v>
      </c>
      <c r="J5" s="2" t="s">
        <v>1</v>
      </c>
      <c r="K5" s="2" t="s">
        <v>473</v>
      </c>
      <c r="L5" s="2" t="s">
        <v>474</v>
      </c>
      <c r="M5" s="2" t="str">
        <f t="shared" si="0"/>
        <v>কোনাবাড়ি, গাজীপুর</v>
      </c>
      <c r="N5" s="2" t="s">
        <v>475</v>
      </c>
      <c r="O5" s="2" t="s">
        <v>476</v>
      </c>
    </row>
    <row r="6" spans="1:15" x14ac:dyDescent="0.5">
      <c r="A6" s="2" t="s">
        <v>139</v>
      </c>
      <c r="B6" s="6" t="s">
        <v>140</v>
      </c>
      <c r="C6" s="6" t="s">
        <v>477</v>
      </c>
      <c r="D6" s="2" t="s">
        <v>478</v>
      </c>
      <c r="E6" s="6" t="s">
        <v>479</v>
      </c>
      <c r="F6" s="6" t="s">
        <v>389</v>
      </c>
      <c r="G6" s="2" t="s">
        <v>83</v>
      </c>
      <c r="H6" s="2" t="s">
        <v>84</v>
      </c>
      <c r="I6" s="2" t="s">
        <v>429</v>
      </c>
      <c r="J6" s="2" t="s">
        <v>1</v>
      </c>
      <c r="K6" s="2" t="s">
        <v>480</v>
      </c>
      <c r="L6" s="2" t="s">
        <v>481</v>
      </c>
      <c r="M6" s="2" t="str">
        <f t="shared" si="0"/>
        <v>রাজশাহী সদর, রাজশাহী</v>
      </c>
      <c r="N6" s="2" t="s">
        <v>482</v>
      </c>
      <c r="O6" s="2" t="s">
        <v>483</v>
      </c>
    </row>
    <row r="7" spans="1:15" x14ac:dyDescent="0.5">
      <c r="A7" s="2" t="s">
        <v>90</v>
      </c>
      <c r="B7" s="6" t="s">
        <v>91</v>
      </c>
      <c r="C7" s="6" t="s">
        <v>484</v>
      </c>
      <c r="D7" s="2" t="s">
        <v>485</v>
      </c>
      <c r="E7" s="6" t="s">
        <v>93</v>
      </c>
      <c r="F7" s="6" t="s">
        <v>52</v>
      </c>
      <c r="G7" s="2" t="s">
        <v>39</v>
      </c>
      <c r="H7" s="2" t="s">
        <v>40</v>
      </c>
      <c r="I7" s="2" t="s">
        <v>430</v>
      </c>
      <c r="J7" s="2" t="s">
        <v>1</v>
      </c>
      <c r="K7" s="2" t="s">
        <v>713</v>
      </c>
      <c r="L7" s="2" t="s">
        <v>486</v>
      </c>
      <c r="M7" s="2" t="str">
        <f t="shared" si="0"/>
        <v>সাভার, ঢাকা</v>
      </c>
      <c r="N7" s="2" t="s">
        <v>487</v>
      </c>
      <c r="O7" s="2" t="s">
        <v>488</v>
      </c>
    </row>
    <row r="8" spans="1:15" x14ac:dyDescent="0.5">
      <c r="A8" s="2" t="s">
        <v>69</v>
      </c>
      <c r="B8" s="6" t="s">
        <v>41</v>
      </c>
      <c r="C8" s="6" t="s">
        <v>489</v>
      </c>
      <c r="D8" s="2" t="s">
        <v>490</v>
      </c>
      <c r="E8" s="6" t="s">
        <v>42</v>
      </c>
      <c r="F8" s="6" t="s">
        <v>52</v>
      </c>
      <c r="G8" s="2" t="s">
        <v>39</v>
      </c>
      <c r="H8" s="2" t="s">
        <v>40</v>
      </c>
      <c r="I8" s="2" t="s">
        <v>430</v>
      </c>
      <c r="J8" s="2" t="s">
        <v>1</v>
      </c>
      <c r="K8" s="2" t="s">
        <v>491</v>
      </c>
      <c r="L8" s="2" t="s">
        <v>492</v>
      </c>
      <c r="M8" s="2" t="str">
        <f t="shared" si="0"/>
        <v>মিরপুর ১০, ঢাকা</v>
      </c>
      <c r="N8" s="2" t="s">
        <v>493</v>
      </c>
      <c r="O8" s="2" t="s">
        <v>488</v>
      </c>
    </row>
    <row r="9" spans="1:15" x14ac:dyDescent="0.5">
      <c r="A9" s="2" t="s">
        <v>162</v>
      </c>
      <c r="B9" s="6" t="s">
        <v>163</v>
      </c>
      <c r="C9" s="6" t="s">
        <v>494</v>
      </c>
      <c r="D9" s="2" t="s">
        <v>495</v>
      </c>
      <c r="E9" s="6" t="s">
        <v>496</v>
      </c>
      <c r="F9" s="6" t="s">
        <v>497</v>
      </c>
      <c r="G9" s="2" t="s">
        <v>64</v>
      </c>
      <c r="H9" s="2" t="s">
        <v>40</v>
      </c>
      <c r="I9" s="2" t="s">
        <v>430</v>
      </c>
      <c r="J9" s="2" t="s">
        <v>1</v>
      </c>
      <c r="K9" s="2" t="s">
        <v>498</v>
      </c>
      <c r="L9" s="2" t="s">
        <v>499</v>
      </c>
      <c r="M9" s="2" t="str">
        <f t="shared" si="0"/>
        <v>বরিশাল সদর, বরিশাল</v>
      </c>
      <c r="N9" s="2" t="s">
        <v>500</v>
      </c>
      <c r="O9" s="2" t="s">
        <v>501</v>
      </c>
    </row>
    <row r="10" spans="1:15" x14ac:dyDescent="0.5">
      <c r="A10" s="2" t="s">
        <v>116</v>
      </c>
      <c r="B10" s="6" t="s">
        <v>284</v>
      </c>
      <c r="C10" s="6" t="s">
        <v>502</v>
      </c>
      <c r="D10" s="2" t="s">
        <v>283</v>
      </c>
      <c r="E10" s="6" t="s">
        <v>285</v>
      </c>
      <c r="F10" s="6" t="s">
        <v>52</v>
      </c>
      <c r="G10" s="2" t="s">
        <v>79</v>
      </c>
      <c r="H10" s="2" t="s">
        <v>40</v>
      </c>
      <c r="I10" s="2" t="s">
        <v>430</v>
      </c>
      <c r="J10" s="2" t="s">
        <v>1</v>
      </c>
      <c r="K10" s="2" t="s">
        <v>503</v>
      </c>
      <c r="L10" s="2" t="s">
        <v>504</v>
      </c>
      <c r="M10" s="2" t="str">
        <f t="shared" si="0"/>
        <v>সৈয়দাবাদ, ঢাকা</v>
      </c>
      <c r="N10" s="2" t="s">
        <v>505</v>
      </c>
      <c r="O10" s="2" t="s">
        <v>488</v>
      </c>
    </row>
    <row r="11" spans="1:15" x14ac:dyDescent="0.5">
      <c r="A11" s="2" t="s">
        <v>118</v>
      </c>
      <c r="B11" s="6" t="s">
        <v>119</v>
      </c>
      <c r="C11" s="6" t="s">
        <v>506</v>
      </c>
      <c r="D11" s="2" t="s">
        <v>507</v>
      </c>
      <c r="E11" s="6" t="s">
        <v>508</v>
      </c>
      <c r="F11" s="6" t="s">
        <v>509</v>
      </c>
      <c r="G11" s="2" t="s">
        <v>45</v>
      </c>
      <c r="H11" s="2" t="s">
        <v>28</v>
      </c>
      <c r="I11" s="2" t="s">
        <v>428</v>
      </c>
      <c r="J11" s="2" t="s">
        <v>1</v>
      </c>
      <c r="K11" s="2" t="s">
        <v>510</v>
      </c>
      <c r="L11" s="2" t="s">
        <v>511</v>
      </c>
      <c r="M11" s="2" t="str">
        <f t="shared" si="0"/>
        <v>চৌমহুনি, নোয়াখালী</v>
      </c>
      <c r="N11" s="2" t="s">
        <v>512</v>
      </c>
      <c r="O11" s="2" t="s">
        <v>513</v>
      </c>
    </row>
    <row r="12" spans="1:15" x14ac:dyDescent="0.5">
      <c r="A12" s="2" t="s">
        <v>103</v>
      </c>
      <c r="B12" s="6" t="s">
        <v>85</v>
      </c>
      <c r="C12" s="6" t="s">
        <v>514</v>
      </c>
      <c r="D12" s="2" t="s">
        <v>515</v>
      </c>
      <c r="E12" s="6" t="s">
        <v>86</v>
      </c>
      <c r="F12" s="6" t="s">
        <v>516</v>
      </c>
      <c r="G12" s="2" t="s">
        <v>83</v>
      </c>
      <c r="H12" s="2" t="s">
        <v>84</v>
      </c>
      <c r="I12" s="2" t="s">
        <v>429</v>
      </c>
      <c r="J12" s="2" t="s">
        <v>1</v>
      </c>
      <c r="K12" s="2" t="s">
        <v>517</v>
      </c>
      <c r="L12" s="2" t="s">
        <v>518</v>
      </c>
      <c r="M12" s="2" t="str">
        <f t="shared" si="0"/>
        <v>বগুড়া সদর, বগুড়া</v>
      </c>
      <c r="N12" s="2" t="s">
        <v>519</v>
      </c>
      <c r="O12" s="2" t="s">
        <v>520</v>
      </c>
    </row>
    <row r="13" spans="1:15" x14ac:dyDescent="0.5">
      <c r="A13" s="2" t="s">
        <v>114</v>
      </c>
      <c r="B13" s="6" t="s">
        <v>153</v>
      </c>
      <c r="C13" s="6" t="s">
        <v>521</v>
      </c>
      <c r="D13" s="2" t="s">
        <v>522</v>
      </c>
      <c r="E13" s="6" t="s">
        <v>523</v>
      </c>
      <c r="F13" s="6" t="s">
        <v>524</v>
      </c>
      <c r="G13" s="4" t="s">
        <v>709</v>
      </c>
      <c r="H13" s="2" t="s">
        <v>40</v>
      </c>
      <c r="I13" s="2" t="s">
        <v>430</v>
      </c>
      <c r="J13" s="2" t="s">
        <v>1</v>
      </c>
      <c r="K13" s="2" t="s">
        <v>525</v>
      </c>
      <c r="L13" s="2" t="s">
        <v>526</v>
      </c>
      <c r="M13" s="2" t="str">
        <f t="shared" si="0"/>
        <v>সারিয়তপুর সদর, শারিয়তপুর</v>
      </c>
      <c r="N13" s="2" t="s">
        <v>527</v>
      </c>
      <c r="O13" s="2" t="s">
        <v>528</v>
      </c>
    </row>
    <row r="14" spans="1:15" x14ac:dyDescent="0.5">
      <c r="A14" s="2" t="s">
        <v>115</v>
      </c>
      <c r="B14" s="6" t="s">
        <v>70</v>
      </c>
      <c r="C14" s="6" t="s">
        <v>529</v>
      </c>
      <c r="D14" s="2" t="s">
        <v>530</v>
      </c>
      <c r="E14" s="6" t="s">
        <v>80</v>
      </c>
      <c r="F14" s="6" t="s">
        <v>52</v>
      </c>
      <c r="G14" s="2" t="s">
        <v>79</v>
      </c>
      <c r="H14" s="2" t="s">
        <v>40</v>
      </c>
      <c r="I14" s="2" t="s">
        <v>430</v>
      </c>
      <c r="J14" s="2" t="s">
        <v>1</v>
      </c>
      <c r="K14" s="2" t="s">
        <v>531</v>
      </c>
      <c r="L14" s="2" t="s">
        <v>532</v>
      </c>
      <c r="M14" s="2" t="str">
        <f t="shared" si="0"/>
        <v>ওয়ারি, ঢাকা</v>
      </c>
      <c r="N14" s="2" t="s">
        <v>533</v>
      </c>
      <c r="O14" s="2" t="s">
        <v>488</v>
      </c>
    </row>
    <row r="15" spans="1:15" x14ac:dyDescent="0.5">
      <c r="A15" s="2" t="s">
        <v>100</v>
      </c>
      <c r="B15" s="6" t="s">
        <v>101</v>
      </c>
      <c r="C15" s="6" t="s">
        <v>534</v>
      </c>
      <c r="D15" s="2" t="s">
        <v>535</v>
      </c>
      <c r="E15" s="6" t="s">
        <v>536</v>
      </c>
      <c r="F15" s="6" t="s">
        <v>405</v>
      </c>
      <c r="G15" s="2" t="s">
        <v>45</v>
      </c>
      <c r="H15" s="2" t="s">
        <v>28</v>
      </c>
      <c r="I15" s="2" t="s">
        <v>428</v>
      </c>
      <c r="J15" s="2" t="s">
        <v>1</v>
      </c>
      <c r="K15" s="2" t="s">
        <v>537</v>
      </c>
      <c r="L15" s="2" t="s">
        <v>538</v>
      </c>
      <c r="M15" s="2" t="str">
        <f t="shared" si="0"/>
        <v>পদুয়ার বাজার বিশ্ব রোড, কুমিল্লা</v>
      </c>
      <c r="N15" s="2" t="s">
        <v>539</v>
      </c>
      <c r="O15" s="2" t="s">
        <v>540</v>
      </c>
    </row>
    <row r="16" spans="1:15" x14ac:dyDescent="0.5">
      <c r="A16" s="2" t="s">
        <v>123</v>
      </c>
      <c r="B16" s="6" t="s">
        <v>124</v>
      </c>
      <c r="C16" s="6" t="s">
        <v>437</v>
      </c>
      <c r="D16" s="2" t="s">
        <v>438</v>
      </c>
      <c r="E16" s="6" t="s">
        <v>80</v>
      </c>
      <c r="F16" s="6" t="s">
        <v>52</v>
      </c>
      <c r="G16" s="2" t="s">
        <v>79</v>
      </c>
      <c r="H16" s="2" t="s">
        <v>40</v>
      </c>
      <c r="I16" s="2" t="s">
        <v>430</v>
      </c>
      <c r="J16" s="2" t="s">
        <v>1</v>
      </c>
      <c r="K16" s="2" t="s">
        <v>541</v>
      </c>
      <c r="L16" s="2" t="s">
        <v>542</v>
      </c>
      <c r="M16" s="2" t="str">
        <f t="shared" si="0"/>
        <v>ওয়ারি, ঢাকা</v>
      </c>
      <c r="N16" s="2" t="s">
        <v>533</v>
      </c>
      <c r="O16" s="2" t="s">
        <v>488</v>
      </c>
    </row>
    <row r="17" spans="1:15" x14ac:dyDescent="0.5">
      <c r="A17" s="2" t="s">
        <v>127</v>
      </c>
      <c r="B17" s="6" t="s">
        <v>128</v>
      </c>
      <c r="C17" s="6" t="s">
        <v>543</v>
      </c>
      <c r="D17" s="2" t="s">
        <v>544</v>
      </c>
      <c r="E17" s="6" t="s">
        <v>545</v>
      </c>
      <c r="F17" s="6" t="s">
        <v>546</v>
      </c>
      <c r="G17" s="2" t="s">
        <v>64</v>
      </c>
      <c r="H17" s="2" t="s">
        <v>40</v>
      </c>
      <c r="I17" s="2" t="s">
        <v>430</v>
      </c>
      <c r="J17" s="2" t="s">
        <v>1</v>
      </c>
      <c r="K17" s="2" t="s">
        <v>547</v>
      </c>
      <c r="L17" s="2" t="s">
        <v>548</v>
      </c>
      <c r="M17" s="2" t="str">
        <f t="shared" si="0"/>
        <v>যশোর সদর, যশোর</v>
      </c>
      <c r="N17" s="2" t="s">
        <v>549</v>
      </c>
      <c r="O17" s="2" t="s">
        <v>550</v>
      </c>
    </row>
    <row r="18" spans="1:15" x14ac:dyDescent="0.5">
      <c r="A18" s="2" t="s">
        <v>150</v>
      </c>
      <c r="B18" s="6" t="s">
        <v>151</v>
      </c>
      <c r="C18" s="6" t="s">
        <v>551</v>
      </c>
      <c r="D18" s="2" t="s">
        <v>552</v>
      </c>
      <c r="E18" s="6" t="s">
        <v>553</v>
      </c>
      <c r="F18" s="6" t="s">
        <v>52</v>
      </c>
      <c r="G18" s="2" t="s">
        <v>79</v>
      </c>
      <c r="H18" s="2" t="s">
        <v>40</v>
      </c>
      <c r="I18" s="2" t="s">
        <v>430</v>
      </c>
      <c r="J18" s="2" t="s">
        <v>1</v>
      </c>
      <c r="K18" s="2" t="s">
        <v>554</v>
      </c>
      <c r="L18" s="2" t="s">
        <v>555</v>
      </c>
      <c r="M18" s="2" t="str">
        <f t="shared" si="0"/>
        <v>ঠাথারি বাজার, ঢাকা</v>
      </c>
      <c r="N18" s="2" t="s">
        <v>556</v>
      </c>
      <c r="O18" s="2" t="s">
        <v>488</v>
      </c>
    </row>
    <row r="19" spans="1:15" x14ac:dyDescent="0.5">
      <c r="A19" s="2" t="s">
        <v>26</v>
      </c>
      <c r="B19" s="6" t="s">
        <v>29</v>
      </c>
      <c r="C19" s="6" t="s">
        <v>557</v>
      </c>
      <c r="D19" s="2" t="s">
        <v>558</v>
      </c>
      <c r="E19" s="6" t="s">
        <v>30</v>
      </c>
      <c r="F19" s="6" t="s">
        <v>408</v>
      </c>
      <c r="G19" s="2" t="s">
        <v>27</v>
      </c>
      <c r="H19" s="2" t="s">
        <v>28</v>
      </c>
      <c r="I19" s="2" t="s">
        <v>428</v>
      </c>
      <c r="J19" s="2" t="s">
        <v>1</v>
      </c>
      <c r="K19" s="2" t="s">
        <v>559</v>
      </c>
      <c r="L19" s="2" t="s">
        <v>560</v>
      </c>
      <c r="M19" s="2" t="str">
        <f t="shared" si="0"/>
        <v>কদমতলী, চট্টগ্রাম</v>
      </c>
      <c r="N19" s="2" t="s">
        <v>561</v>
      </c>
      <c r="O19" s="2" t="s">
        <v>562</v>
      </c>
    </row>
    <row r="20" spans="1:15" x14ac:dyDescent="0.5">
      <c r="A20" s="2" t="s">
        <v>120</v>
      </c>
      <c r="B20" s="6" t="s">
        <v>121</v>
      </c>
      <c r="C20" s="6" t="s">
        <v>563</v>
      </c>
      <c r="D20" s="2" t="s">
        <v>564</v>
      </c>
      <c r="E20" s="6" t="s">
        <v>565</v>
      </c>
      <c r="F20" s="6" t="s">
        <v>566</v>
      </c>
      <c r="G20" s="4" t="s">
        <v>709</v>
      </c>
      <c r="H20" s="2" t="s">
        <v>40</v>
      </c>
      <c r="I20" s="2" t="s">
        <v>430</v>
      </c>
      <c r="J20" s="2" t="s">
        <v>1</v>
      </c>
      <c r="K20" s="2" t="s">
        <v>567</v>
      </c>
      <c r="L20" s="2" t="s">
        <v>568</v>
      </c>
      <c r="M20" s="2" t="str">
        <f t="shared" si="0"/>
        <v>পুরাতন বাস স্ট্যান্ড ফরিদপুর, ফরিদপুর</v>
      </c>
      <c r="N20" s="2" t="s">
        <v>569</v>
      </c>
      <c r="O20" s="2" t="s">
        <v>570</v>
      </c>
    </row>
    <row r="21" spans="1:15" x14ac:dyDescent="0.5">
      <c r="A21" s="2" t="s">
        <v>187</v>
      </c>
      <c r="B21" s="6" t="s">
        <v>188</v>
      </c>
      <c r="C21" s="6" t="s">
        <v>571</v>
      </c>
      <c r="D21" s="2" t="s">
        <v>572</v>
      </c>
      <c r="E21" s="6" t="s">
        <v>573</v>
      </c>
      <c r="F21" s="6" t="s">
        <v>573</v>
      </c>
      <c r="G21" s="2" t="s">
        <v>45</v>
      </c>
      <c r="H21" s="2" t="s">
        <v>28</v>
      </c>
      <c r="I21" s="2" t="s">
        <v>428</v>
      </c>
      <c r="J21" s="2" t="s">
        <v>1</v>
      </c>
      <c r="K21" s="2" t="s">
        <v>574</v>
      </c>
      <c r="L21" s="2" t="s">
        <v>575</v>
      </c>
      <c r="M21" s="2" t="str">
        <f t="shared" si="0"/>
        <v>চাঁদপুর, চাঁদপুর</v>
      </c>
      <c r="N21" s="2" t="s">
        <v>576</v>
      </c>
      <c r="O21" s="2" t="s">
        <v>576</v>
      </c>
    </row>
    <row r="22" spans="1:15" x14ac:dyDescent="0.5">
      <c r="A22" s="2" t="s">
        <v>132</v>
      </c>
      <c r="B22" s="6" t="s">
        <v>65</v>
      </c>
      <c r="C22" s="6" t="s">
        <v>577</v>
      </c>
      <c r="D22" s="2" t="s">
        <v>578</v>
      </c>
      <c r="E22" s="6" t="s">
        <v>66</v>
      </c>
      <c r="F22" s="6" t="s">
        <v>400</v>
      </c>
      <c r="G22" s="2" t="s">
        <v>64</v>
      </c>
      <c r="H22" s="2" t="s">
        <v>40</v>
      </c>
      <c r="I22" s="2" t="s">
        <v>430</v>
      </c>
      <c r="J22" s="2" t="s">
        <v>1</v>
      </c>
      <c r="K22" s="2" t="s">
        <v>579</v>
      </c>
      <c r="L22" s="2" t="s">
        <v>580</v>
      </c>
      <c r="M22" s="2" t="str">
        <f t="shared" si="0"/>
        <v>যশোর রোড, খুলনা</v>
      </c>
      <c r="N22" s="2" t="s">
        <v>581</v>
      </c>
      <c r="O22" s="2" t="s">
        <v>464</v>
      </c>
    </row>
    <row r="23" spans="1:15" x14ac:dyDescent="0.5">
      <c r="A23" s="2" t="s">
        <v>195</v>
      </c>
      <c r="B23" s="6" t="s">
        <v>196</v>
      </c>
      <c r="C23" s="6" t="s">
        <v>582</v>
      </c>
      <c r="D23" s="2" t="s">
        <v>583</v>
      </c>
      <c r="E23" s="6" t="s">
        <v>584</v>
      </c>
      <c r="F23" s="6" t="s">
        <v>584</v>
      </c>
      <c r="G23" s="2" t="s">
        <v>280</v>
      </c>
      <c r="H23" s="2" t="s">
        <v>84</v>
      </c>
      <c r="I23" s="2" t="s">
        <v>429</v>
      </c>
      <c r="J23" s="2" t="s">
        <v>1</v>
      </c>
      <c r="K23" s="2" t="s">
        <v>585</v>
      </c>
      <c r="L23" s="2" t="s">
        <v>586</v>
      </c>
      <c r="M23" s="2" t="str">
        <f t="shared" si="0"/>
        <v>ঠাকুরগাঁও, ঠাকুরগাঁও</v>
      </c>
      <c r="N23" s="2" t="s">
        <v>587</v>
      </c>
      <c r="O23" s="2" t="s">
        <v>587</v>
      </c>
    </row>
    <row r="24" spans="1:15" x14ac:dyDescent="0.5">
      <c r="A24" s="2" t="s">
        <v>108</v>
      </c>
      <c r="B24" s="6" t="s">
        <v>109</v>
      </c>
      <c r="C24" s="6" t="s">
        <v>588</v>
      </c>
      <c r="D24" s="2" t="s">
        <v>589</v>
      </c>
      <c r="E24" s="6" t="s">
        <v>282</v>
      </c>
      <c r="F24" s="6" t="s">
        <v>282</v>
      </c>
      <c r="G24" s="2" t="s">
        <v>280</v>
      </c>
      <c r="H24" s="2" t="s">
        <v>84</v>
      </c>
      <c r="I24" s="2" t="s">
        <v>429</v>
      </c>
      <c r="J24" s="2" t="s">
        <v>1</v>
      </c>
      <c r="K24" s="2" t="s">
        <v>590</v>
      </c>
      <c r="L24" s="2" t="s">
        <v>591</v>
      </c>
      <c r="M24" s="2" t="str">
        <f t="shared" si="0"/>
        <v>রংপুর, রংপুর</v>
      </c>
      <c r="N24" s="2" t="s">
        <v>592</v>
      </c>
      <c r="O24" s="2" t="s">
        <v>592</v>
      </c>
    </row>
    <row r="25" spans="1:15" x14ac:dyDescent="0.5">
      <c r="A25" s="2" t="s">
        <v>89</v>
      </c>
      <c r="B25" s="6" t="s">
        <v>51</v>
      </c>
      <c r="C25" s="6" t="s">
        <v>51</v>
      </c>
      <c r="D25" s="2"/>
      <c r="E25" s="6" t="s">
        <v>52</v>
      </c>
      <c r="F25" s="6" t="s">
        <v>52</v>
      </c>
      <c r="G25" s="2" t="s">
        <v>51</v>
      </c>
      <c r="H25" s="2" t="s">
        <v>51</v>
      </c>
      <c r="I25" s="2" t="s">
        <v>593</v>
      </c>
      <c r="J25" s="2" t="s">
        <v>593</v>
      </c>
      <c r="K25" s="2" t="s">
        <v>594</v>
      </c>
      <c r="L25" s="2" t="s">
        <v>594</v>
      </c>
      <c r="M25" s="2" t="str">
        <f t="shared" si="0"/>
        <v>ঢাকা, ঢাকা</v>
      </c>
      <c r="N25" s="2" t="s">
        <v>488</v>
      </c>
      <c r="O25" s="2" t="s">
        <v>488</v>
      </c>
    </row>
    <row r="26" spans="1:15" x14ac:dyDescent="0.5">
      <c r="A26" s="2" t="s">
        <v>110</v>
      </c>
      <c r="B26" s="6" t="s">
        <v>88</v>
      </c>
      <c r="C26" s="6" t="s">
        <v>595</v>
      </c>
      <c r="D26" s="2"/>
      <c r="E26" s="6" t="s">
        <v>52</v>
      </c>
      <c r="F26" s="6" t="s">
        <v>52</v>
      </c>
      <c r="G26" s="2" t="s">
        <v>87</v>
      </c>
      <c r="H26" s="2" t="s">
        <v>87</v>
      </c>
      <c r="I26" s="2" t="s">
        <v>596</v>
      </c>
      <c r="J26" s="2" t="s">
        <v>596</v>
      </c>
      <c r="K26" s="2"/>
      <c r="L26" s="2" t="s">
        <v>597</v>
      </c>
      <c r="M26" s="2" t="str">
        <f t="shared" si="0"/>
        <v>ঢাকা, ঢাকা</v>
      </c>
      <c r="N26" s="2" t="s">
        <v>488</v>
      </c>
      <c r="O26" s="2" t="s">
        <v>488</v>
      </c>
    </row>
    <row r="27" spans="1:15" x14ac:dyDescent="0.5">
      <c r="A27" s="2" t="s">
        <v>141</v>
      </c>
      <c r="B27" s="6" t="s">
        <v>1292</v>
      </c>
      <c r="C27" s="6" t="s">
        <v>595</v>
      </c>
      <c r="D27" s="2"/>
      <c r="E27" s="6" t="s">
        <v>52</v>
      </c>
      <c r="F27" s="6" t="s">
        <v>52</v>
      </c>
      <c r="G27" s="2" t="s">
        <v>87</v>
      </c>
      <c r="H27" s="2" t="s">
        <v>87</v>
      </c>
      <c r="I27" s="2" t="s">
        <v>596</v>
      </c>
      <c r="J27" s="2" t="s">
        <v>596</v>
      </c>
      <c r="K27" s="2"/>
      <c r="L27" s="2" t="s">
        <v>597</v>
      </c>
      <c r="M27" s="2" t="str">
        <f t="shared" si="0"/>
        <v>ঢাকা, ঢাকা</v>
      </c>
      <c r="N27" s="2" t="s">
        <v>488</v>
      </c>
      <c r="O27" s="2" t="s">
        <v>488</v>
      </c>
    </row>
    <row r="28" spans="1:15" x14ac:dyDescent="0.5">
      <c r="A28" s="2" t="s">
        <v>95</v>
      </c>
      <c r="B28" s="6" t="s">
        <v>1098</v>
      </c>
      <c r="C28" s="6" t="s">
        <v>595</v>
      </c>
      <c r="D28" s="2"/>
      <c r="E28" s="6" t="s">
        <v>52</v>
      </c>
      <c r="F28" s="6" t="s">
        <v>52</v>
      </c>
      <c r="G28" s="2" t="s">
        <v>87</v>
      </c>
      <c r="H28" s="2" t="s">
        <v>87</v>
      </c>
      <c r="I28" s="2" t="s">
        <v>596</v>
      </c>
      <c r="J28" s="2" t="s">
        <v>596</v>
      </c>
      <c r="K28" s="2"/>
      <c r="L28" s="2" t="s">
        <v>597</v>
      </c>
      <c r="M28" s="2" t="str">
        <f t="shared" si="0"/>
        <v>ঢাকা, ঢাকা</v>
      </c>
      <c r="N28" s="2" t="s">
        <v>488</v>
      </c>
      <c r="O28" s="2" t="s">
        <v>488</v>
      </c>
    </row>
    <row r="29" spans="1:15" x14ac:dyDescent="0.5">
      <c r="A29" s="2" t="s">
        <v>133</v>
      </c>
      <c r="B29" s="6" t="s">
        <v>134</v>
      </c>
      <c r="C29" s="6" t="s">
        <v>595</v>
      </c>
      <c r="D29" s="2"/>
      <c r="E29" s="6" t="s">
        <v>52</v>
      </c>
      <c r="F29" s="6" t="s">
        <v>52</v>
      </c>
      <c r="G29" s="2" t="s">
        <v>87</v>
      </c>
      <c r="H29" s="2" t="s">
        <v>87</v>
      </c>
      <c r="I29" s="2" t="s">
        <v>596</v>
      </c>
      <c r="J29" s="2" t="s">
        <v>596</v>
      </c>
      <c r="K29" s="2"/>
      <c r="L29" s="2" t="s">
        <v>597</v>
      </c>
      <c r="M29" s="2" t="str">
        <f t="shared" si="0"/>
        <v>ঢাকা, ঢাকা</v>
      </c>
      <c r="N29" s="2" t="s">
        <v>488</v>
      </c>
      <c r="O29" s="2" t="s">
        <v>488</v>
      </c>
    </row>
    <row r="30" spans="1:15" x14ac:dyDescent="0.5">
      <c r="A30" s="2" t="s">
        <v>598</v>
      </c>
      <c r="B30" s="6" t="s">
        <v>599</v>
      </c>
      <c r="C30" s="6" t="s">
        <v>600</v>
      </c>
      <c r="D30" s="20" t="s">
        <v>601</v>
      </c>
      <c r="E30" s="6" t="s">
        <v>602</v>
      </c>
      <c r="F30" s="6" t="s">
        <v>602</v>
      </c>
      <c r="G30" s="2" t="s">
        <v>27</v>
      </c>
      <c r="H30" s="14" t="s">
        <v>28</v>
      </c>
      <c r="I30" s="2" t="s">
        <v>428</v>
      </c>
      <c r="J30" s="2" t="s">
        <v>1</v>
      </c>
      <c r="K30" s="2" t="s">
        <v>603</v>
      </c>
      <c r="L30" s="2" t="s">
        <v>604</v>
      </c>
      <c r="M30" s="2" t="str">
        <f t="shared" si="0"/>
        <v>ফেনী, ফেনী</v>
      </c>
      <c r="N30" s="2" t="s">
        <v>605</v>
      </c>
      <c r="O30" s="2" t="s">
        <v>605</v>
      </c>
    </row>
    <row r="31" spans="1:15" x14ac:dyDescent="0.5">
      <c r="A31" s="2" t="s">
        <v>273</v>
      </c>
      <c r="B31" s="6" t="s">
        <v>274</v>
      </c>
      <c r="C31" s="6" t="s">
        <v>606</v>
      </c>
      <c r="D31" s="20" t="s">
        <v>607</v>
      </c>
      <c r="E31" s="6" t="s">
        <v>275</v>
      </c>
      <c r="F31" s="6" t="s">
        <v>52</v>
      </c>
      <c r="G31" s="2" t="s">
        <v>39</v>
      </c>
      <c r="H31" s="14" t="s">
        <v>40</v>
      </c>
      <c r="I31" s="2" t="s">
        <v>430</v>
      </c>
      <c r="J31" s="2" t="s">
        <v>1</v>
      </c>
      <c r="K31" s="2" t="s">
        <v>608</v>
      </c>
      <c r="L31" s="2" t="s">
        <v>609</v>
      </c>
      <c r="M31" s="2" t="str">
        <f t="shared" si="0"/>
        <v>উত্তরা, ঢাকা</v>
      </c>
      <c r="N31" s="2" t="s">
        <v>610</v>
      </c>
      <c r="O31" s="2" t="s">
        <v>488</v>
      </c>
    </row>
    <row r="32" spans="1:15" x14ac:dyDescent="0.5">
      <c r="A32" s="2" t="s">
        <v>433</v>
      </c>
      <c r="B32" s="6" t="s">
        <v>434</v>
      </c>
      <c r="C32" s="6" t="s">
        <v>611</v>
      </c>
      <c r="D32" s="20" t="s">
        <v>612</v>
      </c>
      <c r="E32" s="6" t="s">
        <v>435</v>
      </c>
      <c r="F32" s="6" t="s">
        <v>400</v>
      </c>
      <c r="G32" s="2" t="s">
        <v>64</v>
      </c>
      <c r="H32" s="2" t="s">
        <v>40</v>
      </c>
      <c r="I32" s="2" t="s">
        <v>430</v>
      </c>
      <c r="J32" s="2" t="s">
        <v>613</v>
      </c>
      <c r="K32" s="2" t="s">
        <v>614</v>
      </c>
      <c r="L32" s="2" t="s">
        <v>615</v>
      </c>
      <c r="M32" s="2" t="str">
        <f t="shared" si="0"/>
        <v>কাশীপুর, খুলনা</v>
      </c>
      <c r="N32" s="2" t="s">
        <v>616</v>
      </c>
      <c r="O32" s="2" t="s">
        <v>464</v>
      </c>
    </row>
    <row r="33" spans="1:15" x14ac:dyDescent="0.5">
      <c r="A33" s="2" t="s">
        <v>439</v>
      </c>
      <c r="B33" s="6" t="s">
        <v>617</v>
      </c>
      <c r="C33" s="6" t="s">
        <v>618</v>
      </c>
      <c r="D33" s="20" t="s">
        <v>619</v>
      </c>
      <c r="E33" s="6" t="s">
        <v>620</v>
      </c>
      <c r="F33" s="6" t="s">
        <v>467</v>
      </c>
      <c r="G33" s="136" t="s">
        <v>45</v>
      </c>
      <c r="H33" s="2" t="s">
        <v>28</v>
      </c>
      <c r="I33" s="2" t="s">
        <v>428</v>
      </c>
      <c r="J33" s="2" t="s">
        <v>1</v>
      </c>
      <c r="K33" s="2" t="s">
        <v>621</v>
      </c>
      <c r="L33" s="2" t="s">
        <v>622</v>
      </c>
      <c r="M33" s="2" t="str">
        <f t="shared" si="0"/>
        <v>রাজনগর, সিলেট</v>
      </c>
      <c r="N33" s="2" t="s">
        <v>623</v>
      </c>
      <c r="O33" s="2" t="s">
        <v>471</v>
      </c>
    </row>
    <row r="34" spans="1:15" x14ac:dyDescent="0.5">
      <c r="A34" s="2" t="s">
        <v>624</v>
      </c>
      <c r="B34" s="6" t="s">
        <v>625</v>
      </c>
      <c r="C34" s="6" t="s">
        <v>626</v>
      </c>
      <c r="D34" s="20" t="s">
        <v>627</v>
      </c>
      <c r="E34" s="6" t="s">
        <v>628</v>
      </c>
      <c r="F34" s="6" t="s">
        <v>408</v>
      </c>
      <c r="G34" s="136" t="s">
        <v>45</v>
      </c>
      <c r="H34" s="2" t="s">
        <v>28</v>
      </c>
      <c r="I34" s="2" t="s">
        <v>428</v>
      </c>
      <c r="J34" s="2" t="s">
        <v>1</v>
      </c>
      <c r="K34" s="2" t="s">
        <v>629</v>
      </c>
      <c r="L34" s="2" t="s">
        <v>630</v>
      </c>
      <c r="M34" s="2" t="str">
        <f t="shared" si="0"/>
        <v>ব্রাহ্মণবাড়িয়া, চিটাগং</v>
      </c>
      <c r="N34" s="2" t="s">
        <v>631</v>
      </c>
      <c r="O34" s="2" t="s">
        <v>632</v>
      </c>
    </row>
    <row r="35" spans="1:15" x14ac:dyDescent="0.5">
      <c r="A35" s="2" t="s">
        <v>633</v>
      </c>
      <c r="B35" s="63" t="s">
        <v>190</v>
      </c>
      <c r="C35" s="63" t="s">
        <v>634</v>
      </c>
      <c r="D35" s="137" t="s">
        <v>635</v>
      </c>
      <c r="E35" s="63" t="s">
        <v>636</v>
      </c>
      <c r="F35" s="6" t="s">
        <v>400</v>
      </c>
      <c r="G35" s="2" t="s">
        <v>64</v>
      </c>
      <c r="H35" s="2" t="s">
        <v>40</v>
      </c>
      <c r="I35" s="2" t="s">
        <v>430</v>
      </c>
      <c r="J35" s="2" t="s">
        <v>1</v>
      </c>
      <c r="K35" t="s">
        <v>637</v>
      </c>
      <c r="L35" t="s">
        <v>638</v>
      </c>
      <c r="M35" s="2" t="str">
        <f t="shared" si="0"/>
        <v>ডি সি আপার মার্কেট যশোর রোড, খুলনা</v>
      </c>
      <c r="N35" t="s">
        <v>639</v>
      </c>
      <c r="O35" t="s">
        <v>464</v>
      </c>
    </row>
    <row r="36" spans="1:15" x14ac:dyDescent="0.5">
      <c r="A36" t="s">
        <v>640</v>
      </c>
      <c r="B36" s="63" t="s">
        <v>172</v>
      </c>
      <c r="D36" s="137" t="s">
        <v>436</v>
      </c>
      <c r="E36" s="63" t="s">
        <v>93</v>
      </c>
      <c r="F36" s="63" t="s">
        <v>52</v>
      </c>
      <c r="G36" t="s">
        <v>79</v>
      </c>
      <c r="H36" t="s">
        <v>40</v>
      </c>
      <c r="I36" t="s">
        <v>430</v>
      </c>
      <c r="J36" t="s">
        <v>1</v>
      </c>
      <c r="K36" t="s">
        <v>642</v>
      </c>
      <c r="M36" s="4"/>
      <c r="O36" t="s">
        <v>488</v>
      </c>
    </row>
    <row r="37" spans="1:15" x14ac:dyDescent="0.5">
      <c r="A37" t="s">
        <v>643</v>
      </c>
      <c r="B37" s="17" t="s">
        <v>112</v>
      </c>
      <c r="C37" s="2" t="s">
        <v>706</v>
      </c>
      <c r="D37" s="20" t="s">
        <v>707</v>
      </c>
      <c r="E37" s="63" t="s">
        <v>644</v>
      </c>
      <c r="F37" s="6" t="s">
        <v>408</v>
      </c>
      <c r="G37" s="2" t="s">
        <v>27</v>
      </c>
      <c r="H37" s="2" t="s">
        <v>28</v>
      </c>
      <c r="I37" s="2" t="s">
        <v>428</v>
      </c>
      <c r="J37" t="s">
        <v>645</v>
      </c>
      <c r="K37" t="s">
        <v>646</v>
      </c>
      <c r="M37" s="4"/>
      <c r="O37" t="s">
        <v>562</v>
      </c>
    </row>
    <row r="38" spans="1:15" x14ac:dyDescent="0.5">
      <c r="A38" t="s">
        <v>647</v>
      </c>
      <c r="B38" s="6" t="s">
        <v>191</v>
      </c>
      <c r="D38" s="137"/>
      <c r="E38" s="6" t="s">
        <v>648</v>
      </c>
      <c r="F38" s="6" t="s">
        <v>648</v>
      </c>
      <c r="G38" s="2" t="s">
        <v>79</v>
      </c>
      <c r="H38" s="2" t="s">
        <v>40</v>
      </c>
      <c r="I38" t="s">
        <v>430</v>
      </c>
      <c r="J38" t="s">
        <v>645</v>
      </c>
      <c r="K38" t="s">
        <v>649</v>
      </c>
      <c r="M38" s="2"/>
      <c r="O38" t="s">
        <v>650</v>
      </c>
    </row>
    <row r="39" spans="1:15" x14ac:dyDescent="0.5">
      <c r="A39" t="s">
        <v>651</v>
      </c>
      <c r="B39" s="6" t="s">
        <v>192</v>
      </c>
      <c r="D39" s="137"/>
      <c r="E39" s="6" t="s">
        <v>652</v>
      </c>
      <c r="F39" s="63" t="s">
        <v>52</v>
      </c>
      <c r="G39" s="2" t="s">
        <v>79</v>
      </c>
      <c r="H39" s="2" t="s">
        <v>40</v>
      </c>
      <c r="I39" t="s">
        <v>430</v>
      </c>
      <c r="J39" t="s">
        <v>645</v>
      </c>
      <c r="K39" t="s">
        <v>653</v>
      </c>
      <c r="M39" s="2"/>
      <c r="O39" t="s">
        <v>488</v>
      </c>
    </row>
    <row r="40" spans="1:15" x14ac:dyDescent="0.5">
      <c r="A40" t="s">
        <v>654</v>
      </c>
      <c r="B40" s="6" t="s">
        <v>198</v>
      </c>
      <c r="D40" s="137"/>
      <c r="E40" s="6" t="s">
        <v>655</v>
      </c>
      <c r="F40" s="63" t="s">
        <v>52</v>
      </c>
      <c r="G40" s="2" t="s">
        <v>79</v>
      </c>
      <c r="H40" s="2" t="s">
        <v>40</v>
      </c>
      <c r="I40" t="s">
        <v>430</v>
      </c>
      <c r="J40" t="s">
        <v>645</v>
      </c>
      <c r="K40" t="s">
        <v>656</v>
      </c>
      <c r="M40" s="2"/>
      <c r="O40" t="s">
        <v>488</v>
      </c>
    </row>
    <row r="41" spans="1:15" x14ac:dyDescent="0.5">
      <c r="A41" t="s">
        <v>657</v>
      </c>
      <c r="B41" s="6" t="s">
        <v>169</v>
      </c>
      <c r="D41" s="137"/>
      <c r="E41" s="6" t="s">
        <v>648</v>
      </c>
      <c r="F41" s="6" t="s">
        <v>648</v>
      </c>
      <c r="G41" s="2" t="s">
        <v>79</v>
      </c>
      <c r="H41" s="2" t="s">
        <v>40</v>
      </c>
      <c r="I41" t="s">
        <v>430</v>
      </c>
      <c r="J41" t="s">
        <v>645</v>
      </c>
      <c r="K41" t="s">
        <v>658</v>
      </c>
      <c r="M41" s="2"/>
      <c r="O41" t="s">
        <v>650</v>
      </c>
    </row>
    <row r="42" spans="1:15" x14ac:dyDescent="0.5">
      <c r="A42" t="s">
        <v>659</v>
      </c>
      <c r="B42" s="6" t="s">
        <v>183</v>
      </c>
      <c r="D42" s="137"/>
      <c r="E42" s="6" t="s">
        <v>660</v>
      </c>
      <c r="F42" s="63" t="s">
        <v>52</v>
      </c>
      <c r="G42" s="2" t="s">
        <v>39</v>
      </c>
      <c r="H42" s="2" t="s">
        <v>40</v>
      </c>
      <c r="I42" t="s">
        <v>430</v>
      </c>
      <c r="J42" t="s">
        <v>645</v>
      </c>
      <c r="K42" t="s">
        <v>661</v>
      </c>
      <c r="M42" s="2"/>
      <c r="O42" t="s">
        <v>488</v>
      </c>
    </row>
    <row r="43" spans="1:15" x14ac:dyDescent="0.5">
      <c r="A43" t="s">
        <v>662</v>
      </c>
      <c r="B43" s="17" t="s">
        <v>182</v>
      </c>
      <c r="D43" s="137"/>
      <c r="E43" s="6" t="s">
        <v>663</v>
      </c>
      <c r="F43" s="63" t="s">
        <v>52</v>
      </c>
      <c r="G43" s="2" t="s">
        <v>39</v>
      </c>
      <c r="H43" s="2" t="s">
        <v>40</v>
      </c>
      <c r="I43" t="s">
        <v>430</v>
      </c>
      <c r="J43" t="s">
        <v>645</v>
      </c>
      <c r="K43" t="s">
        <v>664</v>
      </c>
      <c r="M43" s="4"/>
      <c r="O43" t="s">
        <v>488</v>
      </c>
    </row>
    <row r="44" spans="1:15" x14ac:dyDescent="0.5">
      <c r="A44" t="s">
        <v>665</v>
      </c>
      <c r="B44" s="6" t="s">
        <v>186</v>
      </c>
      <c r="D44" s="137"/>
      <c r="E44" s="6" t="s">
        <v>282</v>
      </c>
      <c r="F44" s="6" t="s">
        <v>282</v>
      </c>
      <c r="G44" t="s">
        <v>280</v>
      </c>
      <c r="H44" t="s">
        <v>84</v>
      </c>
      <c r="I44" t="s">
        <v>429</v>
      </c>
      <c r="J44" t="s">
        <v>1</v>
      </c>
      <c r="K44" t="s">
        <v>666</v>
      </c>
      <c r="M44" s="2"/>
      <c r="O44" t="s">
        <v>592</v>
      </c>
    </row>
    <row r="45" spans="1:15" x14ac:dyDescent="0.5">
      <c r="A45" t="s">
        <v>667</v>
      </c>
      <c r="B45" s="6" t="s">
        <v>175</v>
      </c>
      <c r="D45" s="137"/>
      <c r="E45" s="6" t="s">
        <v>573</v>
      </c>
      <c r="F45" s="6" t="s">
        <v>573</v>
      </c>
      <c r="G45" t="s">
        <v>45</v>
      </c>
      <c r="H45" t="s">
        <v>28</v>
      </c>
      <c r="I45" s="2" t="s">
        <v>428</v>
      </c>
      <c r="J45" t="s">
        <v>1</v>
      </c>
      <c r="K45" t="s">
        <v>668</v>
      </c>
      <c r="M45" s="2"/>
      <c r="O45" t="s">
        <v>576</v>
      </c>
    </row>
    <row r="46" spans="1:15" x14ac:dyDescent="0.5">
      <c r="A46" t="s">
        <v>669</v>
      </c>
      <c r="B46" s="6" t="s">
        <v>111</v>
      </c>
      <c r="D46" s="137"/>
      <c r="E46" s="6" t="s">
        <v>670</v>
      </c>
      <c r="F46" s="63" t="s">
        <v>52</v>
      </c>
      <c r="G46" t="s">
        <v>79</v>
      </c>
      <c r="H46" t="s">
        <v>40</v>
      </c>
      <c r="I46" t="s">
        <v>430</v>
      </c>
      <c r="J46" t="s">
        <v>1</v>
      </c>
      <c r="K46" t="s">
        <v>671</v>
      </c>
      <c r="M46" s="2"/>
      <c r="O46" t="s">
        <v>488</v>
      </c>
    </row>
    <row r="47" spans="1:15" x14ac:dyDescent="0.5">
      <c r="A47" t="s">
        <v>672</v>
      </c>
      <c r="B47" s="6" t="s">
        <v>167</v>
      </c>
      <c r="D47" s="137"/>
      <c r="E47" s="6" t="s">
        <v>93</v>
      </c>
      <c r="F47" s="63" t="s">
        <v>52</v>
      </c>
      <c r="G47" t="s">
        <v>39</v>
      </c>
      <c r="H47" t="s">
        <v>40</v>
      </c>
      <c r="I47" t="s">
        <v>430</v>
      </c>
      <c r="J47" t="s">
        <v>1</v>
      </c>
      <c r="K47" t="s">
        <v>673</v>
      </c>
      <c r="M47" s="2"/>
      <c r="O47" t="s">
        <v>488</v>
      </c>
    </row>
    <row r="48" spans="1:15" x14ac:dyDescent="0.5">
      <c r="A48" t="s">
        <v>674</v>
      </c>
      <c r="B48" s="6" t="s">
        <v>158</v>
      </c>
      <c r="D48" s="137"/>
      <c r="E48" s="6" t="s">
        <v>675</v>
      </c>
      <c r="F48" s="63" t="s">
        <v>52</v>
      </c>
      <c r="G48" t="s">
        <v>39</v>
      </c>
      <c r="H48" t="s">
        <v>40</v>
      </c>
      <c r="I48" t="s">
        <v>430</v>
      </c>
      <c r="J48" t="s">
        <v>1</v>
      </c>
      <c r="K48" t="s">
        <v>676</v>
      </c>
      <c r="M48" s="2"/>
      <c r="O48" t="s">
        <v>488</v>
      </c>
    </row>
    <row r="49" spans="1:15" x14ac:dyDescent="0.5">
      <c r="A49" t="s">
        <v>677</v>
      </c>
      <c r="B49" s="6" t="s">
        <v>130</v>
      </c>
      <c r="D49" s="137"/>
      <c r="E49" s="6" t="s">
        <v>648</v>
      </c>
      <c r="F49" s="6" t="s">
        <v>648</v>
      </c>
      <c r="G49" t="s">
        <v>79</v>
      </c>
      <c r="H49" t="s">
        <v>40</v>
      </c>
      <c r="I49" t="s">
        <v>430</v>
      </c>
      <c r="J49" t="s">
        <v>1</v>
      </c>
      <c r="K49" t="s">
        <v>678</v>
      </c>
      <c r="M49" s="2"/>
      <c r="O49" t="s">
        <v>650</v>
      </c>
    </row>
    <row r="50" spans="1:15" x14ac:dyDescent="0.5">
      <c r="A50" t="s">
        <v>679</v>
      </c>
      <c r="B50" s="6" t="s">
        <v>165</v>
      </c>
      <c r="D50" s="137"/>
      <c r="E50" s="6" t="s">
        <v>680</v>
      </c>
      <c r="F50" s="6" t="s">
        <v>680</v>
      </c>
      <c r="G50" t="s">
        <v>39</v>
      </c>
      <c r="H50" t="s">
        <v>84</v>
      </c>
      <c r="I50" t="s">
        <v>429</v>
      </c>
      <c r="J50" t="s">
        <v>1</v>
      </c>
      <c r="K50" t="s">
        <v>681</v>
      </c>
      <c r="M50" s="2"/>
      <c r="O50" t="s">
        <v>682</v>
      </c>
    </row>
    <row r="51" spans="1:15" x14ac:dyDescent="0.5">
      <c r="A51" t="s">
        <v>683</v>
      </c>
      <c r="B51" s="6" t="s">
        <v>173</v>
      </c>
      <c r="D51" s="137"/>
      <c r="E51" s="6" t="s">
        <v>684</v>
      </c>
      <c r="F51" s="6" t="s">
        <v>684</v>
      </c>
      <c r="G51" s="4" t="s">
        <v>709</v>
      </c>
      <c r="H51" t="s">
        <v>40</v>
      </c>
      <c r="I51" t="s">
        <v>430</v>
      </c>
      <c r="J51" t="s">
        <v>1</v>
      </c>
      <c r="K51" t="s">
        <v>685</v>
      </c>
      <c r="M51" s="2"/>
      <c r="O51" t="s">
        <v>686</v>
      </c>
    </row>
    <row r="52" spans="1:15" x14ac:dyDescent="0.5">
      <c r="A52" t="s">
        <v>687</v>
      </c>
      <c r="B52" s="6" t="s">
        <v>176</v>
      </c>
      <c r="D52" s="137"/>
      <c r="E52" s="6" t="s">
        <v>688</v>
      </c>
      <c r="F52" s="6" t="s">
        <v>688</v>
      </c>
      <c r="G52" t="s">
        <v>83</v>
      </c>
      <c r="H52" t="s">
        <v>84</v>
      </c>
      <c r="I52" t="s">
        <v>429</v>
      </c>
      <c r="J52" t="s">
        <v>1</v>
      </c>
      <c r="K52" t="s">
        <v>689</v>
      </c>
      <c r="M52" s="2"/>
      <c r="O52" t="s">
        <v>483</v>
      </c>
    </row>
    <row r="53" spans="1:15" x14ac:dyDescent="0.5">
      <c r="A53" t="s">
        <v>690</v>
      </c>
      <c r="B53" s="6" t="s">
        <v>125</v>
      </c>
      <c r="D53" s="137"/>
      <c r="E53" s="6" t="s">
        <v>691</v>
      </c>
      <c r="F53" s="6" t="s">
        <v>691</v>
      </c>
      <c r="G53" t="s">
        <v>280</v>
      </c>
      <c r="H53" t="s">
        <v>84</v>
      </c>
      <c r="I53" t="s">
        <v>429</v>
      </c>
      <c r="J53" t="s">
        <v>1</v>
      </c>
      <c r="K53" t="s">
        <v>692</v>
      </c>
      <c r="M53" s="2"/>
      <c r="O53" t="s">
        <v>693</v>
      </c>
    </row>
    <row r="54" spans="1:15" x14ac:dyDescent="0.5">
      <c r="A54" t="s">
        <v>694</v>
      </c>
      <c r="B54" s="17" t="s">
        <v>695</v>
      </c>
      <c r="D54" s="137"/>
      <c r="E54" s="6" t="s">
        <v>688</v>
      </c>
      <c r="F54" s="6" t="s">
        <v>688</v>
      </c>
      <c r="G54" t="s">
        <v>83</v>
      </c>
      <c r="H54" t="s">
        <v>84</v>
      </c>
      <c r="I54" t="s">
        <v>429</v>
      </c>
      <c r="J54" t="s">
        <v>1</v>
      </c>
      <c r="K54" t="s">
        <v>696</v>
      </c>
      <c r="M54" s="4"/>
      <c r="O54" t="s">
        <v>483</v>
      </c>
    </row>
    <row r="55" spans="1:15" x14ac:dyDescent="0.5">
      <c r="A55" s="138" t="s">
        <v>1131</v>
      </c>
      <c r="B55" s="4" t="s">
        <v>1256</v>
      </c>
      <c r="C55" s="138" t="s">
        <v>1260</v>
      </c>
      <c r="D55" s="139" t="s">
        <v>1261</v>
      </c>
      <c r="E55" s="4" t="s">
        <v>1257</v>
      </c>
      <c r="F55" s="4" t="s">
        <v>52</v>
      </c>
      <c r="G55" s="138" t="s">
        <v>79</v>
      </c>
      <c r="H55" s="138" t="s">
        <v>40</v>
      </c>
      <c r="I55" s="138" t="s">
        <v>430</v>
      </c>
      <c r="J55" s="138" t="s">
        <v>1</v>
      </c>
      <c r="K55" s="138" t="s">
        <v>1262</v>
      </c>
      <c r="L55" s="138" t="s">
        <v>1263</v>
      </c>
      <c r="M55" s="4" t="s">
        <v>1264</v>
      </c>
      <c r="N55" s="138" t="s">
        <v>1265</v>
      </c>
      <c r="O55" s="138" t="s">
        <v>488</v>
      </c>
    </row>
    <row r="56" spans="1:15" x14ac:dyDescent="0.5">
      <c r="A56" s="36" t="s">
        <v>1186</v>
      </c>
      <c r="B56" s="64" t="s">
        <v>129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7"/>
      <c r="N56" s="36"/>
      <c r="O56" s="36"/>
    </row>
    <row r="57" spans="1:15" x14ac:dyDescent="0.5">
      <c r="A57" s="36" t="s">
        <v>735</v>
      </c>
      <c r="B57" s="64" t="s">
        <v>144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7"/>
      <c r="N57" s="36"/>
      <c r="O57" s="36"/>
    </row>
    <row r="58" spans="1:15" x14ac:dyDescent="0.5">
      <c r="A58" s="36" t="s">
        <v>736</v>
      </c>
      <c r="B58" s="64" t="s">
        <v>146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7"/>
      <c r="N58" s="36"/>
      <c r="O58" s="36"/>
    </row>
    <row r="59" spans="1:15" x14ac:dyDescent="0.5">
      <c r="A59" s="36" t="s">
        <v>737</v>
      </c>
      <c r="B59" s="64" t="s">
        <v>155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7"/>
      <c r="N59" s="36"/>
      <c r="O59" s="36"/>
    </row>
    <row r="60" spans="1:15" x14ac:dyDescent="0.5">
      <c r="A60" s="36" t="s">
        <v>738</v>
      </c>
      <c r="B60" s="64" t="s">
        <v>174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7"/>
      <c r="N60" s="36"/>
      <c r="O60" s="36"/>
    </row>
    <row r="61" spans="1:15" x14ac:dyDescent="0.5">
      <c r="A61" s="36" t="s">
        <v>739</v>
      </c>
      <c r="B61" s="64" t="s">
        <v>178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7"/>
      <c r="N61" s="36"/>
      <c r="O61" s="36"/>
    </row>
    <row r="62" spans="1:15" x14ac:dyDescent="0.5">
      <c r="A62" s="36" t="s">
        <v>740</v>
      </c>
      <c r="B62" s="64" t="s">
        <v>184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7"/>
      <c r="N62" s="36"/>
      <c r="O62" s="36"/>
    </row>
    <row r="63" spans="1:15" x14ac:dyDescent="0.5">
      <c r="A63" s="36" t="s">
        <v>741</v>
      </c>
      <c r="B63" s="64" t="s">
        <v>194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8"/>
      <c r="N63" s="36"/>
      <c r="O63" s="36"/>
    </row>
    <row r="64" spans="1:15" x14ac:dyDescent="0.5">
      <c r="A64" s="36" t="s">
        <v>1296</v>
      </c>
      <c r="B64" s="64" t="s">
        <v>1297</v>
      </c>
      <c r="C64" s="36" t="s">
        <v>595</v>
      </c>
      <c r="D64" s="36"/>
      <c r="E64" s="36" t="s">
        <v>52</v>
      </c>
      <c r="F64" s="36" t="s">
        <v>52</v>
      </c>
      <c r="G64" s="36" t="s">
        <v>87</v>
      </c>
      <c r="H64" s="36" t="s">
        <v>87</v>
      </c>
      <c r="I64" s="36" t="s">
        <v>430</v>
      </c>
      <c r="J64" s="36" t="s">
        <v>596</v>
      </c>
      <c r="K64" s="36"/>
      <c r="L64" s="36"/>
      <c r="M64" s="37"/>
      <c r="N64" s="36"/>
      <c r="O64" s="36"/>
    </row>
    <row r="65" spans="1:15" x14ac:dyDescent="0.5">
      <c r="A65" t="s">
        <v>1294</v>
      </c>
      <c r="B65" s="63" t="s">
        <v>1295</v>
      </c>
      <c r="C65" t="s">
        <v>595</v>
      </c>
      <c r="E65" t="s">
        <v>52</v>
      </c>
      <c r="F65" t="s">
        <v>52</v>
      </c>
      <c r="G65" t="s">
        <v>87</v>
      </c>
      <c r="H65" t="s">
        <v>87</v>
      </c>
      <c r="I65" t="s">
        <v>596</v>
      </c>
      <c r="J65" t="s">
        <v>596</v>
      </c>
      <c r="L65" t="s">
        <v>597</v>
      </c>
      <c r="M65" s="4" t="s">
        <v>1187</v>
      </c>
      <c r="N65" t="s">
        <v>488</v>
      </c>
      <c r="O65" t="s">
        <v>488</v>
      </c>
    </row>
  </sheetData>
  <sheetProtection formatColumns="0" autoFilter="0"/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9318A-94CA-48FF-BB9D-30A78B84C61B}">
  <sheetPr codeName="Sheet8">
    <tabColor theme="9"/>
  </sheetPr>
  <dimension ref="A1:O4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30" sqref="E30"/>
    </sheetView>
  </sheetViews>
  <sheetFormatPr defaultRowHeight="16.5" x14ac:dyDescent="0.5"/>
  <cols>
    <col min="1" max="1" width="24.453125" customWidth="1"/>
    <col min="2" max="5" width="16.6328125" customWidth="1"/>
    <col min="6" max="13" width="16.6328125" hidden="1" customWidth="1"/>
    <col min="14" max="14" width="14.6328125" customWidth="1"/>
    <col min="15" max="15" width="13.6328125" customWidth="1"/>
  </cols>
  <sheetData>
    <row r="1" spans="1:15" ht="21.5" thickBot="1" x14ac:dyDescent="0.55000000000000004">
      <c r="A1" s="204" t="s">
        <v>1358</v>
      </c>
      <c r="B1" s="260">
        <f>DATE(YEAR('Stock Report'!$B$1),1,1)</f>
        <v>45658</v>
      </c>
      <c r="C1" s="260">
        <f>DATE(YEAR('Stock Report'!$B$1),2,1)</f>
        <v>45689</v>
      </c>
      <c r="D1" s="260">
        <f>DATE(YEAR('Stock Report'!$B$1),3,1)</f>
        <v>45717</v>
      </c>
      <c r="E1" s="260">
        <f>DATE(YEAR('Stock Report'!$B$1),4,1)</f>
        <v>45748</v>
      </c>
      <c r="F1" s="260">
        <f>DATE(YEAR('Stock Report'!$B$1),5,1)</f>
        <v>45778</v>
      </c>
      <c r="G1" s="260">
        <f>DATE(YEAR('Stock Report'!$B$1),6,1)</f>
        <v>45809</v>
      </c>
      <c r="H1" s="260">
        <f>DATE(YEAR('Stock Report'!$B$1),7,1)</f>
        <v>45839</v>
      </c>
      <c r="I1" s="260">
        <f>DATE(YEAR('Stock Report'!$B$1),8,1)</f>
        <v>45870</v>
      </c>
      <c r="J1" s="260">
        <f>DATE(YEAR('Stock Report'!$B$1),9,1)</f>
        <v>45901</v>
      </c>
      <c r="K1" s="260">
        <f>DATE(YEAR('Stock Report'!$B$1),10,1)</f>
        <v>45931</v>
      </c>
      <c r="L1" s="260">
        <f>DATE(YEAR('Stock Report'!$B$1),11,1)</f>
        <v>45962</v>
      </c>
      <c r="M1" s="260">
        <f>DATE(YEAR('Stock Report'!$B$1),12,1)</f>
        <v>45992</v>
      </c>
      <c r="N1" s="261" t="s">
        <v>1137</v>
      </c>
      <c r="O1" s="261" t="s">
        <v>1138</v>
      </c>
    </row>
    <row r="2" spans="1:15" x14ac:dyDescent="0.5">
      <c r="A2" s="205" t="s">
        <v>1312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</row>
    <row r="3" spans="1:15" x14ac:dyDescent="0.5">
      <c r="A3" s="207" t="s">
        <v>596</v>
      </c>
      <c r="B3" s="160">
        <f>SUMIFS(Primary_Order[Total Volume],Primary_Order[Date],"&gt;="&amp;DATE(YEAR(B$1),MONTH(B$1),1),Primary_Order[Date],"&lt;="&amp;EOMONTH(B$1,0),Primary_Order[TSM/TSE],"Captive Sales")</f>
        <v>13953</v>
      </c>
      <c r="C3" s="208">
        <f>SUMIFS(Primary_Order[Total Volume],Primary_Order[Date],"&gt;="&amp;DATE(YEAR(C$1),MONTH(C$1),1),Primary_Order[Date],"&lt;="&amp;EOMONTH(C$1,0),Primary_Order[TSM/TSE],"Captive Sales")</f>
        <v>32447.574999999997</v>
      </c>
      <c r="D3" s="161">
        <f>SUMIFS(Primary_Order[Total Volume],Primary_Order[Date],"&gt;="&amp;DATE(YEAR(D$1),MONTH(D$1),1),Primary_Order[Date],"&lt;="&amp;EOMONTH(D$1,0),Primary_Order[TSM/TSE],"Captive Sales")</f>
        <v>29536.35</v>
      </c>
      <c r="E3" s="208">
        <f>SUMIFS(Primary_Order[Total Volume],Primary_Order[Date],"&gt;="&amp;DATE(YEAR(E$1),MONTH(E$1),1),Primary_Order[Date],"&lt;="&amp;EOMONTH(E$1,0),Primary_Order[TSM/TSE],"Captive Sales")</f>
        <v>3843</v>
      </c>
      <c r="F3" s="208">
        <f>SUMIFS(Primary_Order[Total Volume],Primary_Order[Date],"&gt;="&amp;DATE(YEAR(F$1),MONTH(F$1),1),Primary_Order[Date],"&lt;="&amp;EOMONTH(F$1,0),Primary_Order[TSM/TSE],"Captive Sales")</f>
        <v>0</v>
      </c>
      <c r="G3" s="208">
        <f>SUMIFS(Primary_Order[Total Volume],Primary_Order[Date],"&gt;="&amp;DATE(YEAR(G$1),MONTH(G$1),1),Primary_Order[Date],"&lt;="&amp;EOMONTH(G$1,0),Primary_Order[TSM/TSE],"Captive Sales")</f>
        <v>0</v>
      </c>
      <c r="H3" s="208">
        <f>SUMIFS(Primary_Order[Total Volume],Primary_Order[Date],"&gt;="&amp;DATE(YEAR(H$1),MONTH(H$1),1),Primary_Order[Date],"&lt;="&amp;EOMONTH(H$1,0),Primary_Order[TSM/TSE],"Captive Sales")</f>
        <v>0</v>
      </c>
      <c r="I3" s="208">
        <f>SUMIFS(Primary_Order[Total Volume],Primary_Order[Date],"&gt;="&amp;DATE(YEAR(I$1),MONTH(I$1),1),Primary_Order[Date],"&lt;="&amp;EOMONTH(I$1,0),Primary_Order[TSM/TSE],"Captive Sales")</f>
        <v>0</v>
      </c>
      <c r="J3" s="208">
        <f>SUMIFS(Primary_Order[Total Volume],Primary_Order[Date],"&gt;="&amp;DATE(YEAR(J$1),MONTH(J$1),1),Primary_Order[Date],"&lt;="&amp;EOMONTH(J$1,0),Primary_Order[TSM/TSE],"Captive Sales")</f>
        <v>0</v>
      </c>
      <c r="K3" s="208">
        <f>SUMIFS(Primary_Order[Total Volume],Primary_Order[Date],"&gt;="&amp;DATE(YEAR(K$1),MONTH(K$1),1),Primary_Order[Date],"&lt;="&amp;EOMONTH(K$1,0),Primary_Order[TSM/TSE],"Captive Sales")</f>
        <v>0</v>
      </c>
      <c r="L3" s="208">
        <f>SUMIFS(Primary_Order[Total Volume],Primary_Order[Date],"&gt;="&amp;DATE(YEAR(L$1),MONTH(L$1),1),Primary_Order[Date],"&lt;="&amp;EOMONTH(L$1,0),Primary_Order[TSM/TSE],"Captive Sales")</f>
        <v>0</v>
      </c>
      <c r="M3" s="208">
        <f>SUMIFS(Primary_Order[Total Volume],Primary_Order[Date],"&gt;="&amp;DATE(YEAR(M$1),MONTH(M$1),1),Primary_Order[Date],"&lt;="&amp;EOMONTH(M$1,0),Primary_Order[TSM/TSE],"Captive Sales")</f>
        <v>0</v>
      </c>
      <c r="N3" s="209">
        <f>SUM(B3:M3)</f>
        <v>79779.924999999988</v>
      </c>
      <c r="O3" s="208">
        <f>N3/COUNTIF($B$4:$M$4,"&lt;&gt;0")</f>
        <v>19944.981249999997</v>
      </c>
    </row>
    <row r="4" spans="1:15" x14ac:dyDescent="0.5">
      <c r="A4" s="207" t="s">
        <v>752</v>
      </c>
      <c r="B4" s="210">
        <f>SUMIFS(Primary_Order[Total Volume],Primary_Order[Date],"&gt;="&amp;DATE(YEAR(B$1),MONTH(B$1),1),Primary_Order[Date],"&lt;="&amp;EOMONTH(B$1,0),Primary_Order[TSM/TSE],"&lt;&gt;Captive Sales")</f>
        <v>35287.599999999999</v>
      </c>
      <c r="C4" s="210">
        <f>SUMIFS(Primary_Order[Total Volume],Primary_Order[Date],"&gt;="&amp;DATE(YEAR(C$1),MONTH(C$1),1),Primary_Order[Date],"&lt;="&amp;EOMONTH(C$1,0),Primary_Order[TSM/TSE],"&lt;&gt;Captive Sales")</f>
        <v>21716.6</v>
      </c>
      <c r="D4" s="210">
        <f>SUMIFS(Primary_Order[Total Volume],Primary_Order[Date],"&gt;="&amp;DATE(YEAR(D$1),MONTH(D$1),1),Primary_Order[Date],"&lt;="&amp;EOMONTH(D$1,0),Primary_Order[TSM/TSE],"&lt;&gt;Captive Sales")</f>
        <v>23499.4</v>
      </c>
      <c r="E4" s="210">
        <f>SUMIFS(Primary_Order[Total Volume],Primary_Order[Date],"&gt;="&amp;DATE(YEAR(E$1),MONTH(E$1),1),Primary_Order[Date],"&lt;="&amp;EOMONTH(E$1,0),Primary_Order[TSM/TSE],"&lt;&gt;Captive Sales")</f>
        <v>50839.199999999997</v>
      </c>
      <c r="F4" s="210">
        <f>SUMIFS(Primary_Order[Total Volume],Primary_Order[Date],"&gt;="&amp;DATE(YEAR(F$1),MONTH(F$1),1),Primary_Order[Date],"&lt;="&amp;EOMONTH(F$1,0),Primary_Order[TSM/TSE],"&lt;&gt;Captive Sales")</f>
        <v>0</v>
      </c>
      <c r="G4" s="210">
        <f>SUMIFS(Primary_Order[Total Volume],Primary_Order[Date],"&gt;="&amp;DATE(YEAR(G$1),MONTH(G$1),1),Primary_Order[Date],"&lt;="&amp;EOMONTH(G$1,0),Primary_Order[TSM/TSE],"&lt;&gt;Captive Sales")</f>
        <v>0</v>
      </c>
      <c r="H4" s="210">
        <f>SUMIFS(Primary_Order[Total Volume],Primary_Order[Date],"&gt;="&amp;DATE(YEAR(H$1),MONTH(H$1),1),Primary_Order[Date],"&lt;="&amp;EOMONTH(H$1,0),Primary_Order[TSM/TSE],"&lt;&gt;Captive Sales")</f>
        <v>0</v>
      </c>
      <c r="I4" s="210">
        <f>SUMIFS(Primary_Order[Total Volume],Primary_Order[Date],"&gt;="&amp;DATE(YEAR(I$1),MONTH(I$1),1),Primary_Order[Date],"&lt;="&amp;EOMONTH(I$1,0),Primary_Order[TSM/TSE],"&lt;&gt;Captive Sales")</f>
        <v>0</v>
      </c>
      <c r="J4" s="210">
        <f>SUMIFS(Primary_Order[Total Volume],Primary_Order[Date],"&gt;="&amp;DATE(YEAR(J$1),MONTH(J$1),1),Primary_Order[Date],"&lt;="&amp;EOMONTH(J$1,0),Primary_Order[TSM/TSE],"&lt;&gt;Captive Sales")</f>
        <v>0</v>
      </c>
      <c r="K4" s="210">
        <f>SUMIFS(Primary_Order[Total Volume],Primary_Order[Date],"&gt;="&amp;DATE(YEAR(K$1),MONTH(K$1),1),Primary_Order[Date],"&lt;="&amp;EOMONTH(K$1,0),Primary_Order[TSM/TSE],"&lt;&gt;Captive Sales")</f>
        <v>0</v>
      </c>
      <c r="L4" s="210">
        <f>SUMIFS(Primary_Order[Total Volume],Primary_Order[Date],"&gt;="&amp;DATE(YEAR(L$1),MONTH(L$1),1),Primary_Order[Date],"&lt;="&amp;EOMONTH(L$1,0),Primary_Order[TSM/TSE],"&lt;&gt;Captive Sales")</f>
        <v>0</v>
      </c>
      <c r="M4" s="210">
        <f>SUMIFS(Primary_Order[Total Volume],Primary_Order[Date],"&gt;="&amp;DATE(YEAR(M$1),MONTH(M$1),1),Primary_Order[Date],"&lt;="&amp;EOMONTH(M$1,0),Primary_Order[TSM/TSE],"&lt;&gt;Captive Sales")</f>
        <v>0</v>
      </c>
      <c r="N4" s="210">
        <f>SUM(B4:M4)</f>
        <v>131342.79999999999</v>
      </c>
      <c r="O4" s="210">
        <f>N4/COUNTIF($B$4:$M$4,"&lt;&gt;0")</f>
        <v>32835.699999999997</v>
      </c>
    </row>
    <row r="5" spans="1:15" x14ac:dyDescent="0.5">
      <c r="A5" s="211" t="s">
        <v>206</v>
      </c>
      <c r="B5" s="163">
        <f>SUM(B3:B4)</f>
        <v>49240.6</v>
      </c>
      <c r="C5" s="212">
        <f t="shared" ref="C5:O5" si="0">SUM(C3:C4)</f>
        <v>54164.174999999996</v>
      </c>
      <c r="D5" s="163">
        <f t="shared" si="0"/>
        <v>53035.75</v>
      </c>
      <c r="E5" s="212">
        <f t="shared" si="0"/>
        <v>54682.2</v>
      </c>
      <c r="F5" s="212">
        <f t="shared" si="0"/>
        <v>0</v>
      </c>
      <c r="G5" s="212">
        <f t="shared" si="0"/>
        <v>0</v>
      </c>
      <c r="H5" s="212">
        <f t="shared" si="0"/>
        <v>0</v>
      </c>
      <c r="I5" s="212">
        <f t="shared" si="0"/>
        <v>0</v>
      </c>
      <c r="J5" s="212">
        <f t="shared" si="0"/>
        <v>0</v>
      </c>
      <c r="K5" s="212">
        <f t="shared" si="0"/>
        <v>0</v>
      </c>
      <c r="L5" s="212">
        <f t="shared" si="0"/>
        <v>0</v>
      </c>
      <c r="M5" s="212">
        <f t="shared" si="0"/>
        <v>0</v>
      </c>
      <c r="N5" s="212">
        <f t="shared" si="0"/>
        <v>211122.72499999998</v>
      </c>
      <c r="O5" s="212">
        <f t="shared" si="0"/>
        <v>52780.681249999994</v>
      </c>
    </row>
    <row r="6" spans="1:15" x14ac:dyDescent="0.5">
      <c r="A6" s="213"/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</row>
    <row r="7" spans="1:15" x14ac:dyDescent="0.5">
      <c r="A7" s="214" t="s">
        <v>1312</v>
      </c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159"/>
      <c r="O7" s="159"/>
    </row>
    <row r="8" spans="1:15" x14ac:dyDescent="0.5">
      <c r="A8" s="207" t="s">
        <v>297</v>
      </c>
      <c r="B8" s="210">
        <f>SUMIFS(Primary_Order[Total Volume],Primary_Order[Date],"&gt;="&amp;DATE(YEAR(B$1),MONTH(B$1),1),Primary_Order[Date],"&lt;="&amp;EOMONTH(B$1,0),Primary_Order[SKU Category],$A8)</f>
        <v>46180</v>
      </c>
      <c r="C8" s="210">
        <f>SUMIFS(Primary_Order[Total Volume],Primary_Order[Date],"&gt;="&amp;DATE(YEAR(C$1),MONTH(C$1),1),Primary_Order[Date],"&lt;="&amp;EOMONTH(C$1,0),Primary_Order[SKU Category],$A8)</f>
        <v>46427</v>
      </c>
      <c r="D8" s="210">
        <f>SUMIFS(Primary_Order[Total Volume],Primary_Order[Date],"&gt;="&amp;DATE(YEAR(D$1),MONTH(D$1),1),Primary_Order[Date],"&lt;="&amp;EOMONTH(D$1,0),Primary_Order[SKU Category],$A8)</f>
        <v>49308.800000000003</v>
      </c>
      <c r="E8" s="210">
        <f>SUMIFS(Primary_Order[Total Volume],Primary_Order[Date],"&gt;="&amp;DATE(YEAR(E$1),MONTH(E$1),1),Primary_Order[Date],"&lt;="&amp;EOMONTH(E$1,0),Primary_Order[SKU Category],$A8)</f>
        <v>48205.2</v>
      </c>
      <c r="F8" s="210">
        <f>SUMIFS(Primary_Order[Total Volume],Primary_Order[Date],"&gt;="&amp;DATE(YEAR(F$1),MONTH(F$1),1),Primary_Order[Date],"&lt;="&amp;EOMONTH(F$1,0),Primary_Order[SKU Category],$A8)</f>
        <v>0</v>
      </c>
      <c r="G8" s="210">
        <f>SUMIFS(Primary_Order[Total Volume],Primary_Order[Date],"&gt;="&amp;DATE(YEAR(G$1),MONTH(G$1),1),Primary_Order[Date],"&lt;="&amp;EOMONTH(G$1,0),Primary_Order[SKU Category],$A8)</f>
        <v>0</v>
      </c>
      <c r="H8" s="210">
        <f>SUMIFS(Primary_Order[Total Volume],Primary_Order[Date],"&gt;="&amp;DATE(YEAR(H$1),MONTH(H$1),1),Primary_Order[Date],"&lt;="&amp;EOMONTH(H$1,0),Primary_Order[SKU Category],$A8)</f>
        <v>0</v>
      </c>
      <c r="I8" s="210">
        <f>SUMIFS(Primary_Order[Total Volume],Primary_Order[Date],"&gt;="&amp;DATE(YEAR(I$1),MONTH(I$1),1),Primary_Order[Date],"&lt;="&amp;EOMONTH(I$1,0),Primary_Order[SKU Category],$A8)</f>
        <v>0</v>
      </c>
      <c r="J8" s="210">
        <f>SUMIFS(Primary_Order[Total Volume],Primary_Order[Date],"&gt;="&amp;DATE(YEAR(J$1),MONTH(J$1),1),Primary_Order[Date],"&lt;="&amp;EOMONTH(J$1,0),Primary_Order[SKU Category],$A8)</f>
        <v>0</v>
      </c>
      <c r="K8" s="210">
        <f>SUMIFS(Primary_Order[Total Volume],Primary_Order[Date],"&gt;="&amp;DATE(YEAR(K$1),MONTH(K$1),1),Primary_Order[Date],"&lt;="&amp;EOMONTH(K$1,0),Primary_Order[SKU Category],$A8)</f>
        <v>0</v>
      </c>
      <c r="L8" s="210">
        <f>SUMIFS(Primary_Order[Total Volume],Primary_Order[Date],"&gt;="&amp;DATE(YEAR(L$1),MONTH(L$1),1),Primary_Order[Date],"&lt;="&amp;EOMONTH(L$1,0),Primary_Order[SKU Category],$A8)</f>
        <v>0</v>
      </c>
      <c r="M8" s="210">
        <f>SUMIFS(Primary_Order[Total Volume],Primary_Order[Date],"&gt;="&amp;DATE(YEAR(M$1),MONTH(M$1),1),Primary_Order[Date],"&lt;="&amp;EOMONTH(M$1,0),Primary_Order[SKU Category],$A8)</f>
        <v>0</v>
      </c>
      <c r="N8" s="210">
        <f>SUM(B8:M8)</f>
        <v>190121</v>
      </c>
      <c r="O8" s="210">
        <f>N8/COUNTIF($B$4:$M$4,"&lt;&gt;0")</f>
        <v>47530.25</v>
      </c>
    </row>
    <row r="9" spans="1:15" x14ac:dyDescent="0.5">
      <c r="A9" s="207" t="s">
        <v>328</v>
      </c>
      <c r="B9" s="160">
        <f>SUMIFS(Primary_Order[Total Volume],Primary_Order[Date],"&gt;="&amp;DATE(YEAR(B$1),MONTH(B$1),1),Primary_Order[Date],"&lt;="&amp;EOMONTH(B$1,0),Primary_Order[SKU Category],$A9)</f>
        <v>1588</v>
      </c>
      <c r="C9" s="208">
        <f>SUMIFS(Primary_Order[Total Volume],Primary_Order[Date],"&gt;="&amp;DATE(YEAR(C$1),MONTH(C$1),1),Primary_Order[Date],"&lt;="&amp;EOMONTH(C$1,0),Primary_Order[SKU Category],$A9)</f>
        <v>224</v>
      </c>
      <c r="D9" s="160">
        <f>SUMIFS(Primary_Order[Total Volume],Primary_Order[Date],"&gt;="&amp;DATE(YEAR(D$1),MONTH(D$1),1),Primary_Order[Date],"&lt;="&amp;EOMONTH(D$1,0),Primary_Order[SKU Category],$A9)</f>
        <v>2048</v>
      </c>
      <c r="E9" s="208">
        <f>SUMIFS(Primary_Order[Total Volume],Primary_Order[Date],"&gt;="&amp;DATE(YEAR(E$1),MONTH(E$1),1),Primary_Order[Date],"&lt;="&amp;EOMONTH(E$1,0),Primary_Order[SKU Category],$A9)</f>
        <v>3516</v>
      </c>
      <c r="F9" s="208">
        <f>SUMIFS(Primary_Order[Total Volume],Primary_Order[Date],"&gt;="&amp;DATE(YEAR(F$1),MONTH(F$1),1),Primary_Order[Date],"&lt;="&amp;EOMONTH(F$1,0),Primary_Order[SKU Category],$A9)</f>
        <v>0</v>
      </c>
      <c r="G9" s="208">
        <f>SUMIFS(Primary_Order[Total Volume],Primary_Order[Date],"&gt;="&amp;DATE(YEAR(G$1),MONTH(G$1),1),Primary_Order[Date],"&lt;="&amp;EOMONTH(G$1,0),Primary_Order[SKU Category],$A9)</f>
        <v>0</v>
      </c>
      <c r="H9" s="208">
        <f>SUMIFS(Primary_Order[Total Volume],Primary_Order[Date],"&gt;="&amp;DATE(YEAR(H$1),MONTH(H$1),1),Primary_Order[Date],"&lt;="&amp;EOMONTH(H$1,0),Primary_Order[SKU Category],$A9)</f>
        <v>0</v>
      </c>
      <c r="I9" s="208">
        <f>SUMIFS(Primary_Order[Total Volume],Primary_Order[Date],"&gt;="&amp;DATE(YEAR(I$1),MONTH(I$1),1),Primary_Order[Date],"&lt;="&amp;EOMONTH(I$1,0),Primary_Order[SKU Category],$A9)</f>
        <v>0</v>
      </c>
      <c r="J9" s="208">
        <f>SUMIFS(Primary_Order[Total Volume],Primary_Order[Date],"&gt;="&amp;DATE(YEAR(J$1),MONTH(J$1),1),Primary_Order[Date],"&lt;="&amp;EOMONTH(J$1,0),Primary_Order[SKU Category],$A9)</f>
        <v>0</v>
      </c>
      <c r="K9" s="208">
        <f>SUMIFS(Primary_Order[Total Volume],Primary_Order[Date],"&gt;="&amp;DATE(YEAR(K$1),MONTH(K$1),1),Primary_Order[Date],"&lt;="&amp;EOMONTH(K$1,0),Primary_Order[SKU Category],$A9)</f>
        <v>0</v>
      </c>
      <c r="L9" s="208">
        <f>SUMIFS(Primary_Order[Total Volume],Primary_Order[Date],"&gt;="&amp;DATE(YEAR(L$1),MONTH(L$1),1),Primary_Order[Date],"&lt;="&amp;EOMONTH(L$1,0),Primary_Order[SKU Category],$A9)</f>
        <v>0</v>
      </c>
      <c r="M9" s="208">
        <f>SUMIFS(Primary_Order[Total Volume],Primary_Order[Date],"&gt;="&amp;DATE(YEAR(M$1),MONTH(M$1),1),Primary_Order[Date],"&lt;="&amp;EOMONTH(M$1,0),Primary_Order[SKU Category],$A9)</f>
        <v>0</v>
      </c>
      <c r="N9" s="209">
        <f t="shared" ref="N9:N12" si="1">SUM(B9:M9)</f>
        <v>7376</v>
      </c>
      <c r="O9" s="208">
        <f t="shared" ref="O9:O12" si="2">N9/COUNTIF($B$4:$M$4,"&lt;&gt;0")</f>
        <v>1844</v>
      </c>
    </row>
    <row r="10" spans="1:15" x14ac:dyDescent="0.5">
      <c r="A10" s="207" t="s">
        <v>336</v>
      </c>
      <c r="B10" s="210">
        <f>SUMIFS(Primary_Order[Total Volume],Primary_Order[Date],"&gt;="&amp;DATE(YEAR(B$1),MONTH(B$1),1),Primary_Order[Date],"&lt;="&amp;EOMONTH(B$1,0),Primary_Order[SKU Category],$A10)</f>
        <v>0</v>
      </c>
      <c r="C10" s="210">
        <f>SUMIFS(Primary_Order[Total Volume],Primary_Order[Date],"&gt;="&amp;DATE(YEAR(C$1),MONTH(C$1),1),Primary_Order[Date],"&lt;="&amp;EOMONTH(C$1,0),Primary_Order[SKU Category],$A10)</f>
        <v>3904</v>
      </c>
      <c r="D10" s="210">
        <f>SUMIFS(Primary_Order[Total Volume],Primary_Order[Date],"&gt;="&amp;DATE(YEAR(D$1),MONTH(D$1),1),Primary_Order[Date],"&lt;="&amp;EOMONTH(D$1,0),Primary_Order[SKU Category],$A10)</f>
        <v>0</v>
      </c>
      <c r="E10" s="210">
        <f>SUMIFS(Primary_Order[Total Volume],Primary_Order[Date],"&gt;="&amp;DATE(YEAR(E$1),MONTH(E$1),1),Primary_Order[Date],"&lt;="&amp;EOMONTH(E$1,0),Primary_Order[SKU Category],$A10)</f>
        <v>0</v>
      </c>
      <c r="F10" s="210">
        <f>SUMIFS(Primary_Order[Total Volume],Primary_Order[Date],"&gt;="&amp;DATE(YEAR(F$1),MONTH(F$1),1),Primary_Order[Date],"&lt;="&amp;EOMONTH(F$1,0),Primary_Order[SKU Category],$A10)</f>
        <v>0</v>
      </c>
      <c r="G10" s="210">
        <f>SUMIFS(Primary_Order[Total Volume],Primary_Order[Date],"&gt;="&amp;DATE(YEAR(G$1),MONTH(G$1),1),Primary_Order[Date],"&lt;="&amp;EOMONTH(G$1,0),Primary_Order[SKU Category],$A10)</f>
        <v>0</v>
      </c>
      <c r="H10" s="210">
        <f>SUMIFS(Primary_Order[Total Volume],Primary_Order[Date],"&gt;="&amp;DATE(YEAR(H$1),MONTH(H$1),1),Primary_Order[Date],"&lt;="&amp;EOMONTH(H$1,0),Primary_Order[SKU Category],$A10)</f>
        <v>0</v>
      </c>
      <c r="I10" s="210">
        <f>SUMIFS(Primary_Order[Total Volume],Primary_Order[Date],"&gt;="&amp;DATE(YEAR(I$1),MONTH(I$1),1),Primary_Order[Date],"&lt;="&amp;EOMONTH(I$1,0),Primary_Order[SKU Category],$A10)</f>
        <v>0</v>
      </c>
      <c r="J10" s="210">
        <f>SUMIFS(Primary_Order[Total Volume],Primary_Order[Date],"&gt;="&amp;DATE(YEAR(J$1),MONTH(J$1),1),Primary_Order[Date],"&lt;="&amp;EOMONTH(J$1,0),Primary_Order[SKU Category],$A10)</f>
        <v>0</v>
      </c>
      <c r="K10" s="210">
        <f>SUMIFS(Primary_Order[Total Volume],Primary_Order[Date],"&gt;="&amp;DATE(YEAR(K$1),MONTH(K$1),1),Primary_Order[Date],"&lt;="&amp;EOMONTH(K$1,0),Primary_Order[SKU Category],$A10)</f>
        <v>0</v>
      </c>
      <c r="L10" s="210">
        <f>SUMIFS(Primary_Order[Total Volume],Primary_Order[Date],"&gt;="&amp;DATE(YEAR(L$1),MONTH(L$1),1),Primary_Order[Date],"&lt;="&amp;EOMONTH(L$1,0),Primary_Order[SKU Category],$A10)</f>
        <v>0</v>
      </c>
      <c r="M10" s="210">
        <f>SUMIFS(Primary_Order[Total Volume],Primary_Order[Date],"&gt;="&amp;DATE(YEAR(M$1),MONTH(M$1),1),Primary_Order[Date],"&lt;="&amp;EOMONTH(M$1,0),Primary_Order[SKU Category],$A10)</f>
        <v>0</v>
      </c>
      <c r="N10" s="210">
        <f t="shared" si="1"/>
        <v>3904</v>
      </c>
      <c r="O10" s="210">
        <f t="shared" si="2"/>
        <v>976</v>
      </c>
    </row>
    <row r="11" spans="1:15" x14ac:dyDescent="0.5">
      <c r="A11" s="207" t="s">
        <v>305</v>
      </c>
      <c r="B11" s="160">
        <f>SUMIFS(Primary_Order[Total Volume],Primary_Order[Date],"&gt;="&amp;DATE(YEAR(B$1),MONTH(B$1),1),Primary_Order[Date],"&lt;="&amp;EOMONTH(B$1,0),Primary_Order[SKU Category],$A11)</f>
        <v>1472.6</v>
      </c>
      <c r="C11" s="208">
        <f>SUMIFS(Primary_Order[Total Volume],Primary_Order[Date],"&gt;="&amp;DATE(YEAR(C$1),MONTH(C$1),1),Primary_Order[Date],"&lt;="&amp;EOMONTH(C$1,0),Primary_Order[SKU Category],$A11)</f>
        <v>3609.1750000000002</v>
      </c>
      <c r="D11" s="160">
        <f>SUMIFS(Primary_Order[Total Volume],Primary_Order[Date],"&gt;="&amp;DATE(YEAR(D$1),MONTH(D$1),1),Primary_Order[Date],"&lt;="&amp;EOMONTH(D$1,0),Primary_Order[SKU Category],$A11)</f>
        <v>1678.95</v>
      </c>
      <c r="E11" s="208">
        <f>SUMIFS(Primary_Order[Total Volume],Primary_Order[Date],"&gt;="&amp;DATE(YEAR(E$1),MONTH(E$1),1),Primary_Order[Date],"&lt;="&amp;EOMONTH(E$1,0),Primary_Order[SKU Category],$A11)</f>
        <v>301</v>
      </c>
      <c r="F11" s="208">
        <f>SUMIFS(Primary_Order[Total Volume],Primary_Order[Date],"&gt;="&amp;DATE(YEAR(F$1),MONTH(F$1),1),Primary_Order[Date],"&lt;="&amp;EOMONTH(F$1,0),Primary_Order[SKU Category],$A11)</f>
        <v>0</v>
      </c>
      <c r="G11" s="208">
        <f>SUMIFS(Primary_Order[Total Volume],Primary_Order[Date],"&gt;="&amp;DATE(YEAR(G$1),MONTH(G$1),1),Primary_Order[Date],"&lt;="&amp;EOMONTH(G$1,0),Primary_Order[SKU Category],$A11)</f>
        <v>0</v>
      </c>
      <c r="H11" s="208">
        <f>SUMIFS(Primary_Order[Total Volume],Primary_Order[Date],"&gt;="&amp;DATE(YEAR(H$1),MONTH(H$1),1),Primary_Order[Date],"&lt;="&amp;EOMONTH(H$1,0),Primary_Order[SKU Category],$A11)</f>
        <v>0</v>
      </c>
      <c r="I11" s="208">
        <f>SUMIFS(Primary_Order[Total Volume],Primary_Order[Date],"&gt;="&amp;DATE(YEAR(I$1),MONTH(I$1),1),Primary_Order[Date],"&lt;="&amp;EOMONTH(I$1,0),Primary_Order[SKU Category],$A11)</f>
        <v>0</v>
      </c>
      <c r="J11" s="208">
        <f>SUMIFS(Primary_Order[Total Volume],Primary_Order[Date],"&gt;="&amp;DATE(YEAR(J$1),MONTH(J$1),1),Primary_Order[Date],"&lt;="&amp;EOMONTH(J$1,0),Primary_Order[SKU Category],$A11)</f>
        <v>0</v>
      </c>
      <c r="K11" s="208">
        <f>SUMIFS(Primary_Order[Total Volume],Primary_Order[Date],"&gt;="&amp;DATE(YEAR(K$1),MONTH(K$1),1),Primary_Order[Date],"&lt;="&amp;EOMONTH(K$1,0),Primary_Order[SKU Category],$A11)</f>
        <v>0</v>
      </c>
      <c r="L11" s="208">
        <f>SUMIFS(Primary_Order[Total Volume],Primary_Order[Date],"&gt;="&amp;DATE(YEAR(L$1),MONTH(L$1),1),Primary_Order[Date],"&lt;="&amp;EOMONTH(L$1,0),Primary_Order[SKU Category],$A11)</f>
        <v>0</v>
      </c>
      <c r="M11" s="208">
        <f>SUMIFS(Primary_Order[Total Volume],Primary_Order[Date],"&gt;="&amp;DATE(YEAR(M$1),MONTH(M$1),1),Primary_Order[Date],"&lt;="&amp;EOMONTH(M$1,0),Primary_Order[SKU Category],$A11)</f>
        <v>0</v>
      </c>
      <c r="N11" s="209">
        <f t="shared" si="1"/>
        <v>7061.7249999999995</v>
      </c>
      <c r="O11" s="208">
        <f t="shared" si="2"/>
        <v>1765.4312499999999</v>
      </c>
    </row>
    <row r="12" spans="1:15" x14ac:dyDescent="0.5">
      <c r="A12" s="207" t="s">
        <v>342</v>
      </c>
      <c r="B12" s="210">
        <f>SUMIFS(Primary_Order[Total Volume],Primary_Order[Date],"&gt;="&amp;DATE(YEAR(B$1),MONTH(B$1),1),Primary_Order[Date],"&lt;="&amp;EOMONTH(B$1,0),Primary_Order[SKU Category],$A12)</f>
        <v>0</v>
      </c>
      <c r="C12" s="210">
        <f>SUMIFS(Primary_Order[Total Volume],Primary_Order[Date],"&gt;="&amp;DATE(YEAR(C$1),MONTH(C$1),1),Primary_Order[Date],"&lt;="&amp;EOMONTH(C$1,0),Primary_Order[SKU Category],$A12)</f>
        <v>0</v>
      </c>
      <c r="D12" s="210">
        <f>SUMIFS(Primary_Order[Total Volume],Primary_Order[Date],"&gt;="&amp;DATE(YEAR(D$1),MONTH(D$1),1),Primary_Order[Date],"&lt;="&amp;EOMONTH(D$1,0),Primary_Order[SKU Category],$A12)</f>
        <v>0</v>
      </c>
      <c r="E12" s="210">
        <f>SUMIFS(Primary_Order[Total Volume],Primary_Order[Date],"&gt;="&amp;DATE(YEAR(E$1),MONTH(E$1),1),Primary_Order[Date],"&lt;="&amp;EOMONTH(E$1,0),Primary_Order[SKU Category],$A12)</f>
        <v>2660</v>
      </c>
      <c r="F12" s="210">
        <f>SUMIFS(Primary_Order[Total Volume],Primary_Order[Date],"&gt;="&amp;DATE(YEAR(F$1),MONTH(F$1),1),Primary_Order[Date],"&lt;="&amp;EOMONTH(F$1,0),Primary_Order[SKU Category],$A12)</f>
        <v>0</v>
      </c>
      <c r="G12" s="210">
        <f>SUMIFS(Primary_Order[Total Volume],Primary_Order[Date],"&gt;="&amp;DATE(YEAR(G$1),MONTH(G$1),1),Primary_Order[Date],"&lt;="&amp;EOMONTH(G$1,0),Primary_Order[SKU Category],$A12)</f>
        <v>0</v>
      </c>
      <c r="H12" s="210">
        <f>SUMIFS(Primary_Order[Total Volume],Primary_Order[Date],"&gt;="&amp;DATE(YEAR(H$1),MONTH(H$1),1),Primary_Order[Date],"&lt;="&amp;EOMONTH(H$1,0),Primary_Order[SKU Category],$A12)</f>
        <v>0</v>
      </c>
      <c r="I12" s="210">
        <f>SUMIFS(Primary_Order[Total Volume],Primary_Order[Date],"&gt;="&amp;DATE(YEAR(I$1),MONTH(I$1),1),Primary_Order[Date],"&lt;="&amp;EOMONTH(I$1,0),Primary_Order[SKU Category],$A12)</f>
        <v>0</v>
      </c>
      <c r="J12" s="210">
        <f>SUMIFS(Primary_Order[Total Volume],Primary_Order[Date],"&gt;="&amp;DATE(YEAR(J$1),MONTH(J$1),1),Primary_Order[Date],"&lt;="&amp;EOMONTH(J$1,0),Primary_Order[SKU Category],$A12)</f>
        <v>0</v>
      </c>
      <c r="K12" s="210">
        <f>SUMIFS(Primary_Order[Total Volume],Primary_Order[Date],"&gt;="&amp;DATE(YEAR(K$1),MONTH(K$1),1),Primary_Order[Date],"&lt;="&amp;EOMONTH(K$1,0),Primary_Order[SKU Category],$A12)</f>
        <v>0</v>
      </c>
      <c r="L12" s="210">
        <f>SUMIFS(Primary_Order[Total Volume],Primary_Order[Date],"&gt;="&amp;DATE(YEAR(L$1),MONTH(L$1),1),Primary_Order[Date],"&lt;="&amp;EOMONTH(L$1,0),Primary_Order[SKU Category],$A12)</f>
        <v>0</v>
      </c>
      <c r="M12" s="210">
        <f>SUMIFS(Primary_Order[Total Volume],Primary_Order[Date],"&gt;="&amp;DATE(YEAR(M$1),MONTH(M$1),1),Primary_Order[Date],"&lt;="&amp;EOMONTH(M$1,0),Primary_Order[SKU Category],$A12)</f>
        <v>0</v>
      </c>
      <c r="N12" s="210">
        <f t="shared" si="1"/>
        <v>2660</v>
      </c>
      <c r="O12" s="210">
        <f t="shared" si="2"/>
        <v>665</v>
      </c>
    </row>
    <row r="13" spans="1:15" x14ac:dyDescent="0.5">
      <c r="A13" s="216" t="s">
        <v>206</v>
      </c>
      <c r="B13" s="217">
        <f>SUM(B8:B11)</f>
        <v>49240.6</v>
      </c>
      <c r="C13" s="217">
        <f t="shared" ref="C13:O13" si="3">SUM(C8:C11)</f>
        <v>54164.175000000003</v>
      </c>
      <c r="D13" s="217">
        <f t="shared" si="3"/>
        <v>53035.75</v>
      </c>
      <c r="E13" s="217">
        <f t="shared" si="3"/>
        <v>52022.2</v>
      </c>
      <c r="F13" s="217">
        <f t="shared" si="3"/>
        <v>0</v>
      </c>
      <c r="G13" s="217">
        <f t="shared" si="3"/>
        <v>0</v>
      </c>
      <c r="H13" s="217">
        <f t="shared" si="3"/>
        <v>0</v>
      </c>
      <c r="I13" s="217">
        <f t="shared" si="3"/>
        <v>0</v>
      </c>
      <c r="J13" s="217">
        <f t="shared" si="3"/>
        <v>0</v>
      </c>
      <c r="K13" s="217">
        <f t="shared" si="3"/>
        <v>0</v>
      </c>
      <c r="L13" s="217">
        <f t="shared" si="3"/>
        <v>0</v>
      </c>
      <c r="M13" s="217">
        <f t="shared" si="3"/>
        <v>0</v>
      </c>
      <c r="N13" s="217">
        <f t="shared" si="3"/>
        <v>208462.72500000001</v>
      </c>
      <c r="O13" s="217">
        <f t="shared" si="3"/>
        <v>52115.681250000001</v>
      </c>
    </row>
    <row r="14" spans="1:15" x14ac:dyDescent="0.5">
      <c r="A14" s="213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</row>
    <row r="15" spans="1:15" x14ac:dyDescent="0.5">
      <c r="A15" s="205" t="s">
        <v>1140</v>
      </c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159"/>
      <c r="O15" s="159"/>
    </row>
    <row r="16" spans="1:15" x14ac:dyDescent="0.5">
      <c r="A16" s="207" t="s">
        <v>753</v>
      </c>
      <c r="B16" s="218">
        <f>SUMIFS(Primary_Order[Net Total(-15%)],Primary_Order[Date],"&gt;="&amp;DATE(YEAR(B$1),MONTH(B$1),1),Primary_Order[Date],"&lt;="&amp;EOMONTH(B$1,0))/10000000</f>
        <v>3.0074215652173941</v>
      </c>
      <c r="C16" s="218">
        <f>SUMIFS(Primary_Order[Net Total(-15%)],Primary_Order[Date],"&gt;="&amp;DATE(YEAR(C$1),MONTH(C$1),1),Primary_Order[Date],"&lt;="&amp;EOMONTH(C$1,0))/10000000</f>
        <v>3.0667326956521737</v>
      </c>
      <c r="D16" s="218">
        <f>SUMIFS(Primary_Order[Net Total(-15%)],Primary_Order[Date],"&gt;="&amp;DATE(YEAR(D$1),MONTH(D$1),1),Primary_Order[Date],"&lt;="&amp;EOMONTH(D$1,0))/10000000</f>
        <v>2.5846919130434789</v>
      </c>
      <c r="E16" s="218">
        <f>SUMIFS(Primary_Order[Net Total(-15%)],Primary_Order[Date],"&gt;="&amp;DATE(YEAR(E$1),MONTH(E$1),1),Primary_Order[Date],"&lt;="&amp;EOMONTH(E$1,0))/10000000</f>
        <v>2.0604808695652177</v>
      </c>
      <c r="F16" s="218">
        <f>SUMIFS(Primary_Order[Net Total(-15%)],Primary_Order[Date],"&gt;="&amp;DATE(YEAR(F$1),MONTH(F$1),1),Primary_Order[Date],"&lt;="&amp;EOMONTH(F$1,0))/10000000</f>
        <v>0</v>
      </c>
      <c r="G16" s="218">
        <f>SUMIFS(Primary_Order[Net Total(-15%)],Primary_Order[Date],"&gt;="&amp;DATE(YEAR(G$1),MONTH(G$1),1),Primary_Order[Date],"&lt;="&amp;EOMONTH(G$1,0))/10000000</f>
        <v>0</v>
      </c>
      <c r="H16" s="218">
        <f>SUMIFS(Primary_Order[Net Total(-15%)],Primary_Order[Date],"&gt;="&amp;DATE(YEAR(H$1),MONTH(H$1),1),Primary_Order[Date],"&lt;="&amp;EOMONTH(H$1,0))/10000000</f>
        <v>0</v>
      </c>
      <c r="I16" s="218">
        <f>SUMIFS(Primary_Order[Net Total(-15%)],Primary_Order[Date],"&gt;="&amp;DATE(YEAR(I$1),MONTH(I$1),1),Primary_Order[Date],"&lt;="&amp;EOMONTH(I$1,0))/10000000</f>
        <v>0</v>
      </c>
      <c r="J16" s="218">
        <f>SUMIFS(Primary_Order[Net Total(-15%)],Primary_Order[Date],"&gt;="&amp;DATE(YEAR(J$1),MONTH(J$1),1),Primary_Order[Date],"&lt;="&amp;EOMONTH(J$1,0))/10000000</f>
        <v>0</v>
      </c>
      <c r="K16" s="218">
        <f>SUMIFS(Primary_Order[Net Total(-15%)],Primary_Order[Date],"&gt;="&amp;DATE(YEAR(K$1),MONTH(K$1),1),Primary_Order[Date],"&lt;="&amp;EOMONTH(K$1,0))/10000000</f>
        <v>0</v>
      </c>
      <c r="L16" s="218">
        <f>SUMIFS(Primary_Order[Net Total(-15%)],Primary_Order[Date],"&gt;="&amp;DATE(YEAR(L$1),MONTH(L$1),1),Primary_Order[Date],"&lt;="&amp;EOMONTH(L$1,0))/10000000</f>
        <v>0</v>
      </c>
      <c r="M16" s="218">
        <f>SUMIFS(Primary_Order[Net Total(-15%)],Primary_Order[Date],"&gt;="&amp;DATE(YEAR(M$1),MONTH(M$1),1),Primary_Order[Date],"&lt;="&amp;EOMONTH(M$1,0))/10000000</f>
        <v>0</v>
      </c>
      <c r="N16" s="218">
        <f>SUM(B16:M16)</f>
        <v>10.719327043478264</v>
      </c>
      <c r="O16" s="218">
        <f>N16/COUNTIF($B$4:$M$4,"&lt;&gt;0")</f>
        <v>2.6798317608695661</v>
      </c>
    </row>
    <row r="17" spans="1:15" x14ac:dyDescent="0.5">
      <c r="A17" s="207" t="s">
        <v>754</v>
      </c>
      <c r="B17" s="162">
        <v>302286</v>
      </c>
      <c r="C17" s="219">
        <v>533489.31999999995</v>
      </c>
      <c r="D17" s="220"/>
      <c r="E17" s="220"/>
      <c r="F17" s="220"/>
      <c r="G17" s="220"/>
      <c r="H17" s="220"/>
      <c r="I17" s="220"/>
      <c r="J17" s="220"/>
      <c r="K17" s="220"/>
      <c r="L17" s="220"/>
      <c r="M17" s="220"/>
      <c r="N17" s="221">
        <f t="shared" ref="N17:N29" si="4">SUM(B17:M17)</f>
        <v>835775.32</v>
      </c>
      <c r="O17" s="222">
        <f t="shared" ref="O17:O22" si="5">N17/COUNTIF($B$4:$M$4,"&lt;&gt;0")</f>
        <v>208943.83</v>
      </c>
    </row>
    <row r="18" spans="1:15" x14ac:dyDescent="0.5">
      <c r="A18" s="207" t="s">
        <v>755</v>
      </c>
      <c r="B18" s="210">
        <v>130210349.99227858</v>
      </c>
      <c r="C18" s="210">
        <v>107313280.09</v>
      </c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>
        <f t="shared" si="4"/>
        <v>237523630.08227858</v>
      </c>
      <c r="O18" s="210">
        <f t="shared" si="5"/>
        <v>59380907.520569645</v>
      </c>
    </row>
    <row r="19" spans="1:15" x14ac:dyDescent="0.5">
      <c r="A19" s="213"/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</row>
    <row r="20" spans="1:15" x14ac:dyDescent="0.5">
      <c r="A20" s="207" t="s">
        <v>756</v>
      </c>
      <c r="B20" s="210">
        <f>B18+0</f>
        <v>130210349.99227858</v>
      </c>
      <c r="C20" s="210">
        <f t="shared" ref="C20:M20" si="6">C18+0</f>
        <v>107313280.09</v>
      </c>
      <c r="D20" s="210">
        <f t="shared" si="6"/>
        <v>0</v>
      </c>
      <c r="E20" s="210">
        <f t="shared" si="6"/>
        <v>0</v>
      </c>
      <c r="F20" s="210">
        <f t="shared" si="6"/>
        <v>0</v>
      </c>
      <c r="G20" s="210">
        <f t="shared" si="6"/>
        <v>0</v>
      </c>
      <c r="H20" s="210">
        <f t="shared" si="6"/>
        <v>0</v>
      </c>
      <c r="I20" s="210">
        <f t="shared" si="6"/>
        <v>0</v>
      </c>
      <c r="J20" s="210">
        <f t="shared" si="6"/>
        <v>0</v>
      </c>
      <c r="K20" s="210">
        <f t="shared" si="6"/>
        <v>0</v>
      </c>
      <c r="L20" s="210">
        <f t="shared" si="6"/>
        <v>0</v>
      </c>
      <c r="M20" s="210">
        <f t="shared" si="6"/>
        <v>0</v>
      </c>
      <c r="N20" s="210">
        <f t="shared" si="4"/>
        <v>237523630.08227858</v>
      </c>
      <c r="O20" s="210">
        <f t="shared" si="5"/>
        <v>59380907.520569645</v>
      </c>
    </row>
    <row r="21" spans="1:15" x14ac:dyDescent="0.5">
      <c r="A21" s="213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</row>
    <row r="22" spans="1:15" x14ac:dyDescent="0.5">
      <c r="A22" s="207" t="s">
        <v>757</v>
      </c>
      <c r="B22" s="210">
        <f>B13/1000</f>
        <v>49.240600000000001</v>
      </c>
      <c r="C22" s="210">
        <f>C13/1000</f>
        <v>54.164175</v>
      </c>
      <c r="D22" s="210">
        <f t="shared" ref="D22:M22" si="7">D13/1000</f>
        <v>53.03575</v>
      </c>
      <c r="E22" s="210">
        <f t="shared" si="7"/>
        <v>52.022199999999998</v>
      </c>
      <c r="F22" s="210">
        <f t="shared" si="7"/>
        <v>0</v>
      </c>
      <c r="G22" s="210">
        <f t="shared" si="7"/>
        <v>0</v>
      </c>
      <c r="H22" s="210">
        <f t="shared" si="7"/>
        <v>0</v>
      </c>
      <c r="I22" s="210">
        <f t="shared" si="7"/>
        <v>0</v>
      </c>
      <c r="J22" s="210">
        <f t="shared" si="7"/>
        <v>0</v>
      </c>
      <c r="K22" s="210">
        <f t="shared" si="7"/>
        <v>0</v>
      </c>
      <c r="L22" s="210">
        <f t="shared" si="7"/>
        <v>0</v>
      </c>
      <c r="M22" s="210">
        <f t="shared" si="7"/>
        <v>0</v>
      </c>
      <c r="N22" s="210">
        <f t="shared" si="4"/>
        <v>208.46272500000001</v>
      </c>
      <c r="O22" s="210">
        <f t="shared" si="5"/>
        <v>52.115681250000002</v>
      </c>
    </row>
    <row r="23" spans="1:15" x14ac:dyDescent="0.5">
      <c r="A23" s="207" t="s">
        <v>753</v>
      </c>
      <c r="B23" s="223">
        <f t="shared" ref="B23:M23" si="8">B16</f>
        <v>3.0074215652173941</v>
      </c>
      <c r="C23" s="223">
        <f t="shared" si="8"/>
        <v>3.0667326956521737</v>
      </c>
      <c r="D23" s="223">
        <f t="shared" si="8"/>
        <v>2.5846919130434789</v>
      </c>
      <c r="E23" s="223">
        <f t="shared" si="8"/>
        <v>2.0604808695652177</v>
      </c>
      <c r="F23" s="223">
        <f t="shared" si="8"/>
        <v>0</v>
      </c>
      <c r="G23" s="223">
        <f t="shared" si="8"/>
        <v>0</v>
      </c>
      <c r="H23" s="223">
        <f t="shared" si="8"/>
        <v>0</v>
      </c>
      <c r="I23" s="223">
        <f t="shared" si="8"/>
        <v>0</v>
      </c>
      <c r="J23" s="223">
        <f t="shared" si="8"/>
        <v>0</v>
      </c>
      <c r="K23" s="223">
        <f t="shared" si="8"/>
        <v>0</v>
      </c>
      <c r="L23" s="223">
        <f t="shared" si="8"/>
        <v>0</v>
      </c>
      <c r="M23" s="223">
        <f t="shared" si="8"/>
        <v>0</v>
      </c>
      <c r="N23" s="221">
        <f t="shared" si="4"/>
        <v>10.719327043478264</v>
      </c>
      <c r="O23" s="222">
        <f t="shared" ref="O23" si="9">N23/COUNTIF($B$4:$M$4,"&lt;&gt;0")</f>
        <v>2.6798317608695661</v>
      </c>
    </row>
    <row r="24" spans="1:15" x14ac:dyDescent="0.5">
      <c r="A24" s="207" t="s">
        <v>1311</v>
      </c>
      <c r="B24" s="210">
        <f t="shared" ref="B24:M24" si="10">B17/10000000</f>
        <v>3.0228600000000001E-2</v>
      </c>
      <c r="C24" s="210">
        <f t="shared" si="10"/>
        <v>5.3348931999999995E-2</v>
      </c>
      <c r="D24" s="210">
        <f t="shared" si="10"/>
        <v>0</v>
      </c>
      <c r="E24" s="210">
        <f t="shared" si="10"/>
        <v>0</v>
      </c>
      <c r="F24" s="210">
        <f t="shared" si="10"/>
        <v>0</v>
      </c>
      <c r="G24" s="210">
        <f t="shared" si="10"/>
        <v>0</v>
      </c>
      <c r="H24" s="210">
        <f t="shared" si="10"/>
        <v>0</v>
      </c>
      <c r="I24" s="210">
        <f t="shared" si="10"/>
        <v>0</v>
      </c>
      <c r="J24" s="210">
        <f t="shared" si="10"/>
        <v>0</v>
      </c>
      <c r="K24" s="210">
        <f t="shared" si="10"/>
        <v>0</v>
      </c>
      <c r="L24" s="210">
        <f t="shared" si="10"/>
        <v>0</v>
      </c>
      <c r="M24" s="210">
        <f t="shared" si="10"/>
        <v>0</v>
      </c>
      <c r="N24" s="210">
        <f t="shared" si="4"/>
        <v>8.3577531999999996E-2</v>
      </c>
      <c r="O24" s="210">
        <f t="shared" ref="O24" si="11">N24/COUNTIF($B$4:$M$4,"&lt;&gt;0")</f>
        <v>2.0894382999999999E-2</v>
      </c>
    </row>
    <row r="25" spans="1:15" x14ac:dyDescent="0.5">
      <c r="A25" s="207" t="s">
        <v>758</v>
      </c>
      <c r="B25" s="223">
        <f t="shared" ref="B25:M25" si="12">B20/10000000</f>
        <v>13.021034999227858</v>
      </c>
      <c r="C25" s="223">
        <f t="shared" si="12"/>
        <v>10.731328009</v>
      </c>
      <c r="D25" s="223">
        <f t="shared" si="12"/>
        <v>0</v>
      </c>
      <c r="E25" s="223">
        <f t="shared" si="12"/>
        <v>0</v>
      </c>
      <c r="F25" s="223">
        <f t="shared" si="12"/>
        <v>0</v>
      </c>
      <c r="G25" s="223">
        <f t="shared" si="12"/>
        <v>0</v>
      </c>
      <c r="H25" s="223">
        <f t="shared" si="12"/>
        <v>0</v>
      </c>
      <c r="I25" s="223">
        <f t="shared" si="12"/>
        <v>0</v>
      </c>
      <c r="J25" s="223">
        <f t="shared" si="12"/>
        <v>0</v>
      </c>
      <c r="K25" s="223">
        <f t="shared" si="12"/>
        <v>0</v>
      </c>
      <c r="L25" s="223">
        <f t="shared" si="12"/>
        <v>0</v>
      </c>
      <c r="M25" s="223">
        <f t="shared" si="12"/>
        <v>0</v>
      </c>
      <c r="N25" s="221">
        <f t="shared" si="4"/>
        <v>23.75236300822786</v>
      </c>
      <c r="O25" s="222">
        <f t="shared" ref="O25" si="13">N25/COUNTIF($B$4:$M$4,"&lt;&gt;0")</f>
        <v>5.938090752056965</v>
      </c>
    </row>
    <row r="26" spans="1:15" x14ac:dyDescent="0.5">
      <c r="A26" s="207" t="s">
        <v>328</v>
      </c>
      <c r="B26" s="210">
        <f t="shared" ref="B26:M26" si="14">B9</f>
        <v>1588</v>
      </c>
      <c r="C26" s="210">
        <f t="shared" si="14"/>
        <v>224</v>
      </c>
      <c r="D26" s="210">
        <f t="shared" si="14"/>
        <v>2048</v>
      </c>
      <c r="E26" s="210">
        <f t="shared" si="14"/>
        <v>3516</v>
      </c>
      <c r="F26" s="210">
        <f t="shared" si="14"/>
        <v>0</v>
      </c>
      <c r="G26" s="210">
        <f t="shared" si="14"/>
        <v>0</v>
      </c>
      <c r="H26" s="210">
        <f t="shared" si="14"/>
        <v>0</v>
      </c>
      <c r="I26" s="210">
        <f t="shared" si="14"/>
        <v>0</v>
      </c>
      <c r="J26" s="210">
        <f t="shared" si="14"/>
        <v>0</v>
      </c>
      <c r="K26" s="210">
        <f t="shared" si="14"/>
        <v>0</v>
      </c>
      <c r="L26" s="210">
        <f t="shared" si="14"/>
        <v>0</v>
      </c>
      <c r="M26" s="210">
        <f t="shared" si="14"/>
        <v>0</v>
      </c>
      <c r="N26" s="210">
        <f t="shared" si="4"/>
        <v>7376</v>
      </c>
      <c r="O26" s="210">
        <f t="shared" ref="O26" si="15">N26/COUNTIF($B$4:$M$4,"&lt;&gt;0")</f>
        <v>1844</v>
      </c>
    </row>
    <row r="27" spans="1:15" x14ac:dyDescent="0.5">
      <c r="A27" s="207" t="s">
        <v>336</v>
      </c>
      <c r="B27" s="224">
        <f t="shared" ref="B27:M27" si="16">B10</f>
        <v>0</v>
      </c>
      <c r="C27" s="224">
        <f t="shared" si="16"/>
        <v>3904</v>
      </c>
      <c r="D27" s="224">
        <f t="shared" si="16"/>
        <v>0</v>
      </c>
      <c r="E27" s="224">
        <f t="shared" si="16"/>
        <v>0</v>
      </c>
      <c r="F27" s="224">
        <f t="shared" si="16"/>
        <v>0</v>
      </c>
      <c r="G27" s="224">
        <f t="shared" si="16"/>
        <v>0</v>
      </c>
      <c r="H27" s="224">
        <f t="shared" si="16"/>
        <v>0</v>
      </c>
      <c r="I27" s="224">
        <f t="shared" si="16"/>
        <v>0</v>
      </c>
      <c r="J27" s="224">
        <f t="shared" si="16"/>
        <v>0</v>
      </c>
      <c r="K27" s="224">
        <f t="shared" si="16"/>
        <v>0</v>
      </c>
      <c r="L27" s="224">
        <f t="shared" si="16"/>
        <v>0</v>
      </c>
      <c r="M27" s="224">
        <f t="shared" si="16"/>
        <v>0</v>
      </c>
      <c r="N27" s="221">
        <f t="shared" si="4"/>
        <v>3904</v>
      </c>
      <c r="O27" s="222">
        <f t="shared" ref="O27" si="17">N27/COUNTIF($B$4:$M$4,"&lt;&gt;0")</f>
        <v>976</v>
      </c>
    </row>
    <row r="28" spans="1:15" x14ac:dyDescent="0.5">
      <c r="A28" s="207" t="s">
        <v>759</v>
      </c>
      <c r="B28" s="210">
        <f t="shared" ref="B28:M28" si="18">B11</f>
        <v>1472.6</v>
      </c>
      <c r="C28" s="210">
        <f t="shared" si="18"/>
        <v>3609.1750000000002</v>
      </c>
      <c r="D28" s="210">
        <f t="shared" si="18"/>
        <v>1678.95</v>
      </c>
      <c r="E28" s="210">
        <f t="shared" si="18"/>
        <v>301</v>
      </c>
      <c r="F28" s="210">
        <f t="shared" si="18"/>
        <v>0</v>
      </c>
      <c r="G28" s="210">
        <f t="shared" si="18"/>
        <v>0</v>
      </c>
      <c r="H28" s="210">
        <f t="shared" si="18"/>
        <v>0</v>
      </c>
      <c r="I28" s="210">
        <f t="shared" si="18"/>
        <v>0</v>
      </c>
      <c r="J28" s="210">
        <f t="shared" si="18"/>
        <v>0</v>
      </c>
      <c r="K28" s="210">
        <f t="shared" si="18"/>
        <v>0</v>
      </c>
      <c r="L28" s="210">
        <f t="shared" si="18"/>
        <v>0</v>
      </c>
      <c r="M28" s="210">
        <f t="shared" si="18"/>
        <v>0</v>
      </c>
      <c r="N28" s="210">
        <f t="shared" si="4"/>
        <v>7061.7249999999995</v>
      </c>
      <c r="O28" s="210">
        <f t="shared" ref="O28" si="19">N28/COUNTIF($B$4:$M$4,"&lt;&gt;0")</f>
        <v>1765.4312499999999</v>
      </c>
    </row>
    <row r="29" spans="1:15" x14ac:dyDescent="0.5">
      <c r="A29" s="207" t="s">
        <v>596</v>
      </c>
      <c r="B29" s="223">
        <f t="shared" ref="B29:M29" si="20">B3/1000</f>
        <v>13.952999999999999</v>
      </c>
      <c r="C29" s="223">
        <f t="shared" si="20"/>
        <v>32.447575000000001</v>
      </c>
      <c r="D29" s="223">
        <f t="shared" si="20"/>
        <v>29.536349999999999</v>
      </c>
      <c r="E29" s="223">
        <f t="shared" si="20"/>
        <v>3.843</v>
      </c>
      <c r="F29" s="223">
        <f t="shared" si="20"/>
        <v>0</v>
      </c>
      <c r="G29" s="223">
        <f t="shared" si="20"/>
        <v>0</v>
      </c>
      <c r="H29" s="223">
        <f t="shared" si="20"/>
        <v>0</v>
      </c>
      <c r="I29" s="223">
        <f t="shared" si="20"/>
        <v>0</v>
      </c>
      <c r="J29" s="223">
        <f t="shared" si="20"/>
        <v>0</v>
      </c>
      <c r="K29" s="223">
        <f t="shared" si="20"/>
        <v>0</v>
      </c>
      <c r="L29" s="223">
        <f t="shared" si="20"/>
        <v>0</v>
      </c>
      <c r="M29" s="223">
        <f t="shared" si="20"/>
        <v>0</v>
      </c>
      <c r="N29" s="221">
        <f t="shared" si="4"/>
        <v>79.779925000000006</v>
      </c>
      <c r="O29" s="222">
        <f t="shared" ref="O29" si="21">N29/COUNTIF($B$4:$M$4,"&lt;&gt;0")</f>
        <v>19.944981250000001</v>
      </c>
    </row>
    <row r="30" spans="1:15" x14ac:dyDescent="0.5">
      <c r="A30" s="207" t="s">
        <v>967</v>
      </c>
      <c r="B30" s="210" cm="1">
        <f t="array" ref="B30">INDEX('Stock(yr)'!$A$1:$AAA$2, 2,('Stock Report'!$C$75*(MONTH(B1)-1)+4)+2)/1000</f>
        <v>319.53197499999993</v>
      </c>
      <c r="C30" s="210">
        <f>IF(B22&gt;0,B30-B22,0)</f>
        <v>270.2913749999999</v>
      </c>
      <c r="D30" s="210">
        <f t="shared" ref="D30:M30" si="22">IF(C22&gt;0,C30-C22,0)</f>
        <v>216.1271999999999</v>
      </c>
      <c r="E30" s="210">
        <f t="shared" si="22"/>
        <v>163.0914499999999</v>
      </c>
      <c r="F30" s="210">
        <f t="shared" si="22"/>
        <v>111.0692499999999</v>
      </c>
      <c r="G30" s="210">
        <f t="shared" si="22"/>
        <v>0</v>
      </c>
      <c r="H30" s="210">
        <f t="shared" si="22"/>
        <v>0</v>
      </c>
      <c r="I30" s="210">
        <f t="shared" si="22"/>
        <v>0</v>
      </c>
      <c r="J30" s="210">
        <f t="shared" si="22"/>
        <v>0</v>
      </c>
      <c r="K30" s="210">
        <f t="shared" si="22"/>
        <v>0</v>
      </c>
      <c r="L30" s="210">
        <f t="shared" si="22"/>
        <v>0</v>
      </c>
      <c r="M30" s="210">
        <f t="shared" si="22"/>
        <v>0</v>
      </c>
      <c r="N30" s="159"/>
      <c r="O30" s="159"/>
    </row>
    <row r="31" spans="1:15" x14ac:dyDescent="0.5">
      <c r="A31" s="207" t="s">
        <v>760</v>
      </c>
      <c r="B31" s="224"/>
      <c r="C31" s="225"/>
      <c r="D31" s="224"/>
      <c r="E31" s="225"/>
      <c r="F31" s="225"/>
      <c r="G31" s="225"/>
      <c r="H31" s="225"/>
      <c r="I31" s="225"/>
      <c r="J31" s="225"/>
      <c r="K31" s="225"/>
      <c r="L31" s="225"/>
      <c r="M31" s="225"/>
      <c r="N31" s="159"/>
      <c r="O31" s="159"/>
    </row>
    <row r="32" spans="1:15" x14ac:dyDescent="0.5">
      <c r="A32" s="207" t="s">
        <v>761</v>
      </c>
      <c r="B32" s="210">
        <f t="shared" ref="B32" si="23">C31+D31</f>
        <v>0</v>
      </c>
      <c r="C32" s="210">
        <f t="shared" ref="C32" si="24">D31+E31</f>
        <v>0</v>
      </c>
      <c r="D32" s="210">
        <f t="shared" ref="D32" si="25">E31+F31</f>
        <v>0</v>
      </c>
      <c r="E32" s="210">
        <f t="shared" ref="E32" si="26">F31+G31</f>
        <v>0</v>
      </c>
      <c r="F32" s="210">
        <f t="shared" ref="F32" si="27">G31+H31</f>
        <v>0</v>
      </c>
      <c r="G32" s="210">
        <f t="shared" ref="G32" si="28">H31+I31</f>
        <v>0</v>
      </c>
      <c r="H32" s="210">
        <f t="shared" ref="H32" si="29">I31+J31</f>
        <v>0</v>
      </c>
      <c r="I32" s="210">
        <f t="shared" ref="I32" si="30">J31+K31</f>
        <v>0</v>
      </c>
      <c r="J32" s="210">
        <f t="shared" ref="J32" si="31">K31+L31</f>
        <v>0</v>
      </c>
      <c r="K32" s="210">
        <f t="shared" ref="K32" si="32">L31+M31</f>
        <v>0</v>
      </c>
      <c r="L32" s="210">
        <f>M31+N30</f>
        <v>0</v>
      </c>
      <c r="M32" s="210">
        <f>N30+O30</f>
        <v>0</v>
      </c>
      <c r="N32" s="159"/>
      <c r="O32" s="159"/>
    </row>
    <row r="35" spans="4:6" x14ac:dyDescent="0.5">
      <c r="E35" s="226"/>
    </row>
    <row r="36" spans="4:6" x14ac:dyDescent="0.5">
      <c r="E36" s="32"/>
    </row>
    <row r="39" spans="4:6" x14ac:dyDescent="0.5">
      <c r="E39" s="227"/>
    </row>
    <row r="40" spans="4:6" x14ac:dyDescent="0.5">
      <c r="F40" s="195"/>
    </row>
    <row r="42" spans="4:6" x14ac:dyDescent="0.5">
      <c r="D42" s="51"/>
    </row>
  </sheetData>
  <sheetProtection formatColumns="0" formatRows="0"/>
  <conditionalFormatting sqref="B32:M32">
    <cfRule type="containsText" dxfId="194" priority="1" operator="containsText" text="m">
      <formula>NOT(ISERROR(SEARCH("m",B32)))</formula>
    </cfRule>
    <cfRule type="containsText" dxfId="193" priority="2" operator="containsText" text="Fs">
      <formula>NOT(ISERROR(SEARCH("Fs",B32)))</formula>
    </cfRule>
  </conditionalFormatting>
  <conditionalFormatting sqref="B4:O4 B8:O8 B10:O10 B12:O12 B16:O16 B18:O18 B20:O20 B22:O22 B24:O24 B26:O26 B28:O28 B30:M30">
    <cfRule type="containsText" dxfId="192" priority="3" operator="containsText" text="m">
      <formula>NOT(ISERROR(SEARCH("m",B4)))</formula>
    </cfRule>
    <cfRule type="containsText" dxfId="191" priority="4" operator="containsText" text="Fs">
      <formula>NOT(ISERROR(SEARCH("Fs",B4)))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A5CDB-2FF1-4F48-BBD4-BFDD4EABA4CC}">
  <sheetPr codeName="Sheet16">
    <tabColor theme="6" tint="-0.249977111117893"/>
  </sheetPr>
  <dimension ref="A3:F9"/>
  <sheetViews>
    <sheetView workbookViewId="0">
      <selection activeCell="E4" sqref="E4"/>
    </sheetView>
  </sheetViews>
  <sheetFormatPr defaultRowHeight="16.5" x14ac:dyDescent="0.5"/>
  <cols>
    <col min="1" max="1" width="14" bestFit="1" customWidth="1"/>
    <col min="2" max="2" width="16.1796875" bestFit="1" customWidth="1"/>
    <col min="3" max="3" width="15" bestFit="1" customWidth="1"/>
    <col min="4" max="4" width="19.453125" bestFit="1" customWidth="1"/>
    <col min="5" max="5" width="16.453125" bestFit="1" customWidth="1"/>
    <col min="6" max="6" width="20.453125" bestFit="1" customWidth="1"/>
  </cols>
  <sheetData>
    <row r="3" spans="1:6" x14ac:dyDescent="0.5">
      <c r="A3" s="368" t="s">
        <v>292</v>
      </c>
      <c r="B3" s="65" t="s">
        <v>1450</v>
      </c>
      <c r="C3" s="65" t="s">
        <v>1451</v>
      </c>
      <c r="D3" s="65" t="s">
        <v>1456</v>
      </c>
      <c r="E3" s="65" t="s">
        <v>1455</v>
      </c>
      <c r="F3" s="65" t="s">
        <v>1457</v>
      </c>
    </row>
    <row r="4" spans="1:6" x14ac:dyDescent="0.5">
      <c r="A4" s="369" t="s">
        <v>342</v>
      </c>
      <c r="B4" s="65">
        <v>442</v>
      </c>
      <c r="C4" s="65">
        <v>457.5</v>
      </c>
      <c r="D4" s="65">
        <v>181912.23000000004</v>
      </c>
      <c r="E4" s="65">
        <v>0</v>
      </c>
      <c r="F4" s="65">
        <v>301113</v>
      </c>
    </row>
    <row r="5" spans="1:6" x14ac:dyDescent="0.5">
      <c r="A5" s="369" t="s">
        <v>305</v>
      </c>
      <c r="B5" s="65">
        <v>1577</v>
      </c>
      <c r="C5" s="65">
        <v>495.74999999999994</v>
      </c>
      <c r="D5" s="65">
        <v>448495.83</v>
      </c>
      <c r="E5" s="65">
        <v>600</v>
      </c>
      <c r="F5" s="65">
        <v>651992.5</v>
      </c>
    </row>
    <row r="6" spans="1:6" x14ac:dyDescent="0.5">
      <c r="A6" s="369" t="s">
        <v>336</v>
      </c>
      <c r="B6" s="65">
        <v>8128</v>
      </c>
      <c r="C6" s="65">
        <v>46023</v>
      </c>
      <c r="D6" s="65">
        <v>15845249.609999999</v>
      </c>
      <c r="E6" s="65">
        <v>151</v>
      </c>
      <c r="F6" s="65">
        <v>21258015</v>
      </c>
    </row>
    <row r="7" spans="1:6" x14ac:dyDescent="0.5">
      <c r="A7" s="369" t="s">
        <v>297</v>
      </c>
      <c r="B7" s="65">
        <v>69932</v>
      </c>
      <c r="C7" s="65">
        <v>71941</v>
      </c>
      <c r="D7" s="65">
        <v>28988286.37524657</v>
      </c>
      <c r="E7" s="65">
        <v>19878</v>
      </c>
      <c r="F7" s="65">
        <v>40134060</v>
      </c>
    </row>
    <row r="8" spans="1:6" x14ac:dyDescent="0.5">
      <c r="A8" s="369" t="s">
        <v>328</v>
      </c>
      <c r="B8" s="65">
        <v>3448</v>
      </c>
      <c r="C8" s="65">
        <v>13297</v>
      </c>
      <c r="D8" s="65">
        <v>6581379.6899999995</v>
      </c>
      <c r="E8" s="65">
        <v>32</v>
      </c>
      <c r="F8" s="65">
        <v>14110225</v>
      </c>
    </row>
    <row r="9" spans="1:6" x14ac:dyDescent="0.5">
      <c r="A9" s="369" t="s">
        <v>708</v>
      </c>
      <c r="B9" s="65">
        <v>83527</v>
      </c>
      <c r="C9" s="65">
        <v>132214.24999999997</v>
      </c>
      <c r="D9" s="65">
        <v>52045323.735246569</v>
      </c>
      <c r="E9" s="65">
        <v>20661</v>
      </c>
      <c r="F9" s="65">
        <v>76455405.5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ADC0D-CF51-4397-9871-FF8343270E59}">
  <sheetPr codeName="Sheet4">
    <tabColor rgb="FF7030A0"/>
  </sheetPr>
  <dimension ref="A1:AL94"/>
  <sheetViews>
    <sheetView zoomScale="68" zoomScaleNormal="68" workbookViewId="0">
      <pane xSplit="3" ySplit="2" topLeftCell="T18" activePane="bottomRight" state="frozen"/>
      <selection pane="topRight" activeCell="D1" sqref="D1"/>
      <selection pane="bottomLeft" activeCell="A3" sqref="A3"/>
      <selection pane="bottomRight" activeCell="A25" sqref="A25:AL25"/>
    </sheetView>
  </sheetViews>
  <sheetFormatPr defaultRowHeight="16.5" x14ac:dyDescent="0.5"/>
  <cols>
    <col min="1" max="1" width="13.6328125" customWidth="1"/>
    <col min="2" max="2" width="49.1796875" customWidth="1"/>
    <col min="3" max="3" width="14.81640625" customWidth="1"/>
    <col min="4" max="4" width="9.26953125" hidden="1" customWidth="1"/>
    <col min="5" max="5" width="13.453125" customWidth="1"/>
    <col min="6" max="6" width="29.26953125" hidden="1" customWidth="1"/>
    <col min="7" max="7" width="27.7265625" hidden="1" customWidth="1"/>
    <col min="8" max="8" width="24.453125" hidden="1" customWidth="1"/>
    <col min="9" max="9" width="24" hidden="1" customWidth="1"/>
    <col min="10" max="10" width="36.08984375" hidden="1" customWidth="1"/>
    <col min="11" max="11" width="28.26953125" hidden="1" customWidth="1"/>
    <col min="12" max="12" width="26.7265625" hidden="1" customWidth="1"/>
    <col min="13" max="13" width="19.36328125" hidden="1" customWidth="1"/>
    <col min="14" max="14" width="22.26953125" customWidth="1"/>
    <col min="15" max="15" width="15.08984375" hidden="1" customWidth="1"/>
    <col min="16" max="16" width="19.453125" hidden="1" customWidth="1"/>
    <col min="17" max="17" width="16.08984375" hidden="1" customWidth="1"/>
    <col min="18" max="18" width="29.36328125" customWidth="1"/>
    <col min="19" max="19" width="25.6328125" customWidth="1"/>
    <col min="20" max="20" width="24.453125" customWidth="1"/>
    <col min="21" max="21" width="25.36328125" hidden="1" customWidth="1"/>
    <col min="22" max="22" width="29.6328125" customWidth="1"/>
    <col min="23" max="23" width="13.1796875" hidden="1" customWidth="1"/>
    <col min="24" max="24" width="27.453125" hidden="1" customWidth="1"/>
    <col min="25" max="25" width="22.7265625" hidden="1" customWidth="1"/>
    <col min="26" max="26" width="27.6328125" customWidth="1"/>
    <col min="27" max="27" width="31.54296875" hidden="1" customWidth="1"/>
    <col min="28" max="28" width="29.6328125" hidden="1" customWidth="1"/>
    <col min="29" max="29" width="31" hidden="1" customWidth="1"/>
    <col min="30" max="30" width="24.81640625" hidden="1" customWidth="1"/>
    <col min="31" max="31" width="13.7265625" hidden="1" customWidth="1"/>
    <col min="32" max="32" width="15.08984375" customWidth="1"/>
    <col min="33" max="33" width="26" hidden="1" customWidth="1"/>
    <col min="34" max="34" width="12.90625" customWidth="1"/>
    <col min="35" max="35" width="14.54296875" customWidth="1"/>
    <col min="36" max="36" width="13.453125" bestFit="1" customWidth="1"/>
    <col min="37" max="37" width="14.6328125" bestFit="1" customWidth="1"/>
    <col min="38" max="38" width="12.81640625" bestFit="1" customWidth="1"/>
    <col min="39" max="39" width="12.54296875" bestFit="1" customWidth="1"/>
  </cols>
  <sheetData>
    <row r="1" spans="1:38" ht="21" x14ac:dyDescent="0.5">
      <c r="A1" s="378" t="s">
        <v>1458</v>
      </c>
      <c r="B1" s="380">
        <v>45777</v>
      </c>
      <c r="C1" s="381" t="s">
        <v>1313</v>
      </c>
      <c r="D1" s="382"/>
      <c r="E1" s="382"/>
      <c r="F1" s="275">
        <f>SUBTOTAL(9,Current_Stock[Vobanipur opening units])</f>
        <v>28258</v>
      </c>
      <c r="G1" s="275">
        <f>SUBTOTAL(9,Current_Stock[Ulukhola opening units])</f>
        <v>82795</v>
      </c>
      <c r="H1" s="275">
        <f>SUBTOTAL(9,Current_Stock[Total Opening Unit])</f>
        <v>111053</v>
      </c>
      <c r="I1" s="275">
        <f>SUBTOTAL(9,Current_Stock[Total Opening (ltr)])</f>
        <v>163033.44999999995</v>
      </c>
      <c r="J1" s="275">
        <f>SUBTOTAL(9,Current_Stock[Ulukhola to vobanipur transfer])</f>
        <v>41059</v>
      </c>
      <c r="K1" s="275">
        <f>SUBTOTAL(9,Current_Stock[New Arrival Vobanipur])</f>
        <v>0</v>
      </c>
      <c r="L1" s="275">
        <f>SUBTOTAL(9,Current_Stock[New Arrival Ulukhola])</f>
        <v>0</v>
      </c>
      <c r="M1" s="275">
        <f>SUBTOTAL(9,Current_Stock[Vobaipur total])</f>
        <v>69317</v>
      </c>
      <c r="N1" s="275">
        <f>SUBTOTAL(9,Current_Stock[Ulukhola Current])</f>
        <v>41736</v>
      </c>
      <c r="O1" s="275">
        <f>SUBTOTAL(9,Current_Stock[Total Unit])</f>
        <v>111053</v>
      </c>
      <c r="P1" s="275">
        <f>SUBTOTAL(9,Current_Stock[Sold Qty(Unit)])</f>
        <v>36071</v>
      </c>
      <c r="Q1" s="275">
        <f>SUBTOTAL(9,Current_Stock[Sales Value])</f>
        <v>16382866.350940933</v>
      </c>
      <c r="R1" s="275">
        <f>SUBTOTAL(9,Current_Stock[Vobanipur Current units])</f>
        <v>33246</v>
      </c>
      <c r="S1" s="275">
        <f>SUBTOTAL(9,Current_Stock[Total Current (Unit)])</f>
        <v>74982</v>
      </c>
      <c r="T1" s="275">
        <f>SUBTOTAL(9,Current_Stock[Total Current (Ltr)])</f>
        <v>122534.24999999999</v>
      </c>
      <c r="U1" s="275">
        <f>SUBTOTAL(9,Current_Stock[Total Current Value])</f>
        <v>48270174.085246548</v>
      </c>
      <c r="V1" s="275">
        <f>SUBTOTAL(9,Current_Stock[Current Stock(Cartoon)])</f>
        <v>7049</v>
      </c>
      <c r="W1" s="275">
        <f>SUBTOTAL(9,Current_Stock[RO units])</f>
        <v>257</v>
      </c>
      <c r="X1" s="275">
        <f ca="1">SUBTOTAL(9,Current_Stock[Opening Damage Unit])</f>
        <v>33789</v>
      </c>
      <c r="Y1" s="275">
        <f>SUBTOTAL(9,Current_Stock[Damage Sold unit])</f>
        <v>14183</v>
      </c>
      <c r="Z1" s="275">
        <f ca="1">SUBTOTAL(9,Current_Stock[Remaining Damage Unit])</f>
        <v>19606</v>
      </c>
      <c r="AA1" s="275">
        <f>SUBTOTAL(9,Current_Stock[Total Price( Based on DP)])</f>
        <v>70977305.5</v>
      </c>
      <c r="AB1" s="275">
        <f ca="1">SUBTOTAL(9,Current_Stock[Total Unit with Damage])</f>
        <v>94588</v>
      </c>
      <c r="AC1" s="275">
        <f ca="1">SUBTOTAL(9,Current_Stock[Total Value with Damage])</f>
        <v>56195698.934660994</v>
      </c>
      <c r="AD1" s="275">
        <f>SUBTOTAL(9,Current_Stock[Blocked Stock(unit)])</f>
        <v>31430</v>
      </c>
      <c r="AE1" s="275">
        <f>SUBTOTAL(9,Current_Stock[Final Qty])</f>
        <v>43552</v>
      </c>
      <c r="AF1" s="275">
        <f>SUBTOTAL(1,Current_Stock[Ageing(M)])</f>
        <v>13.509742019898919</v>
      </c>
      <c r="AG1" s="275">
        <f>SUBTOTAL(1,Current_Stock[Ageing till Sep''24 (D)])</f>
        <v>194.29226059696776</v>
      </c>
      <c r="AJ1" s="383">
        <f>SUBTOTAL(9,AJ3:AJ71)</f>
        <v>43140.25</v>
      </c>
      <c r="AK1" s="383">
        <f ca="1">SUBTOTAL(9,AK3:AK71)</f>
        <v>20043.975000000002</v>
      </c>
      <c r="AL1" s="383">
        <f>SUBTOTAL(9,AL3:AL71)</f>
        <v>79394</v>
      </c>
    </row>
    <row r="2" spans="1:38" ht="18.5" x14ac:dyDescent="0.55000000000000004">
      <c r="A2" s="265" t="s">
        <v>208</v>
      </c>
      <c r="B2" s="265" t="s">
        <v>762</v>
      </c>
      <c r="C2" s="265" t="s">
        <v>292</v>
      </c>
      <c r="D2" s="265" t="s">
        <v>750</v>
      </c>
      <c r="E2" s="265" t="s">
        <v>1104</v>
      </c>
      <c r="F2" s="265" t="s">
        <v>942</v>
      </c>
      <c r="G2" s="265" t="s">
        <v>943</v>
      </c>
      <c r="H2" s="265" t="s">
        <v>959</v>
      </c>
      <c r="I2" s="265" t="s">
        <v>960</v>
      </c>
      <c r="J2" s="266" t="s">
        <v>941</v>
      </c>
      <c r="K2" s="265" t="s">
        <v>958</v>
      </c>
      <c r="L2" s="265" t="s">
        <v>946</v>
      </c>
      <c r="M2" s="265" t="s">
        <v>947</v>
      </c>
      <c r="N2" s="265" t="s">
        <v>1318</v>
      </c>
      <c r="O2" s="265" t="s">
        <v>957</v>
      </c>
      <c r="P2" s="265" t="s">
        <v>917</v>
      </c>
      <c r="Q2" s="265" t="s">
        <v>1276</v>
      </c>
      <c r="R2" s="265" t="s">
        <v>1319</v>
      </c>
      <c r="S2" s="265" t="s">
        <v>1024</v>
      </c>
      <c r="T2" s="265" t="s">
        <v>1025</v>
      </c>
      <c r="U2" s="265" t="s">
        <v>1026</v>
      </c>
      <c r="V2" s="265" t="s">
        <v>919</v>
      </c>
      <c r="W2" s="265" t="s">
        <v>920</v>
      </c>
      <c r="X2" s="265" t="s">
        <v>833</v>
      </c>
      <c r="Y2" s="265" t="s">
        <v>961</v>
      </c>
      <c r="Z2" s="206" t="s">
        <v>834</v>
      </c>
      <c r="AA2" s="265" t="s">
        <v>1158</v>
      </c>
      <c r="AB2" s="265" t="s">
        <v>1157</v>
      </c>
      <c r="AC2" s="265" t="s">
        <v>1156</v>
      </c>
      <c r="AD2" s="265" t="s">
        <v>1287</v>
      </c>
      <c r="AE2" s="265" t="s">
        <v>1288</v>
      </c>
      <c r="AF2" s="265" t="s">
        <v>1462</v>
      </c>
      <c r="AG2" s="265" t="s">
        <v>1463</v>
      </c>
      <c r="AH2" s="379" t="s">
        <v>1459</v>
      </c>
      <c r="AI2" s="379" t="s">
        <v>272</v>
      </c>
      <c r="AJ2" s="379" t="s">
        <v>1460</v>
      </c>
      <c r="AK2" s="379" t="s">
        <v>1461</v>
      </c>
      <c r="AL2" s="379" t="s">
        <v>1485</v>
      </c>
    </row>
    <row r="3" spans="1:38" x14ac:dyDescent="0.5">
      <c r="A3" s="159" t="s">
        <v>81</v>
      </c>
      <c r="B3" s="159" t="s">
        <v>822</v>
      </c>
      <c r="C3" s="228" t="str">
        <f>VLOOKUP(Current_Stock[[#This Row],[SKU ID]],SKU[],9,0)</f>
        <v>MCO</v>
      </c>
      <c r="D3" s="228">
        <f>VLOOKUP(Current_Stock[[#This Row],[SKU ID]],SKU[],14,0)</f>
        <v>364.92</v>
      </c>
      <c r="E3" s="228">
        <f>VLOOKUP(Current_Stock[[#This Row],[SKU ID]],SKU[],15,0)</f>
        <v>495</v>
      </c>
      <c r="F3" s="228">
        <f>VLOOKUP(Current_Stock[[#This Row],[SKU ID]],Stock_year[],((MONTH($B$1)-1)*$C$75)+2+1,0)</f>
        <v>6489</v>
      </c>
      <c r="G3" s="228">
        <f>VLOOKUP(Current_Stock[[#This Row],[SKU ID]],Stock_year[],((MONTH($B$1)-1)*$C$75)+2+2,0)</f>
        <v>31400</v>
      </c>
      <c r="H3" s="228">
        <f>Current_Stock[[#This Row],[Vobanipur opening units]]+Current_Stock[[#This Row],[Ulukhola opening units]]</f>
        <v>37889</v>
      </c>
      <c r="I3" s="267">
        <f>VLOOKUP(Current_Stock[[#This Row],[SKU ID]],SKU[[SKU ID]:[Bottle Size(Ltr)]],6,0)*Current_Stock[[#This Row],[Total Opening Unit]]</f>
        <v>37889</v>
      </c>
      <c r="J3" s="228">
        <f>VLOOKUP(Current_Stock[[#This Row],[SKU ID]],Stock_year[],((MONTH($B$1)-1)*$C$75)+2+5,0)</f>
        <v>260</v>
      </c>
      <c r="K3" s="228">
        <f>VLOOKUP(Current_Stock[[#This Row],[SKU ID]],Stock_year[],((MONTH($B$1)-1)*$C$75)+2+6,0)</f>
        <v>0</v>
      </c>
      <c r="L3" s="228">
        <f>VLOOKUP(Current_Stock[[#This Row],[SKU ID]],Stock_year[],((MONTH($B$1)-1)*$C$75)+2+7,0)</f>
        <v>0</v>
      </c>
      <c r="M3" s="228">
        <f>Current_Stock[[#This Row],[Vobanipur opening units]]+Current_Stock[[#This Row],[New Arrival Ulukhola]]+Current_Stock[[#This Row],[Ulukhola to vobanipur transfer]]</f>
        <v>6749</v>
      </c>
      <c r="N3" s="228">
        <f>Current_Stock[[#This Row],[Ulukhola opening units]]+Current_Stock[[#This Row],[New Arrival Vobanipur]]-Current_Stock[[#This Row],[Ulukhola to vobanipur transfer]]</f>
        <v>31140</v>
      </c>
      <c r="O3" s="228">
        <f>Current_Stock[[#This Row],[Vobaipur total]]+Current_Stock[[#This Row],[Ulukhola Current]]</f>
        <v>37889</v>
      </c>
      <c r="P3" s="228">
        <f>SUMIFS(Primary_Order[Total Qty],Primary_Order[Date],"&gt;="&amp;DATE(YEAR($B$1),MONTH($B$1),1),Primary_Order[Date],"&lt;="&amp;$B$1,Primary_Order[Status],$A$1,Primary_Order[Product ID],A3,Primary_Order[Status],"&lt;&gt;DMG-Sold")</f>
        <v>5020</v>
      </c>
      <c r="Q3" s="228">
        <f>Current_Stock[[#This Row],[Sold Qty(Unit)]]*Current_Stock[[#This Row],[Cost]]</f>
        <v>1831898.4000000001</v>
      </c>
      <c r="R3" s="228">
        <f>Current_Stock[[#This Row],[Vobaipur total]]-Current_Stock[[#This Row],[Sold Qty(Unit)]]</f>
        <v>1729</v>
      </c>
      <c r="S3" s="267">
        <f>Current_Stock[[#This Row],[Vobanipur Current units]]+Current_Stock[[#This Row],[Ulukhola Current]]</f>
        <v>32869</v>
      </c>
      <c r="T3" s="267">
        <f>VLOOKUP(Current_Stock[[#This Row],[SKU ID]],SKU[[SKU ID]:[Bottle Size(Ltr)]],6,0)*Current_Stock[[#This Row],[Total Current (Unit)]]</f>
        <v>32869</v>
      </c>
      <c r="U3" s="267">
        <f>Current_Stock[[#This Row],[Total Current (Unit)]]*Current_Stock[[#This Row],[Cost]]</f>
        <v>11994555.48</v>
      </c>
      <c r="V3" s="267">
        <f>FLOOR(Current_Stock[[#This Row],[Total Current (Unit)]]/VLOOKUP(Current_Stock[[#This Row],[SKU ID]],SKU[],5,0),1)</f>
        <v>1643</v>
      </c>
      <c r="W3" s="267">
        <f>MOD(Current_Stock[[#This Row],[Total Current (Unit)]],VLOOKUP(Current_Stock[[#This Row],[SKU ID]],SKU[],5,0))</f>
        <v>9</v>
      </c>
      <c r="X3" s="228">
        <f ca="1">VLOOKUP(Current_Stock[[#This Row],[SKU ID]],Stock_year[],((MONTH($B$1)-1)*$C$75)+17,0)</f>
        <v>5003</v>
      </c>
      <c r="Y3" s="228">
        <f>SUMIFS(Primary_Order[Total Qty],Primary_Order[Date],"&gt;="&amp;DATE(YEAR($B$1),MONTH($B$1),1),Primary_Order[Date],"&lt;="&amp;$B$1,Primary_Order[Status],"DMG-Sold",Primary_Order[Product ID],A3)</f>
        <v>0</v>
      </c>
      <c r="Z3" s="228">
        <f ca="1">Current_Stock[[#This Row],[Opening Damage Unit]]-Current_Stock[[#This Row],[Damage Sold unit]]</f>
        <v>5003</v>
      </c>
      <c r="AA3" s="228">
        <f>Current_Stock[[#This Row],[DP Price]]*Current_Stock[[#This Row],[Total Current (Unit)]]</f>
        <v>16270155</v>
      </c>
      <c r="AB3" s="228">
        <f ca="1">Current_Stock[[#This Row],[Total Current (Unit)]]+Current_Stock[[#This Row],[Remaining Damage Unit]]</f>
        <v>37872</v>
      </c>
      <c r="AC3" s="228">
        <f ca="1">Current_Stock[[#This Row],[Total Unit with Damage]]*Current_Stock[[#This Row],[Cost]]</f>
        <v>13820250.24</v>
      </c>
      <c r="AD3" s="228">
        <f>SUMIFS(Primary_Order[Total Qty],Primary_Order[Date],"&gt;="&amp;DATE(2027,12,1),Primary_Order[Status],$A$1,Primary_Order[Product ID],A3)</f>
        <v>0</v>
      </c>
      <c r="AE3" s="228">
        <f>Current_Stock[[#This Row],[Total Current (Unit)]]-Current_Stock[[#This Row],[Blocked Stock(unit)]]</f>
        <v>32869</v>
      </c>
      <c r="AF3" s="228">
        <f>(Current_Stock[[#This Row],[Ageing till Sep''24 (D)]]+($B$1-45566))/30</f>
        <v>9.2839735830101215</v>
      </c>
      <c r="AG3" s="228">
        <v>67.519207490303614</v>
      </c>
      <c r="AH3" t="str">
        <f>VLOOKUP(Current_Stock[[#This Row],[SKU ID]],SKU[],12,0)</f>
        <v>20W50</v>
      </c>
      <c r="AI3" t="str">
        <f>VLOOKUP(Current_Stock[[#This Row],[SKU ID]],SKU[],10,0)</f>
        <v>Mineral</v>
      </c>
      <c r="AJ3" s="195">
        <f>VLOOKUP(Current_Stock[[#This Row],[SKU ID]],SKU[[SKU ID]:[Bottle Size(Ltr)]],6,0)*Current_Stock[[#This Row],[Vobanipur Current units]]</f>
        <v>1729</v>
      </c>
      <c r="AK3" s="195">
        <f ca="1">VLOOKUP(Current_Stock[[#This Row],[SKU ID]],SKU[[SKU ID]:[Bottle Size(Ltr)]],6,0)*Current_Stock[[#This Row],[Remaining Damage Unit]]</f>
        <v>5003</v>
      </c>
      <c r="AL3" s="195">
        <f>VLOOKUP(Current_Stock[[#This Row],[SKU ID]],SKU[[SKU ID]:[Bottle Size(Ltr)]],6,0)*Current_Stock[[#This Row],[Ulukhola Current]]</f>
        <v>31140</v>
      </c>
    </row>
    <row r="4" spans="1:38" x14ac:dyDescent="0.5">
      <c r="A4" s="159" t="s">
        <v>159</v>
      </c>
      <c r="B4" s="159" t="s">
        <v>818</v>
      </c>
      <c r="C4" s="228" t="str">
        <f>VLOOKUP(Current_Stock[[#This Row],[SKU ID]],SKU[],9,0)</f>
        <v>HDDO</v>
      </c>
      <c r="D4" s="228">
        <f>VLOOKUP(Current_Stock[[#This Row],[SKU ID]],SKU[],14,0)</f>
        <v>6029.74</v>
      </c>
      <c r="E4" s="228">
        <f>VLOOKUP(Current_Stock[[#This Row],[SKU ID]],SKU[],15,0)</f>
        <v>8190</v>
      </c>
      <c r="F4" s="228">
        <f>VLOOKUP(Current_Stock[[#This Row],[SKU ID]],Stock_year[],((MONTH($B$1)-1)*$C$75)+2+1,0)</f>
        <v>65</v>
      </c>
      <c r="G4" s="228">
        <f>VLOOKUP(Current_Stock[[#This Row],[SKU ID]],Stock_year[],((MONTH($B$1)-1)*$C$75)+2+2,0)</f>
        <v>906</v>
      </c>
      <c r="H4" s="228">
        <f>Current_Stock[[#This Row],[Vobanipur opening units]]+Current_Stock[[#This Row],[Ulukhola opening units]]</f>
        <v>971</v>
      </c>
      <c r="I4" s="267">
        <f>VLOOKUP(Current_Stock[[#This Row],[SKU ID]],SKU[[SKU ID]:[Bottle Size(Ltr)]],6,0)*Current_Stock[[#This Row],[Total Opening Unit]]</f>
        <v>17478</v>
      </c>
      <c r="J4" s="228">
        <f>VLOOKUP(Current_Stock[[#This Row],[SKU ID]],Stock_year[],((MONTH($B$1)-1)*$C$75)+2+5,0)</f>
        <v>0</v>
      </c>
      <c r="K4" s="228">
        <f>VLOOKUP(Current_Stock[[#This Row],[SKU ID]],Stock_year[],((MONTH($B$1)-1)*$C$75)+2+6,0)</f>
        <v>0</v>
      </c>
      <c r="L4" s="228">
        <f>VLOOKUP(Current_Stock[[#This Row],[SKU ID]],Stock_year[],((MONTH($B$1)-1)*$C$75)+2+7,0)</f>
        <v>0</v>
      </c>
      <c r="M4" s="228">
        <f>Current_Stock[[#This Row],[Vobanipur opening units]]+Current_Stock[[#This Row],[New Arrival Ulukhola]]+Current_Stock[[#This Row],[Ulukhola to vobanipur transfer]]</f>
        <v>65</v>
      </c>
      <c r="N4" s="228">
        <f>Current_Stock[[#This Row],[Ulukhola opening units]]+Current_Stock[[#This Row],[New Arrival Vobanipur]]-Current_Stock[[#This Row],[Ulukhola to vobanipur transfer]]</f>
        <v>906</v>
      </c>
      <c r="O4" s="228">
        <f>Current_Stock[[#This Row],[Vobaipur total]]+Current_Stock[[#This Row],[Ulukhola Current]]</f>
        <v>971</v>
      </c>
      <c r="P4" s="228">
        <f>SUMIFS(Primary_Order[Total Qty],Primary_Order[Date],"&gt;="&amp;DATE(YEAR($B$1),MONTH($B$1),1),Primary_Order[Date],"&lt;="&amp;$B$1,Primary_Order[Status],$A$1,Primary_Order[Product ID],A4,Primary_Order[Status],"&lt;&gt;DMG-Sold")</f>
        <v>0</v>
      </c>
      <c r="Q4" s="228">
        <f>Current_Stock[[#This Row],[Sold Qty(Unit)]]*Current_Stock[[#This Row],[Cost]]</f>
        <v>0</v>
      </c>
      <c r="R4" s="228">
        <f>Current_Stock[[#This Row],[Vobaipur total]]-Current_Stock[[#This Row],[Sold Qty(Unit)]]</f>
        <v>65</v>
      </c>
      <c r="S4" s="267">
        <f>Current_Stock[[#This Row],[Vobanipur Current units]]+Current_Stock[[#This Row],[Ulukhola Current]]</f>
        <v>971</v>
      </c>
      <c r="T4" s="267">
        <f>VLOOKUP(Current_Stock[[#This Row],[SKU ID]],SKU[[SKU ID]:[Bottle Size(Ltr)]],6,0)*Current_Stock[[#This Row],[Total Current (Unit)]]</f>
        <v>17478</v>
      </c>
      <c r="U4" s="267">
        <f>Current_Stock[[#This Row],[Total Current (Unit)]]*Current_Stock[[#This Row],[Cost]]</f>
        <v>5854877.54</v>
      </c>
      <c r="V4" s="267">
        <f>FLOOR(Current_Stock[[#This Row],[Total Current (Unit)]]/VLOOKUP(Current_Stock[[#This Row],[SKU ID]],SKU[],5,0),1)</f>
        <v>971</v>
      </c>
      <c r="W4" s="267">
        <f>MOD(Current_Stock[[#This Row],[Total Current (Unit)]],VLOOKUP(Current_Stock[[#This Row],[SKU ID]],SKU[],5,0))</f>
        <v>0</v>
      </c>
      <c r="X4" s="228">
        <f ca="1">VLOOKUP(Current_Stock[[#This Row],[SKU ID]],Stock_year[],((MONTH($B$1)-1)*$C$75)+17,0)</f>
        <v>0</v>
      </c>
      <c r="Y4" s="228">
        <f>SUMIFS(Primary_Order[Total Qty],Primary_Order[Date],"&gt;="&amp;DATE(YEAR($B$1),MONTH($B$1),1),Primary_Order[Date],"&lt;="&amp;$B$1,Primary_Order[Status],"DMG-Sold",Primary_Order[Product ID],A4)</f>
        <v>0</v>
      </c>
      <c r="Z4" s="228">
        <f ca="1">Current_Stock[[#This Row],[Opening Damage Unit]]-Current_Stock[[#This Row],[Damage Sold unit]]</f>
        <v>0</v>
      </c>
      <c r="AA4" s="228">
        <f>Current_Stock[[#This Row],[DP Price]]*Current_Stock[[#This Row],[Total Current (Unit)]]</f>
        <v>7952490</v>
      </c>
      <c r="AB4" s="228">
        <f ca="1">Current_Stock[[#This Row],[Total Current (Unit)]]+Current_Stock[[#This Row],[Remaining Damage Unit]]</f>
        <v>971</v>
      </c>
      <c r="AC4" s="228">
        <f ca="1">Current_Stock[[#This Row],[Total Unit with Damage]]*Current_Stock[[#This Row],[Cost]]</f>
        <v>5854877.54</v>
      </c>
      <c r="AD4" s="228">
        <f>SUMIFS(Primary_Order[Total Qty],Primary_Order[Date],"&gt;="&amp;DATE(2027,12,1),Primary_Order[Status],$A$1,Primary_Order[Product ID],A4)</f>
        <v>0</v>
      </c>
      <c r="AE4" s="228">
        <f>Current_Stock[[#This Row],[Total Current (Unit)]]-Current_Stock[[#This Row],[Blocked Stock(unit)]]</f>
        <v>971</v>
      </c>
      <c r="AF4" s="228">
        <f>(Current_Stock[[#This Row],[Ageing till Sep''24 (D)]]+($B$1-45566))/30</f>
        <v>12.01964858928873</v>
      </c>
      <c r="AG4" s="228">
        <v>149.58945767866192</v>
      </c>
      <c r="AH4" t="str">
        <f>VLOOKUP(Current_Stock[[#This Row],[SKU ID]],SKU[],12,0)</f>
        <v>20W50</v>
      </c>
      <c r="AI4" t="str">
        <f>VLOOKUP(Current_Stock[[#This Row],[SKU ID]],SKU[],10,0)</f>
        <v>Mineral</v>
      </c>
      <c r="AJ4" s="195">
        <f>VLOOKUP(Current_Stock[[#This Row],[SKU ID]],SKU[[SKU ID]:[Bottle Size(Ltr)]],6,0)*Current_Stock[[#This Row],[Vobanipur Current units]]</f>
        <v>1170</v>
      </c>
      <c r="AK4" s="195">
        <f ca="1">VLOOKUP(Current_Stock[[#This Row],[SKU ID]],SKU[[SKU ID]:[Bottle Size(Ltr)]],6,0)*Current_Stock[[#This Row],[Remaining Damage Unit]]</f>
        <v>0</v>
      </c>
      <c r="AL4" s="195">
        <f>VLOOKUP(Current_Stock[[#This Row],[SKU ID]],SKU[[SKU ID]:[Bottle Size(Ltr)]],6,0)*Current_Stock[[#This Row],[Ulukhola Current]]</f>
        <v>16308</v>
      </c>
    </row>
    <row r="5" spans="1:38" x14ac:dyDescent="0.5">
      <c r="A5" s="159" t="s">
        <v>67</v>
      </c>
      <c r="B5" s="159" t="s">
        <v>816</v>
      </c>
      <c r="C5" s="228" t="str">
        <f>VLOOKUP(Current_Stock[[#This Row],[SKU ID]],SKU[],9,0)</f>
        <v>HDDO</v>
      </c>
      <c r="D5" s="228">
        <f>VLOOKUP(Current_Stock[[#This Row],[SKU ID]],SKU[],14,0)</f>
        <v>5055.04</v>
      </c>
      <c r="E5" s="228">
        <f>VLOOKUP(Current_Stock[[#This Row],[SKU ID]],SKU[],15,0)</f>
        <v>6870</v>
      </c>
      <c r="F5" s="228">
        <f>VLOOKUP(Current_Stock[[#This Row],[SKU ID]],Stock_year[],((MONTH($B$1)-1)*$C$75)+2+1,0)</f>
        <v>194</v>
      </c>
      <c r="G5" s="228">
        <f>VLOOKUP(Current_Stock[[#This Row],[SKU ID]],Stock_year[],((MONTH($B$1)-1)*$C$75)+2+2,0)</f>
        <v>766</v>
      </c>
      <c r="H5" s="228">
        <f>Current_Stock[[#This Row],[Vobanipur opening units]]+Current_Stock[[#This Row],[Ulukhola opening units]]</f>
        <v>960</v>
      </c>
      <c r="I5" s="267">
        <f>VLOOKUP(Current_Stock[[#This Row],[SKU ID]],SKU[[SKU ID]:[Bottle Size(Ltr)]],6,0)*Current_Stock[[#This Row],[Total Opening Unit]]</f>
        <v>14400</v>
      </c>
      <c r="J5" s="228">
        <f>VLOOKUP(Current_Stock[[#This Row],[SKU ID]],Stock_year[],((MONTH($B$1)-1)*$C$75)+2+5,0)</f>
        <v>0</v>
      </c>
      <c r="K5" s="228">
        <f>VLOOKUP(Current_Stock[[#This Row],[SKU ID]],Stock_year[],((MONTH($B$1)-1)*$C$75)+2+6,0)</f>
        <v>0</v>
      </c>
      <c r="L5" s="228">
        <f>VLOOKUP(Current_Stock[[#This Row],[SKU ID]],Stock_year[],((MONTH($B$1)-1)*$C$75)+2+7,0)</f>
        <v>0</v>
      </c>
      <c r="M5" s="228">
        <f>Current_Stock[[#This Row],[Vobanipur opening units]]+Current_Stock[[#This Row],[New Arrival Ulukhola]]+Current_Stock[[#This Row],[Ulukhola to vobanipur transfer]]</f>
        <v>194</v>
      </c>
      <c r="N5" s="228">
        <f>Current_Stock[[#This Row],[Ulukhola opening units]]+Current_Stock[[#This Row],[New Arrival Vobanipur]]-Current_Stock[[#This Row],[Ulukhola to vobanipur transfer]]</f>
        <v>766</v>
      </c>
      <c r="O5" s="228">
        <f>Current_Stock[[#This Row],[Vobaipur total]]+Current_Stock[[#This Row],[Ulukhola Current]]</f>
        <v>960</v>
      </c>
      <c r="P5" s="228">
        <f>SUMIFS(Primary_Order[Total Qty],Primary_Order[Date],"&gt;="&amp;DATE(YEAR($B$1),MONTH($B$1),1),Primary_Order[Date],"&lt;="&amp;$B$1,Primary_Order[Status],$A$1,Primary_Order[Product ID],A5,Primary_Order[Status],"&lt;&gt;DMG-Sold")</f>
        <v>0</v>
      </c>
      <c r="Q5" s="228">
        <f>Current_Stock[[#This Row],[Sold Qty(Unit)]]*Current_Stock[[#This Row],[Cost]]</f>
        <v>0</v>
      </c>
      <c r="R5" s="228">
        <f>Current_Stock[[#This Row],[Vobaipur total]]-Current_Stock[[#This Row],[Sold Qty(Unit)]]</f>
        <v>194</v>
      </c>
      <c r="S5" s="267">
        <f>Current_Stock[[#This Row],[Vobanipur Current units]]+Current_Stock[[#This Row],[Ulukhola Current]]</f>
        <v>960</v>
      </c>
      <c r="T5" s="267">
        <f>VLOOKUP(Current_Stock[[#This Row],[SKU ID]],SKU[[SKU ID]:[Bottle Size(Ltr)]],6,0)*Current_Stock[[#This Row],[Total Current (Unit)]]</f>
        <v>14400</v>
      </c>
      <c r="U5" s="267">
        <f>Current_Stock[[#This Row],[Total Current (Unit)]]*Current_Stock[[#This Row],[Cost]]</f>
        <v>4852838.4000000004</v>
      </c>
      <c r="V5" s="267">
        <f>FLOOR(Current_Stock[[#This Row],[Total Current (Unit)]]/VLOOKUP(Current_Stock[[#This Row],[SKU ID]],SKU[],5,0),1)</f>
        <v>960</v>
      </c>
      <c r="W5" s="267">
        <f>MOD(Current_Stock[[#This Row],[Total Current (Unit)]],VLOOKUP(Current_Stock[[#This Row],[SKU ID]],SKU[],5,0))</f>
        <v>0</v>
      </c>
      <c r="X5" s="228">
        <f ca="1">VLOOKUP(Current_Stock[[#This Row],[SKU ID]],Stock_year[],((MONTH($B$1)-1)*$C$75)+17,0)</f>
        <v>0</v>
      </c>
      <c r="Y5" s="228">
        <f>SUMIFS(Primary_Order[Total Qty],Primary_Order[Date],"&gt;="&amp;DATE(YEAR($B$1),MONTH($B$1),1),Primary_Order[Date],"&lt;="&amp;$B$1,Primary_Order[Status],"DMG-Sold",Primary_Order[Product ID],A5)</f>
        <v>0</v>
      </c>
      <c r="Z5" s="228">
        <f ca="1">Current_Stock[[#This Row],[Opening Damage Unit]]-Current_Stock[[#This Row],[Damage Sold unit]]</f>
        <v>0</v>
      </c>
      <c r="AA5" s="228">
        <f>Current_Stock[[#This Row],[DP Price]]*Current_Stock[[#This Row],[Total Current (Unit)]]</f>
        <v>6595200</v>
      </c>
      <c r="AB5" s="228">
        <f ca="1">Current_Stock[[#This Row],[Total Current (Unit)]]+Current_Stock[[#This Row],[Remaining Damage Unit]]</f>
        <v>960</v>
      </c>
      <c r="AC5" s="228">
        <f ca="1">Current_Stock[[#This Row],[Total Unit with Damage]]*Current_Stock[[#This Row],[Cost]]</f>
        <v>4852838.4000000004</v>
      </c>
      <c r="AD5" s="228">
        <f>SUMIFS(Primary_Order[Total Qty],Primary_Order[Date],"&gt;="&amp;DATE(2027,12,1),Primary_Order[Status],$A$1,Primary_Order[Product ID],A5)</f>
        <v>0</v>
      </c>
      <c r="AE5" s="228">
        <f>Current_Stock[[#This Row],[Total Current (Unit)]]-Current_Stock[[#This Row],[Blocked Stock(unit)]]</f>
        <v>960</v>
      </c>
      <c r="AF5" s="228">
        <f>(Current_Stock[[#This Row],[Ageing till Sep''24 (D)]]+($B$1-45566))/30</f>
        <v>13.452816434724983</v>
      </c>
      <c r="AG5" s="228">
        <v>192.58449304174951</v>
      </c>
      <c r="AH5" t="str">
        <f>VLOOKUP(Current_Stock[[#This Row],[SKU ID]],SKU[],12,0)</f>
        <v>20W50</v>
      </c>
      <c r="AI5" t="str">
        <f>VLOOKUP(Current_Stock[[#This Row],[SKU ID]],SKU[],10,0)</f>
        <v>Mineral</v>
      </c>
      <c r="AJ5" s="195">
        <f>VLOOKUP(Current_Stock[[#This Row],[SKU ID]],SKU[[SKU ID]:[Bottle Size(Ltr)]],6,0)*Current_Stock[[#This Row],[Vobanipur Current units]]</f>
        <v>2910</v>
      </c>
      <c r="AK5" s="195">
        <f ca="1">VLOOKUP(Current_Stock[[#This Row],[SKU ID]],SKU[[SKU ID]:[Bottle Size(Ltr)]],6,0)*Current_Stock[[#This Row],[Remaining Damage Unit]]</f>
        <v>0</v>
      </c>
      <c r="AL5" s="195">
        <f>VLOOKUP(Current_Stock[[#This Row],[SKU ID]],SKU[[SKU ID]:[Bottle Size(Ltr)]],6,0)*Current_Stock[[#This Row],[Ulukhola Current]]</f>
        <v>11490</v>
      </c>
    </row>
    <row r="6" spans="1:38" x14ac:dyDescent="0.5">
      <c r="A6" s="159" t="s">
        <v>99</v>
      </c>
      <c r="B6" s="159" t="s">
        <v>823</v>
      </c>
      <c r="C6" s="228" t="str">
        <f>VLOOKUP(Current_Stock[[#This Row],[SKU ID]],SKU[],9,0)</f>
        <v>MCO</v>
      </c>
      <c r="D6" s="228">
        <f>VLOOKUP(Current_Stock[[#This Row],[SKU ID]],SKU[],14,0)</f>
        <v>434.61</v>
      </c>
      <c r="E6" s="228">
        <f>VLOOKUP(Current_Stock[[#This Row],[SKU ID]],SKU[],15,0)</f>
        <v>595</v>
      </c>
      <c r="F6" s="228">
        <f>VLOOKUP(Current_Stock[[#This Row],[SKU ID]],Stock_year[],((MONTH($B$1)-1)*$C$75)+2+1,0)</f>
        <v>7084</v>
      </c>
      <c r="G6" s="228">
        <f>VLOOKUP(Current_Stock[[#This Row],[SKU ID]],Stock_year[],((MONTH($B$1)-1)*$C$75)+2+2,0)</f>
        <v>1600</v>
      </c>
      <c r="H6" s="228">
        <f>Current_Stock[[#This Row],[Vobanipur opening units]]+Current_Stock[[#This Row],[Ulukhola opening units]]</f>
        <v>8684</v>
      </c>
      <c r="I6" s="267">
        <f>VLOOKUP(Current_Stock[[#This Row],[SKU ID]],SKU[[SKU ID]:[Bottle Size(Ltr)]],6,0)*Current_Stock[[#This Row],[Total Opening Unit]]</f>
        <v>10420.799999999999</v>
      </c>
      <c r="J6" s="228">
        <f>VLOOKUP(Current_Stock[[#This Row],[SKU ID]],Stock_year[],((MONTH($B$1)-1)*$C$75)+2+5,0)</f>
        <v>0</v>
      </c>
      <c r="K6" s="228">
        <f>VLOOKUP(Current_Stock[[#This Row],[SKU ID]],Stock_year[],((MONTH($B$1)-1)*$C$75)+2+6,0)</f>
        <v>0</v>
      </c>
      <c r="L6" s="228">
        <f>VLOOKUP(Current_Stock[[#This Row],[SKU ID]],Stock_year[],((MONTH($B$1)-1)*$C$75)+2+7,0)</f>
        <v>0</v>
      </c>
      <c r="M6" s="228">
        <f>Current_Stock[[#This Row],[Vobanipur opening units]]+Current_Stock[[#This Row],[New Arrival Ulukhola]]+Current_Stock[[#This Row],[Ulukhola to vobanipur transfer]]</f>
        <v>7084</v>
      </c>
      <c r="N6" s="228">
        <f>Current_Stock[[#This Row],[Ulukhola opening units]]+Current_Stock[[#This Row],[New Arrival Vobanipur]]-Current_Stock[[#This Row],[Ulukhola to vobanipur transfer]]</f>
        <v>1600</v>
      </c>
      <c r="O6" s="228">
        <f>Current_Stock[[#This Row],[Vobaipur total]]+Current_Stock[[#This Row],[Ulukhola Current]]</f>
        <v>8684</v>
      </c>
      <c r="P6" s="228">
        <f>SUMIFS(Primary_Order[Total Qty],Primary_Order[Date],"&gt;="&amp;DATE(YEAR($B$1),MONTH($B$1),1),Primary_Order[Date],"&lt;="&amp;$B$1,Primary_Order[Status],$A$1,Primary_Order[Product ID],A6,Primary_Order[Status],"&lt;&gt;DMG-Sold")</f>
        <v>221</v>
      </c>
      <c r="Q6" s="228">
        <f>Current_Stock[[#This Row],[Sold Qty(Unit)]]*Current_Stock[[#This Row],[Cost]]</f>
        <v>96048.81</v>
      </c>
      <c r="R6" s="228">
        <f>Current_Stock[[#This Row],[Vobaipur total]]-Current_Stock[[#This Row],[Sold Qty(Unit)]]</f>
        <v>6863</v>
      </c>
      <c r="S6" s="267">
        <f>Current_Stock[[#This Row],[Vobanipur Current units]]+Current_Stock[[#This Row],[Ulukhola Current]]</f>
        <v>8463</v>
      </c>
      <c r="T6" s="267">
        <f>VLOOKUP(Current_Stock[[#This Row],[SKU ID]],SKU[[SKU ID]:[Bottle Size(Ltr)]],6,0)*Current_Stock[[#This Row],[Total Current (Unit)]]</f>
        <v>10155.6</v>
      </c>
      <c r="U6" s="267">
        <f>Current_Stock[[#This Row],[Total Current (Unit)]]*Current_Stock[[#This Row],[Cost]]</f>
        <v>3678104.43</v>
      </c>
      <c r="V6" s="267">
        <f>FLOOR(Current_Stock[[#This Row],[Total Current (Unit)]]/VLOOKUP(Current_Stock[[#This Row],[SKU ID]],SKU[],5,0),1)</f>
        <v>423</v>
      </c>
      <c r="W6" s="267">
        <f>MOD(Current_Stock[[#This Row],[Total Current (Unit)]],VLOOKUP(Current_Stock[[#This Row],[SKU ID]],SKU[],5,0))</f>
        <v>3</v>
      </c>
      <c r="X6" s="228">
        <f ca="1">VLOOKUP(Current_Stock[[#This Row],[SKU ID]],Stock_year[],((MONTH($B$1)-1)*$C$75)+17,0)</f>
        <v>2004</v>
      </c>
      <c r="Y6" s="228">
        <f>SUMIFS(Primary_Order[Total Qty],Primary_Order[Date],"&gt;="&amp;DATE(YEAR($B$1),MONTH($B$1),1),Primary_Order[Date],"&lt;="&amp;$B$1,Primary_Order[Status],"DMG-Sold",Primary_Order[Product ID],A6)</f>
        <v>0</v>
      </c>
      <c r="Z6" s="228">
        <f ca="1">Current_Stock[[#This Row],[Opening Damage Unit]]-Current_Stock[[#This Row],[Damage Sold unit]]</f>
        <v>2004</v>
      </c>
      <c r="AA6" s="228">
        <f>Current_Stock[[#This Row],[DP Price]]*Current_Stock[[#This Row],[Total Current (Unit)]]</f>
        <v>5035485</v>
      </c>
      <c r="AB6" s="228">
        <f ca="1">Current_Stock[[#This Row],[Total Current (Unit)]]+Current_Stock[[#This Row],[Remaining Damage Unit]]</f>
        <v>10467</v>
      </c>
      <c r="AC6" s="228">
        <f ca="1">Current_Stock[[#This Row],[Total Unit with Damage]]*Current_Stock[[#This Row],[Cost]]</f>
        <v>4549062.87</v>
      </c>
      <c r="AD6" s="228">
        <f>SUMIFS(Primary_Order[Total Qty],Primary_Order[Date],"&gt;="&amp;DATE(2027,12,1),Primary_Order[Status],$A$1,Primary_Order[Product ID],A6)</f>
        <v>40</v>
      </c>
      <c r="AE6" s="228">
        <f>Current_Stock[[#This Row],[Total Current (Unit)]]-Current_Stock[[#This Row],[Blocked Stock(unit)]]</f>
        <v>8423</v>
      </c>
      <c r="AF6" s="228">
        <f>(Current_Stock[[#This Row],[Ageing till Sep''24 (D)]]+($B$1-45566))/30</f>
        <v>9.5056405154094659</v>
      </c>
      <c r="AG6" s="228">
        <v>74.169215462283972</v>
      </c>
      <c r="AH6" t="str">
        <f>VLOOKUP(Current_Stock[[#This Row],[SKU ID]],SKU[],12,0)</f>
        <v>20W50</v>
      </c>
      <c r="AI6" t="str">
        <f>VLOOKUP(Current_Stock[[#This Row],[SKU ID]],SKU[],10,0)</f>
        <v>Mineral</v>
      </c>
      <c r="AJ6" s="195">
        <f>VLOOKUP(Current_Stock[[#This Row],[SKU ID]],SKU[[SKU ID]:[Bottle Size(Ltr)]],6,0)*Current_Stock[[#This Row],[Vobanipur Current units]]</f>
        <v>8235.6</v>
      </c>
      <c r="AK6" s="195">
        <f ca="1">VLOOKUP(Current_Stock[[#This Row],[SKU ID]],SKU[[SKU ID]:[Bottle Size(Ltr)]],6,0)*Current_Stock[[#This Row],[Remaining Damage Unit]]</f>
        <v>2404.7999999999997</v>
      </c>
      <c r="AL6" s="195">
        <f>VLOOKUP(Current_Stock[[#This Row],[SKU ID]],SKU[[SKU ID]:[Bottle Size(Ltr)]],6,0)*Current_Stock[[#This Row],[Ulukhola Current]]</f>
        <v>1920</v>
      </c>
    </row>
    <row r="7" spans="1:38" x14ac:dyDescent="0.5">
      <c r="A7" s="159" t="s">
        <v>31</v>
      </c>
      <c r="B7" s="159" t="s">
        <v>763</v>
      </c>
      <c r="C7" s="228" t="str">
        <f>VLOOKUP(Current_Stock[[#This Row],[SKU ID]],SKU[],9,0)</f>
        <v>MCO</v>
      </c>
      <c r="D7" s="228">
        <f>VLOOKUP(Current_Stock[[#This Row],[SKU ID]],SKU[],14,0)</f>
        <v>379.33</v>
      </c>
      <c r="E7" s="228">
        <f>VLOOKUP(Current_Stock[[#This Row],[SKU ID]],SKU[],15,0)</f>
        <v>540</v>
      </c>
      <c r="F7" s="228">
        <f>VLOOKUP(Current_Stock[[#This Row],[SKU ID]],Stock_year[],((MONTH($B$1)-1)*$C$75)+2+1,0)</f>
        <v>3582</v>
      </c>
      <c r="G7" s="228">
        <f>VLOOKUP(Current_Stock[[#This Row],[SKU ID]],Stock_year[],((MONTH($B$1)-1)*$C$75)+2+2,0)</f>
        <v>10360</v>
      </c>
      <c r="H7" s="228">
        <f>Current_Stock[[#This Row],[Vobanipur opening units]]+Current_Stock[[#This Row],[Ulukhola opening units]]</f>
        <v>13942</v>
      </c>
      <c r="I7" s="267">
        <f>VLOOKUP(Current_Stock[[#This Row],[SKU ID]],SKU[[SKU ID]:[Bottle Size(Ltr)]],6,0)*Current_Stock[[#This Row],[Total Opening Unit]]</f>
        <v>13942</v>
      </c>
      <c r="J7" s="228">
        <f>VLOOKUP(Current_Stock[[#This Row],[SKU ID]],Stock_year[],((MONTH($B$1)-1)*$C$75)+2+5,0)</f>
        <v>9080</v>
      </c>
      <c r="K7" s="228">
        <f>VLOOKUP(Current_Stock[[#This Row],[SKU ID]],Stock_year[],((MONTH($B$1)-1)*$C$75)+2+6,0)</f>
        <v>0</v>
      </c>
      <c r="L7" s="228">
        <f>VLOOKUP(Current_Stock[[#This Row],[SKU ID]],Stock_year[],((MONTH($B$1)-1)*$C$75)+2+7,0)</f>
        <v>0</v>
      </c>
      <c r="M7" s="228">
        <f>Current_Stock[[#This Row],[Vobanipur opening units]]+Current_Stock[[#This Row],[New Arrival Ulukhola]]+Current_Stock[[#This Row],[Ulukhola to vobanipur transfer]]</f>
        <v>12662</v>
      </c>
      <c r="N7" s="228">
        <f>Current_Stock[[#This Row],[Ulukhola opening units]]+Current_Stock[[#This Row],[New Arrival Vobanipur]]-Current_Stock[[#This Row],[Ulukhola to vobanipur transfer]]</f>
        <v>1280</v>
      </c>
      <c r="O7" s="228">
        <f>Current_Stock[[#This Row],[Vobaipur total]]+Current_Stock[[#This Row],[Ulukhola Current]]</f>
        <v>13942</v>
      </c>
      <c r="P7" s="228">
        <f>SUMIFS(Primary_Order[Total Qty],Primary_Order[Date],"&gt;="&amp;DATE(YEAR($B$1),MONTH($B$1),1),Primary_Order[Date],"&lt;="&amp;$B$1,Primary_Order[Status],$A$1,Primary_Order[Product ID],A7,Primary_Order[Status],"&lt;&gt;DMG-Sold")</f>
        <v>6652</v>
      </c>
      <c r="Q7" s="228">
        <f>Current_Stock[[#This Row],[Sold Qty(Unit)]]*Current_Stock[[#This Row],[Cost]]</f>
        <v>2523303.1599999997</v>
      </c>
      <c r="R7" s="228">
        <f>Current_Stock[[#This Row],[Vobaipur total]]-Current_Stock[[#This Row],[Sold Qty(Unit)]]</f>
        <v>6010</v>
      </c>
      <c r="S7" s="267">
        <f>Current_Stock[[#This Row],[Vobanipur Current units]]+Current_Stock[[#This Row],[Ulukhola Current]]</f>
        <v>7290</v>
      </c>
      <c r="T7" s="267">
        <f>VLOOKUP(Current_Stock[[#This Row],[SKU ID]],SKU[[SKU ID]:[Bottle Size(Ltr)]],6,0)*Current_Stock[[#This Row],[Total Current (Unit)]]</f>
        <v>7290</v>
      </c>
      <c r="U7" s="267">
        <f>Current_Stock[[#This Row],[Total Current (Unit)]]*Current_Stock[[#This Row],[Cost]]</f>
        <v>2765315.6999999997</v>
      </c>
      <c r="V7" s="267">
        <f>FLOOR(Current_Stock[[#This Row],[Total Current (Unit)]]/VLOOKUP(Current_Stock[[#This Row],[SKU ID]],SKU[],5,0),1)</f>
        <v>364</v>
      </c>
      <c r="W7" s="267">
        <f>MOD(Current_Stock[[#This Row],[Total Current (Unit)]],VLOOKUP(Current_Stock[[#This Row],[SKU ID]],SKU[],5,0))</f>
        <v>10</v>
      </c>
      <c r="X7" s="228">
        <f ca="1">VLOOKUP(Current_Stock[[#This Row],[SKU ID]],Stock_year[],((MONTH($B$1)-1)*$C$75)+17,0)</f>
        <v>936</v>
      </c>
      <c r="Y7" s="228">
        <f>SUMIFS(Primary_Order[Total Qty],Primary_Order[Date],"&gt;="&amp;DATE(YEAR($B$1),MONTH($B$1),1),Primary_Order[Date],"&lt;="&amp;$B$1,Primary_Order[Status],"DMG-Sold",Primary_Order[Product ID],A7)</f>
        <v>0</v>
      </c>
      <c r="Z7" s="228">
        <f ca="1">Current_Stock[[#This Row],[Opening Damage Unit]]-Current_Stock[[#This Row],[Damage Sold unit]]</f>
        <v>936</v>
      </c>
      <c r="AA7" s="228">
        <f>Current_Stock[[#This Row],[DP Price]]*Current_Stock[[#This Row],[Total Current (Unit)]]</f>
        <v>3936600</v>
      </c>
      <c r="AB7" s="228">
        <f ca="1">Current_Stock[[#This Row],[Total Current (Unit)]]+Current_Stock[[#This Row],[Remaining Damage Unit]]</f>
        <v>8226</v>
      </c>
      <c r="AC7" s="228">
        <f ca="1">Current_Stock[[#This Row],[Total Unit with Damage]]*Current_Stock[[#This Row],[Cost]]</f>
        <v>3120368.58</v>
      </c>
      <c r="AD7" s="228">
        <f>SUMIFS(Primary_Order[Total Qty],Primary_Order[Date],"&gt;="&amp;DATE(2027,12,1),Primary_Order[Status],$A$1,Primary_Order[Product ID],A7)</f>
        <v>40</v>
      </c>
      <c r="AE7" s="228">
        <f>Current_Stock[[#This Row],[Total Current (Unit)]]-Current_Stock[[#This Row],[Blocked Stock(unit)]]</f>
        <v>7250</v>
      </c>
      <c r="AF7" s="228">
        <f>(Current_Stock[[#This Row],[Ageing till Sep''24 (D)]]+($B$1-45566))/30</f>
        <v>9.0333333333333332</v>
      </c>
      <c r="AG7" s="228">
        <v>60</v>
      </c>
      <c r="AH7" t="str">
        <f>VLOOKUP(Current_Stock[[#This Row],[SKU ID]],SKU[],12,0)</f>
        <v>10W30</v>
      </c>
      <c r="AI7" t="str">
        <f>VLOOKUP(Current_Stock[[#This Row],[SKU ID]],SKU[],10,0)</f>
        <v>Mineral</v>
      </c>
      <c r="AJ7" s="195">
        <f>VLOOKUP(Current_Stock[[#This Row],[SKU ID]],SKU[[SKU ID]:[Bottle Size(Ltr)]],6,0)*Current_Stock[[#This Row],[Vobanipur Current units]]</f>
        <v>6010</v>
      </c>
      <c r="AK7" s="195">
        <f ca="1">VLOOKUP(Current_Stock[[#This Row],[SKU ID]],SKU[[SKU ID]:[Bottle Size(Ltr)]],6,0)*Current_Stock[[#This Row],[Remaining Damage Unit]]</f>
        <v>936</v>
      </c>
      <c r="AL7" s="195">
        <f>VLOOKUP(Current_Stock[[#This Row],[SKU ID]],SKU[[SKU ID]:[Bottle Size(Ltr)]],6,0)*Current_Stock[[#This Row],[Ulukhola Current]]</f>
        <v>1280</v>
      </c>
    </row>
    <row r="8" spans="1:38" x14ac:dyDescent="0.5">
      <c r="A8" s="159" t="s">
        <v>177</v>
      </c>
      <c r="B8" s="159" t="s">
        <v>814</v>
      </c>
      <c r="C8" s="228" t="str">
        <f>VLOOKUP(Current_Stock[[#This Row],[SKU ID]],SKU[],9,0)</f>
        <v>HDDO</v>
      </c>
      <c r="D8" s="228">
        <f>VLOOKUP(Current_Stock[[#This Row],[SKU ID]],SKU[],14,0)</f>
        <v>369.61</v>
      </c>
      <c r="E8" s="228">
        <f>VLOOKUP(Current_Stock[[#This Row],[SKU ID]],SKU[],15,0)</f>
        <v>484</v>
      </c>
      <c r="F8" s="228">
        <f>VLOOKUP(Current_Stock[[#This Row],[SKU ID]],Stock_year[],((MONTH($B$1)-1)*$C$75)+2+1,0)</f>
        <v>4858</v>
      </c>
      <c r="G8" s="228">
        <f>VLOOKUP(Current_Stock[[#This Row],[SKU ID]],Stock_year[],((MONTH($B$1)-1)*$C$75)+2+2,0)</f>
        <v>0</v>
      </c>
      <c r="H8" s="228">
        <f>Current_Stock[[#This Row],[Vobanipur opening units]]+Current_Stock[[#This Row],[Ulukhola opening units]]</f>
        <v>4858</v>
      </c>
      <c r="I8" s="267">
        <f>VLOOKUP(Current_Stock[[#This Row],[SKU ID]],SKU[[SKU ID]:[Bottle Size(Ltr)]],6,0)*Current_Stock[[#This Row],[Total Opening Unit]]</f>
        <v>4858</v>
      </c>
      <c r="J8" s="228">
        <f>VLOOKUP(Current_Stock[[#This Row],[SKU ID]],Stock_year[],((MONTH($B$1)-1)*$C$75)+2+5,0)</f>
        <v>0</v>
      </c>
      <c r="K8" s="228">
        <f>VLOOKUP(Current_Stock[[#This Row],[SKU ID]],Stock_year[],((MONTH($B$1)-1)*$C$75)+2+6,0)</f>
        <v>0</v>
      </c>
      <c r="L8" s="228">
        <f>VLOOKUP(Current_Stock[[#This Row],[SKU ID]],Stock_year[],((MONTH($B$1)-1)*$C$75)+2+7,0)</f>
        <v>0</v>
      </c>
      <c r="M8" s="228">
        <f>Current_Stock[[#This Row],[Vobanipur opening units]]+Current_Stock[[#This Row],[New Arrival Ulukhola]]+Current_Stock[[#This Row],[Ulukhola to vobanipur transfer]]</f>
        <v>4858</v>
      </c>
      <c r="N8" s="228">
        <f>Current_Stock[[#This Row],[Ulukhola opening units]]+Current_Stock[[#This Row],[New Arrival Vobanipur]]-Current_Stock[[#This Row],[Ulukhola to vobanipur transfer]]</f>
        <v>0</v>
      </c>
      <c r="O8" s="228">
        <f>Current_Stock[[#This Row],[Vobaipur total]]+Current_Stock[[#This Row],[Ulukhola Current]]</f>
        <v>4858</v>
      </c>
      <c r="P8" s="228">
        <f>SUMIFS(Primary_Order[Total Qty],Primary_Order[Date],"&gt;="&amp;DATE(YEAR($B$1),MONTH($B$1),1),Primary_Order[Date],"&lt;="&amp;$B$1,Primary_Order[Status],$A$1,Primary_Order[Product ID],A8,Primary_Order[Status],"&lt;&gt;DMG-Sold")</f>
        <v>0</v>
      </c>
      <c r="Q8" s="228">
        <f>Current_Stock[[#This Row],[Sold Qty(Unit)]]*Current_Stock[[#This Row],[Cost]]</f>
        <v>0</v>
      </c>
      <c r="R8" s="228">
        <f>Current_Stock[[#This Row],[Vobaipur total]]-Current_Stock[[#This Row],[Sold Qty(Unit)]]</f>
        <v>4858</v>
      </c>
      <c r="S8" s="267">
        <f>Current_Stock[[#This Row],[Vobanipur Current units]]+Current_Stock[[#This Row],[Ulukhola Current]]</f>
        <v>4858</v>
      </c>
      <c r="T8" s="267">
        <f>VLOOKUP(Current_Stock[[#This Row],[SKU ID]],SKU[[SKU ID]:[Bottle Size(Ltr)]],6,0)*Current_Stock[[#This Row],[Total Current (Unit)]]</f>
        <v>4858</v>
      </c>
      <c r="U8" s="267">
        <f>Current_Stock[[#This Row],[Total Current (Unit)]]*Current_Stock[[#This Row],[Cost]]</f>
        <v>1795565.3800000001</v>
      </c>
      <c r="V8" s="267">
        <f>FLOOR(Current_Stock[[#This Row],[Total Current (Unit)]]/VLOOKUP(Current_Stock[[#This Row],[SKU ID]],SKU[],5,0),1)</f>
        <v>242</v>
      </c>
      <c r="W8" s="267">
        <f>MOD(Current_Stock[[#This Row],[Total Current (Unit)]],VLOOKUP(Current_Stock[[#This Row],[SKU ID]],SKU[],5,0))</f>
        <v>18</v>
      </c>
      <c r="X8" s="228">
        <f ca="1">VLOOKUP(Current_Stock[[#This Row],[SKU ID]],Stock_year[],((MONTH($B$1)-1)*$C$75)+17,0)</f>
        <v>0</v>
      </c>
      <c r="Y8" s="228">
        <f>SUMIFS(Primary_Order[Total Qty],Primary_Order[Date],"&gt;="&amp;DATE(YEAR($B$1),MONTH($B$1),1),Primary_Order[Date],"&lt;="&amp;$B$1,Primary_Order[Status],"DMG-Sold",Primary_Order[Product ID],A8)</f>
        <v>0</v>
      </c>
      <c r="Z8" s="228">
        <f ca="1">Current_Stock[[#This Row],[Opening Damage Unit]]-Current_Stock[[#This Row],[Damage Sold unit]]</f>
        <v>0</v>
      </c>
      <c r="AA8" s="228">
        <f>Current_Stock[[#This Row],[DP Price]]*Current_Stock[[#This Row],[Total Current (Unit)]]</f>
        <v>2351272</v>
      </c>
      <c r="AB8" s="228">
        <f ca="1">Current_Stock[[#This Row],[Total Current (Unit)]]+Current_Stock[[#This Row],[Remaining Damage Unit]]</f>
        <v>4858</v>
      </c>
      <c r="AC8" s="228">
        <f ca="1">Current_Stock[[#This Row],[Total Unit with Damage]]*Current_Stock[[#This Row],[Cost]]</f>
        <v>1795565.3800000001</v>
      </c>
      <c r="AD8" s="228">
        <f>SUMIFS(Primary_Order[Total Qty],Primary_Order[Date],"&gt;="&amp;DATE(2027,12,1),Primary_Order[Status],$A$1,Primary_Order[Product ID],A8)</f>
        <v>0</v>
      </c>
      <c r="AE8" s="228">
        <f>Current_Stock[[#This Row],[Total Current (Unit)]]-Current_Stock[[#This Row],[Blocked Stock(unit)]]</f>
        <v>4858</v>
      </c>
      <c r="AF8" s="228">
        <f>(Current_Stock[[#This Row],[Ageing till Sep''24 (D)]]+($B$1-45566))/30</f>
        <v>15.033333333333333</v>
      </c>
      <c r="AG8" s="228">
        <v>240</v>
      </c>
      <c r="AH8" t="str">
        <f>VLOOKUP(Current_Stock[[#This Row],[SKU ID]],SKU[],12,0)</f>
        <v>20W50</v>
      </c>
      <c r="AI8" t="str">
        <f>VLOOKUP(Current_Stock[[#This Row],[SKU ID]],SKU[],10,0)</f>
        <v>Mineral</v>
      </c>
      <c r="AJ8" s="195">
        <f>VLOOKUP(Current_Stock[[#This Row],[SKU ID]],SKU[[SKU ID]:[Bottle Size(Ltr)]],6,0)*Current_Stock[[#This Row],[Vobanipur Current units]]</f>
        <v>4858</v>
      </c>
      <c r="AK8" s="195">
        <f ca="1">VLOOKUP(Current_Stock[[#This Row],[SKU ID]],SKU[[SKU ID]:[Bottle Size(Ltr)]],6,0)*Current_Stock[[#This Row],[Remaining Damage Unit]]</f>
        <v>0</v>
      </c>
      <c r="AL8" s="195">
        <f>VLOOKUP(Current_Stock[[#This Row],[SKU ID]],SKU[[SKU ID]:[Bottle Size(Ltr)]],6,0)*Current_Stock[[#This Row],[Ulukhola Current]]</f>
        <v>0</v>
      </c>
    </row>
    <row r="9" spans="1:38" x14ac:dyDescent="0.5">
      <c r="A9" s="159" t="s">
        <v>131</v>
      </c>
      <c r="B9" s="159" t="s">
        <v>811</v>
      </c>
      <c r="C9" s="228" t="str">
        <f>VLOOKUP(Current_Stock[[#This Row],[SKU ID]],SKU[],9,0)</f>
        <v>PCMO</v>
      </c>
      <c r="D9" s="228">
        <f>VLOOKUP(Current_Stock[[#This Row],[SKU ID]],SKU[],14,0)</f>
        <v>2323.52</v>
      </c>
      <c r="E9" s="228">
        <f>VLOOKUP(Current_Stock[[#This Row],[SKU ID]],SKU[],15,0)</f>
        <v>4800</v>
      </c>
      <c r="F9" s="228">
        <f>VLOOKUP(Current_Stock[[#This Row],[SKU ID]],Stock_year[],((MONTH($B$1)-1)*$C$75)+2+1,0)</f>
        <v>129</v>
      </c>
      <c r="G9" s="228">
        <f>VLOOKUP(Current_Stock[[#This Row],[SKU ID]],Stock_year[],((MONTH($B$1)-1)*$C$75)+2+2,0)</f>
        <v>1068</v>
      </c>
      <c r="H9" s="228">
        <f>Current_Stock[[#This Row],[Vobanipur opening units]]+Current_Stock[[#This Row],[Ulukhola opening units]]</f>
        <v>1197</v>
      </c>
      <c r="I9" s="267">
        <f>VLOOKUP(Current_Stock[[#This Row],[SKU ID]],SKU[[SKU ID]:[Bottle Size(Ltr)]],6,0)*Current_Stock[[#This Row],[Total Opening Unit]]</f>
        <v>4788</v>
      </c>
      <c r="J9" s="228">
        <f>VLOOKUP(Current_Stock[[#This Row],[SKU ID]],Stock_year[],((MONTH($B$1)-1)*$C$75)+2+5,0)</f>
        <v>388</v>
      </c>
      <c r="K9" s="228">
        <f>VLOOKUP(Current_Stock[[#This Row],[SKU ID]],Stock_year[],((MONTH($B$1)-1)*$C$75)+2+6,0)</f>
        <v>0</v>
      </c>
      <c r="L9" s="228">
        <f>VLOOKUP(Current_Stock[[#This Row],[SKU ID]],Stock_year[],((MONTH($B$1)-1)*$C$75)+2+7,0)</f>
        <v>0</v>
      </c>
      <c r="M9" s="228">
        <f>Current_Stock[[#This Row],[Vobanipur opening units]]+Current_Stock[[#This Row],[New Arrival Ulukhola]]+Current_Stock[[#This Row],[Ulukhola to vobanipur transfer]]</f>
        <v>517</v>
      </c>
      <c r="N9" s="228">
        <f>Current_Stock[[#This Row],[Ulukhola opening units]]+Current_Stock[[#This Row],[New Arrival Vobanipur]]-Current_Stock[[#This Row],[Ulukhola to vobanipur transfer]]</f>
        <v>680</v>
      </c>
      <c r="O9" s="228">
        <f>Current_Stock[[#This Row],[Vobaipur total]]+Current_Stock[[#This Row],[Ulukhola Current]]</f>
        <v>1197</v>
      </c>
      <c r="P9" s="228">
        <f>SUMIFS(Primary_Order[Total Qty],Primary_Order[Date],"&gt;="&amp;DATE(YEAR($B$1),MONTH($B$1),1),Primary_Order[Date],"&lt;="&amp;$B$1,Primary_Order[Status],$A$1,Primary_Order[Product ID],A9,Primary_Order[Status],"&lt;&gt;DMG-Sold")</f>
        <v>0</v>
      </c>
      <c r="Q9" s="228">
        <f>Current_Stock[[#This Row],[Sold Qty(Unit)]]*Current_Stock[[#This Row],[Cost]]</f>
        <v>0</v>
      </c>
      <c r="R9" s="228">
        <f>Current_Stock[[#This Row],[Vobaipur total]]-Current_Stock[[#This Row],[Sold Qty(Unit)]]</f>
        <v>517</v>
      </c>
      <c r="S9" s="267">
        <f>Current_Stock[[#This Row],[Vobanipur Current units]]+Current_Stock[[#This Row],[Ulukhola Current]]</f>
        <v>1197</v>
      </c>
      <c r="T9" s="267">
        <f>VLOOKUP(Current_Stock[[#This Row],[SKU ID]],SKU[[SKU ID]:[Bottle Size(Ltr)]],6,0)*Current_Stock[[#This Row],[Total Current (Unit)]]</f>
        <v>4788</v>
      </c>
      <c r="U9" s="267">
        <f>Current_Stock[[#This Row],[Total Current (Unit)]]*Current_Stock[[#This Row],[Cost]]</f>
        <v>2781253.44</v>
      </c>
      <c r="V9" s="267">
        <f>FLOOR(Current_Stock[[#This Row],[Total Current (Unit)]]/VLOOKUP(Current_Stock[[#This Row],[SKU ID]],SKU[],5,0),1)</f>
        <v>299</v>
      </c>
      <c r="W9" s="267">
        <f>MOD(Current_Stock[[#This Row],[Total Current (Unit)]],VLOOKUP(Current_Stock[[#This Row],[SKU ID]],SKU[],5,0))</f>
        <v>1</v>
      </c>
      <c r="X9" s="228">
        <f ca="1">VLOOKUP(Current_Stock[[#This Row],[SKU ID]],Stock_year[],((MONTH($B$1)-1)*$C$75)+17,0)</f>
        <v>1</v>
      </c>
      <c r="Y9" s="228">
        <f>SUMIFS(Primary_Order[Total Qty],Primary_Order[Date],"&gt;="&amp;DATE(YEAR($B$1),MONTH($B$1),1),Primary_Order[Date],"&lt;="&amp;$B$1,Primary_Order[Status],"DMG-Sold",Primary_Order[Product ID],A9)</f>
        <v>0</v>
      </c>
      <c r="Z9" s="228">
        <f ca="1">Current_Stock[[#This Row],[Opening Damage Unit]]-Current_Stock[[#This Row],[Damage Sold unit]]</f>
        <v>1</v>
      </c>
      <c r="AA9" s="228">
        <f>Current_Stock[[#This Row],[DP Price]]*Current_Stock[[#This Row],[Total Current (Unit)]]</f>
        <v>5745600</v>
      </c>
      <c r="AB9" s="228">
        <f ca="1">Current_Stock[[#This Row],[Total Current (Unit)]]+Current_Stock[[#This Row],[Remaining Damage Unit]]</f>
        <v>1198</v>
      </c>
      <c r="AC9" s="228">
        <f ca="1">Current_Stock[[#This Row],[Total Unit with Damage]]*Current_Stock[[#This Row],[Cost]]</f>
        <v>2783576.96</v>
      </c>
      <c r="AD9" s="228">
        <f>SUMIFS(Primary_Order[Total Qty],Primary_Order[Date],"&gt;="&amp;DATE(2027,12,1),Primary_Order[Status],$A$1,Primary_Order[Product ID],A9)</f>
        <v>0</v>
      </c>
      <c r="AE9" s="228">
        <f>Current_Stock[[#This Row],[Total Current (Unit)]]-Current_Stock[[#This Row],[Blocked Stock(unit)]]</f>
        <v>1197</v>
      </c>
      <c r="AF9" s="228">
        <f>(Current_Stock[[#This Row],[Ageing till Sep''24 (D)]]+($B$1-45566))/30</f>
        <v>13.387735139202409</v>
      </c>
      <c r="AG9" s="228">
        <v>190.63205417607224</v>
      </c>
      <c r="AH9" t="str">
        <f>VLOOKUP(Current_Stock[[#This Row],[SKU ID]],SKU[],12,0)</f>
        <v>0W20</v>
      </c>
      <c r="AI9" t="str">
        <f>VLOOKUP(Current_Stock[[#This Row],[SKU ID]],SKU[],10,0)</f>
        <v>Synthetic</v>
      </c>
      <c r="AJ9" s="195">
        <f>VLOOKUP(Current_Stock[[#This Row],[SKU ID]],SKU[[SKU ID]:[Bottle Size(Ltr)]],6,0)*Current_Stock[[#This Row],[Vobanipur Current units]]</f>
        <v>2068</v>
      </c>
      <c r="AK9" s="195">
        <f ca="1">VLOOKUP(Current_Stock[[#This Row],[SKU ID]],SKU[[SKU ID]:[Bottle Size(Ltr)]],6,0)*Current_Stock[[#This Row],[Remaining Damage Unit]]</f>
        <v>4</v>
      </c>
      <c r="AL9" s="195">
        <f>VLOOKUP(Current_Stock[[#This Row],[SKU ID]],SKU[[SKU ID]:[Bottle Size(Ltr)]],6,0)*Current_Stock[[#This Row],[Ulukhola Current]]</f>
        <v>2720</v>
      </c>
    </row>
    <row r="10" spans="1:38" x14ac:dyDescent="0.5">
      <c r="A10" s="159" t="s">
        <v>185</v>
      </c>
      <c r="B10" s="159" t="s">
        <v>815</v>
      </c>
      <c r="C10" s="228" t="str">
        <f>VLOOKUP(Current_Stock[[#This Row],[SKU ID]],SKU[],9,0)</f>
        <v>HDDO</v>
      </c>
      <c r="D10" s="228">
        <f>VLOOKUP(Current_Stock[[#This Row],[SKU ID]],SKU[],14,0)</f>
        <v>3893.57</v>
      </c>
      <c r="E10" s="228">
        <f>VLOOKUP(Current_Stock[[#This Row],[SKU ID]],SKU[],15,0)</f>
        <v>5104</v>
      </c>
      <c r="F10" s="228">
        <f>VLOOKUP(Current_Stock[[#This Row],[SKU ID]],Stock_year[],((MONTH($B$1)-1)*$C$75)+2+1,0)</f>
        <v>48</v>
      </c>
      <c r="G10" s="228">
        <f>VLOOKUP(Current_Stock[[#This Row],[SKU ID]],Stock_year[],((MONTH($B$1)-1)*$C$75)+2+2,0)</f>
        <v>384</v>
      </c>
      <c r="H10" s="228">
        <f>Current_Stock[[#This Row],[Vobanipur opening units]]+Current_Stock[[#This Row],[Ulukhola opening units]]</f>
        <v>432</v>
      </c>
      <c r="I10" s="267">
        <f>VLOOKUP(Current_Stock[[#This Row],[SKU ID]],SKU[[SKU ID]:[Bottle Size(Ltr)]],6,0)*Current_Stock[[#This Row],[Total Opening Unit]]</f>
        <v>4752</v>
      </c>
      <c r="J10" s="228">
        <f>VLOOKUP(Current_Stock[[#This Row],[SKU ID]],Stock_year[],((MONTH($B$1)-1)*$C$75)+2+5,0)</f>
        <v>0</v>
      </c>
      <c r="K10" s="228">
        <f>VLOOKUP(Current_Stock[[#This Row],[SKU ID]],Stock_year[],((MONTH($B$1)-1)*$C$75)+2+6,0)</f>
        <v>0</v>
      </c>
      <c r="L10" s="228">
        <f>VLOOKUP(Current_Stock[[#This Row],[SKU ID]],Stock_year[],((MONTH($B$1)-1)*$C$75)+2+7,0)</f>
        <v>0</v>
      </c>
      <c r="M10" s="228">
        <f>Current_Stock[[#This Row],[Vobanipur opening units]]+Current_Stock[[#This Row],[New Arrival Ulukhola]]+Current_Stock[[#This Row],[Ulukhola to vobanipur transfer]]</f>
        <v>48</v>
      </c>
      <c r="N10" s="228">
        <f>Current_Stock[[#This Row],[Ulukhola opening units]]+Current_Stock[[#This Row],[New Arrival Vobanipur]]-Current_Stock[[#This Row],[Ulukhola to vobanipur transfer]]</f>
        <v>384</v>
      </c>
      <c r="O10" s="228">
        <f>Current_Stock[[#This Row],[Vobaipur total]]+Current_Stock[[#This Row],[Ulukhola Current]]</f>
        <v>432</v>
      </c>
      <c r="P10" s="228">
        <f>SUMIFS(Primary_Order[Total Qty],Primary_Order[Date],"&gt;="&amp;DATE(YEAR($B$1),MONTH($B$1),1),Primary_Order[Date],"&lt;="&amp;$B$1,Primary_Order[Status],$A$1,Primary_Order[Product ID],A10,Primary_Order[Status],"&lt;&gt;DMG-Sold")</f>
        <v>0</v>
      </c>
      <c r="Q10" s="228">
        <f>Current_Stock[[#This Row],[Sold Qty(Unit)]]*Current_Stock[[#This Row],[Cost]]</f>
        <v>0</v>
      </c>
      <c r="R10" s="228">
        <f>Current_Stock[[#This Row],[Vobaipur total]]-Current_Stock[[#This Row],[Sold Qty(Unit)]]</f>
        <v>48</v>
      </c>
      <c r="S10" s="267">
        <f>Current_Stock[[#This Row],[Vobanipur Current units]]+Current_Stock[[#This Row],[Ulukhola Current]]</f>
        <v>432</v>
      </c>
      <c r="T10" s="267">
        <f>VLOOKUP(Current_Stock[[#This Row],[SKU ID]],SKU[[SKU ID]:[Bottle Size(Ltr)]],6,0)*Current_Stock[[#This Row],[Total Current (Unit)]]</f>
        <v>4752</v>
      </c>
      <c r="U10" s="267">
        <f>Current_Stock[[#This Row],[Total Current (Unit)]]*Current_Stock[[#This Row],[Cost]]</f>
        <v>1682022.24</v>
      </c>
      <c r="V10" s="267">
        <f>FLOOR(Current_Stock[[#This Row],[Total Current (Unit)]]/VLOOKUP(Current_Stock[[#This Row],[SKU ID]],SKU[],5,0),1)</f>
        <v>432</v>
      </c>
      <c r="W10" s="267">
        <f>MOD(Current_Stock[[#This Row],[Total Current (Unit)]],VLOOKUP(Current_Stock[[#This Row],[SKU ID]],SKU[],5,0))</f>
        <v>0</v>
      </c>
      <c r="X10" s="228">
        <f ca="1">VLOOKUP(Current_Stock[[#This Row],[SKU ID]],Stock_year[],((MONTH($B$1)-1)*$C$75)+17,0)</f>
        <v>0</v>
      </c>
      <c r="Y10" s="228">
        <f>SUMIFS(Primary_Order[Total Qty],Primary_Order[Date],"&gt;="&amp;DATE(YEAR($B$1),MONTH($B$1),1),Primary_Order[Date],"&lt;="&amp;$B$1,Primary_Order[Status],"DMG-Sold",Primary_Order[Product ID],A10)</f>
        <v>0</v>
      </c>
      <c r="Z10" s="228">
        <f ca="1">Current_Stock[[#This Row],[Opening Damage Unit]]-Current_Stock[[#This Row],[Damage Sold unit]]</f>
        <v>0</v>
      </c>
      <c r="AA10" s="228">
        <f>Current_Stock[[#This Row],[DP Price]]*Current_Stock[[#This Row],[Total Current (Unit)]]</f>
        <v>2204928</v>
      </c>
      <c r="AB10" s="228">
        <f ca="1">Current_Stock[[#This Row],[Total Current (Unit)]]+Current_Stock[[#This Row],[Remaining Damage Unit]]</f>
        <v>432</v>
      </c>
      <c r="AC10" s="228">
        <f ca="1">Current_Stock[[#This Row],[Total Unit with Damage]]*Current_Stock[[#This Row],[Cost]]</f>
        <v>1682022.24</v>
      </c>
      <c r="AD10" s="228">
        <f>SUMIFS(Primary_Order[Total Qty],Primary_Order[Date],"&gt;="&amp;DATE(2027,12,1),Primary_Order[Status],$A$1,Primary_Order[Product ID],A10)</f>
        <v>0</v>
      </c>
      <c r="AE10" s="228">
        <f>Current_Stock[[#This Row],[Total Current (Unit)]]-Current_Stock[[#This Row],[Blocked Stock(unit)]]</f>
        <v>432</v>
      </c>
      <c r="AF10" s="228">
        <f>(Current_Stock[[#This Row],[Ageing till Sep''24 (D)]]+($B$1-45566))/30</f>
        <v>15.033333333333333</v>
      </c>
      <c r="AG10" s="228">
        <v>240</v>
      </c>
      <c r="AH10" t="str">
        <f>VLOOKUP(Current_Stock[[#This Row],[SKU ID]],SKU[],12,0)</f>
        <v>20W50</v>
      </c>
      <c r="AI10" t="str">
        <f>VLOOKUP(Current_Stock[[#This Row],[SKU ID]],SKU[],10,0)</f>
        <v>Mineral</v>
      </c>
      <c r="AJ10" s="195">
        <f>VLOOKUP(Current_Stock[[#This Row],[SKU ID]],SKU[[SKU ID]:[Bottle Size(Ltr)]],6,0)*Current_Stock[[#This Row],[Vobanipur Current units]]</f>
        <v>528</v>
      </c>
      <c r="AK10" s="195">
        <f ca="1">VLOOKUP(Current_Stock[[#This Row],[SKU ID]],SKU[[SKU ID]:[Bottle Size(Ltr)]],6,0)*Current_Stock[[#This Row],[Remaining Damage Unit]]</f>
        <v>0</v>
      </c>
      <c r="AL10" s="195">
        <f>VLOOKUP(Current_Stock[[#This Row],[SKU ID]],SKU[[SKU ID]:[Bottle Size(Ltr)]],6,0)*Current_Stock[[#This Row],[Ulukhola Current]]</f>
        <v>4224</v>
      </c>
    </row>
    <row r="11" spans="1:38" x14ac:dyDescent="0.5">
      <c r="A11" s="159" t="s">
        <v>35</v>
      </c>
      <c r="B11" s="159" t="s">
        <v>770</v>
      </c>
      <c r="C11" s="228" t="str">
        <f>VLOOKUP(Current_Stock[[#This Row],[SKU ID]],SKU[],9,0)</f>
        <v>MCO</v>
      </c>
      <c r="D11" s="228">
        <f>VLOOKUP(Current_Stock[[#This Row],[SKU ID]],SKU[],14,0)</f>
        <v>602.64</v>
      </c>
      <c r="E11" s="228">
        <f>VLOOKUP(Current_Stock[[#This Row],[SKU ID]],SKU[],15,0)</f>
        <v>860</v>
      </c>
      <c r="F11" s="228">
        <f>VLOOKUP(Current_Stock[[#This Row],[SKU ID]],Stock_year[],((MONTH($B$1)-1)*$C$75)+2+1,0)</f>
        <v>4632</v>
      </c>
      <c r="G11" s="228">
        <f>VLOOKUP(Current_Stock[[#This Row],[SKU ID]],Stock_year[],((MONTH($B$1)-1)*$C$75)+2+2,0)</f>
        <v>0</v>
      </c>
      <c r="H11" s="228">
        <f>Current_Stock[[#This Row],[Vobanipur opening units]]+Current_Stock[[#This Row],[Ulukhola opening units]]</f>
        <v>4632</v>
      </c>
      <c r="I11" s="267">
        <f>VLOOKUP(Current_Stock[[#This Row],[SKU ID]],SKU[[SKU ID]:[Bottle Size(Ltr)]],6,0)*Current_Stock[[#This Row],[Total Opening Unit]]</f>
        <v>4632</v>
      </c>
      <c r="J11" s="228">
        <f>VLOOKUP(Current_Stock[[#This Row],[SKU ID]],Stock_year[],((MONTH($B$1)-1)*$C$75)+2+5,0)</f>
        <v>0</v>
      </c>
      <c r="K11" s="228">
        <f>VLOOKUP(Current_Stock[[#This Row],[SKU ID]],Stock_year[],((MONTH($B$1)-1)*$C$75)+2+6,0)</f>
        <v>0</v>
      </c>
      <c r="L11" s="228">
        <f>VLOOKUP(Current_Stock[[#This Row],[SKU ID]],Stock_year[],((MONTH($B$1)-1)*$C$75)+2+7,0)</f>
        <v>0</v>
      </c>
      <c r="M11" s="228">
        <f>Current_Stock[[#This Row],[Vobanipur opening units]]+Current_Stock[[#This Row],[New Arrival Ulukhola]]+Current_Stock[[#This Row],[Ulukhola to vobanipur transfer]]</f>
        <v>4632</v>
      </c>
      <c r="N11" s="228">
        <f>Current_Stock[[#This Row],[Ulukhola opening units]]+Current_Stock[[#This Row],[New Arrival Vobanipur]]-Current_Stock[[#This Row],[Ulukhola to vobanipur transfer]]</f>
        <v>0</v>
      </c>
      <c r="O11" s="228">
        <f>Current_Stock[[#This Row],[Vobaipur total]]+Current_Stock[[#This Row],[Ulukhola Current]]</f>
        <v>4632</v>
      </c>
      <c r="P11" s="228">
        <f>SUMIFS(Primary_Order[Total Qty],Primary_Order[Date],"&gt;="&amp;DATE(YEAR($B$1),MONTH($B$1),1),Primary_Order[Date],"&lt;="&amp;$B$1,Primary_Order[Status],$A$1,Primary_Order[Product ID],A11,Primary_Order[Status],"&lt;&gt;DMG-Sold")</f>
        <v>24</v>
      </c>
      <c r="Q11" s="228">
        <f>Current_Stock[[#This Row],[Sold Qty(Unit)]]*Current_Stock[[#This Row],[Cost]]</f>
        <v>14463.36</v>
      </c>
      <c r="R11" s="228">
        <f>Current_Stock[[#This Row],[Vobaipur total]]-Current_Stock[[#This Row],[Sold Qty(Unit)]]</f>
        <v>4608</v>
      </c>
      <c r="S11" s="267">
        <f>Current_Stock[[#This Row],[Vobanipur Current units]]+Current_Stock[[#This Row],[Ulukhola Current]]</f>
        <v>4608</v>
      </c>
      <c r="T11" s="267">
        <f>VLOOKUP(Current_Stock[[#This Row],[SKU ID]],SKU[[SKU ID]:[Bottle Size(Ltr)]],6,0)*Current_Stock[[#This Row],[Total Current (Unit)]]</f>
        <v>4608</v>
      </c>
      <c r="U11" s="267">
        <f>Current_Stock[[#This Row],[Total Current (Unit)]]*Current_Stock[[#This Row],[Cost]]</f>
        <v>2776965.1200000001</v>
      </c>
      <c r="V11" s="267">
        <f>FLOOR(Current_Stock[[#This Row],[Total Current (Unit)]]/VLOOKUP(Current_Stock[[#This Row],[SKU ID]],SKU[],5,0),1)</f>
        <v>384</v>
      </c>
      <c r="W11" s="267">
        <f>MOD(Current_Stock[[#This Row],[Total Current (Unit)]],VLOOKUP(Current_Stock[[#This Row],[SKU ID]],SKU[],5,0))</f>
        <v>0</v>
      </c>
      <c r="X11" s="228">
        <f ca="1">VLOOKUP(Current_Stock[[#This Row],[SKU ID]],Stock_year[],((MONTH($B$1)-1)*$C$75)+17,0)</f>
        <v>22</v>
      </c>
      <c r="Y11" s="228">
        <f>SUMIFS(Primary_Order[Total Qty],Primary_Order[Date],"&gt;="&amp;DATE(YEAR($B$1),MONTH($B$1),1),Primary_Order[Date],"&lt;="&amp;$B$1,Primary_Order[Status],"DMG-Sold",Primary_Order[Product ID],A11)</f>
        <v>0</v>
      </c>
      <c r="Z11" s="228">
        <f ca="1">Current_Stock[[#This Row],[Opening Damage Unit]]-Current_Stock[[#This Row],[Damage Sold unit]]</f>
        <v>22</v>
      </c>
      <c r="AA11" s="228">
        <f>Current_Stock[[#This Row],[DP Price]]*Current_Stock[[#This Row],[Total Current (Unit)]]</f>
        <v>3962880</v>
      </c>
      <c r="AB11" s="228">
        <f ca="1">Current_Stock[[#This Row],[Total Current (Unit)]]+Current_Stock[[#This Row],[Remaining Damage Unit]]</f>
        <v>4630</v>
      </c>
      <c r="AC11" s="228">
        <f ca="1">Current_Stock[[#This Row],[Total Unit with Damage]]*Current_Stock[[#This Row],[Cost]]</f>
        <v>2790223.1999999997</v>
      </c>
      <c r="AD11" s="228">
        <f>SUMIFS(Primary_Order[Total Qty],Primary_Order[Date],"&gt;="&amp;DATE(2027,12,1),Primary_Order[Status],$A$1,Primary_Order[Product ID],A11)</f>
        <v>0</v>
      </c>
      <c r="AE11" s="228">
        <f>Current_Stock[[#This Row],[Total Current (Unit)]]-Current_Stock[[#This Row],[Blocked Stock(unit)]]</f>
        <v>4608</v>
      </c>
      <c r="AF11" s="228">
        <f>(Current_Stock[[#This Row],[Ageing till Sep''24 (D)]]+($B$1-45566))/30</f>
        <v>10.033333333333333</v>
      </c>
      <c r="AG11" s="228">
        <v>90</v>
      </c>
      <c r="AH11" t="str">
        <f>VLOOKUP(Current_Stock[[#This Row],[SKU ID]],SKU[],12,0)</f>
        <v>10W30</v>
      </c>
      <c r="AI11" t="str">
        <f>VLOOKUP(Current_Stock[[#This Row],[SKU ID]],SKU[],10,0)</f>
        <v>Technosynthese</v>
      </c>
      <c r="AJ11" s="195">
        <f>VLOOKUP(Current_Stock[[#This Row],[SKU ID]],SKU[[SKU ID]:[Bottle Size(Ltr)]],6,0)*Current_Stock[[#This Row],[Vobanipur Current units]]</f>
        <v>4608</v>
      </c>
      <c r="AK11" s="195">
        <f ca="1">VLOOKUP(Current_Stock[[#This Row],[SKU ID]],SKU[[SKU ID]:[Bottle Size(Ltr)]],6,0)*Current_Stock[[#This Row],[Remaining Damage Unit]]</f>
        <v>22</v>
      </c>
      <c r="AL11" s="195">
        <f>VLOOKUP(Current_Stock[[#This Row],[SKU ID]],SKU[[SKU ID]:[Bottle Size(Ltr)]],6,0)*Current_Stock[[#This Row],[Ulukhola Current]]</f>
        <v>0</v>
      </c>
    </row>
    <row r="12" spans="1:38" x14ac:dyDescent="0.5">
      <c r="A12" s="159" t="s">
        <v>160</v>
      </c>
      <c r="B12" s="159" t="s">
        <v>817</v>
      </c>
      <c r="C12" s="228" t="str">
        <f>VLOOKUP(Current_Stock[[#This Row],[SKU ID]],SKU[],9,0)</f>
        <v>HDDO</v>
      </c>
      <c r="D12" s="228">
        <f>VLOOKUP(Current_Stock[[#This Row],[SKU ID]],SKU[],14,0)</f>
        <v>1830.15</v>
      </c>
      <c r="E12" s="228">
        <f>VLOOKUP(Current_Stock[[#This Row],[SKU ID]],SKU[],15,0)</f>
        <v>2375</v>
      </c>
      <c r="F12" s="228">
        <f>VLOOKUP(Current_Stock[[#This Row],[SKU ID]],Stock_year[],((MONTH($B$1)-1)*$C$75)+2+1,0)</f>
        <v>195</v>
      </c>
      <c r="G12" s="228">
        <f>VLOOKUP(Current_Stock[[#This Row],[SKU ID]],Stock_year[],((MONTH($B$1)-1)*$C$75)+2+2,0)</f>
        <v>712</v>
      </c>
      <c r="H12" s="228">
        <f>Current_Stock[[#This Row],[Vobanipur opening units]]+Current_Stock[[#This Row],[Ulukhola opening units]]</f>
        <v>907</v>
      </c>
      <c r="I12" s="267">
        <f>VLOOKUP(Current_Stock[[#This Row],[SKU ID]],SKU[[SKU ID]:[Bottle Size(Ltr)]],6,0)*Current_Stock[[#This Row],[Total Opening Unit]]</f>
        <v>4535</v>
      </c>
      <c r="J12" s="228">
        <f>VLOOKUP(Current_Stock[[#This Row],[SKU ID]],Stock_year[],((MONTH($B$1)-1)*$C$75)+2+5,0)</f>
        <v>0</v>
      </c>
      <c r="K12" s="228">
        <f>VLOOKUP(Current_Stock[[#This Row],[SKU ID]],Stock_year[],((MONTH($B$1)-1)*$C$75)+2+6,0)</f>
        <v>0</v>
      </c>
      <c r="L12" s="228">
        <f>VLOOKUP(Current_Stock[[#This Row],[SKU ID]],Stock_year[],((MONTH($B$1)-1)*$C$75)+2+7,0)</f>
        <v>0</v>
      </c>
      <c r="M12" s="228">
        <f>Current_Stock[[#This Row],[Vobanipur opening units]]+Current_Stock[[#This Row],[New Arrival Ulukhola]]+Current_Stock[[#This Row],[Ulukhola to vobanipur transfer]]</f>
        <v>195</v>
      </c>
      <c r="N12" s="228">
        <f>Current_Stock[[#This Row],[Ulukhola opening units]]+Current_Stock[[#This Row],[New Arrival Vobanipur]]-Current_Stock[[#This Row],[Ulukhola to vobanipur transfer]]</f>
        <v>712</v>
      </c>
      <c r="O12" s="228">
        <f>Current_Stock[[#This Row],[Vobaipur total]]+Current_Stock[[#This Row],[Ulukhola Current]]</f>
        <v>907</v>
      </c>
      <c r="P12" s="228">
        <f>SUMIFS(Primary_Order[Total Qty],Primary_Order[Date],"&gt;="&amp;DATE(YEAR($B$1),MONTH($B$1),1),Primary_Order[Date],"&lt;="&amp;$B$1,Primary_Order[Status],$A$1,Primary_Order[Product ID],A12,Primary_Order[Status],"&lt;&gt;DMG-Sold")</f>
        <v>0</v>
      </c>
      <c r="Q12" s="228">
        <f>Current_Stock[[#This Row],[Sold Qty(Unit)]]*Current_Stock[[#This Row],[Cost]]</f>
        <v>0</v>
      </c>
      <c r="R12" s="228">
        <f>Current_Stock[[#This Row],[Vobaipur total]]-Current_Stock[[#This Row],[Sold Qty(Unit)]]</f>
        <v>195</v>
      </c>
      <c r="S12" s="267">
        <f>Current_Stock[[#This Row],[Vobanipur Current units]]+Current_Stock[[#This Row],[Ulukhola Current]]</f>
        <v>907</v>
      </c>
      <c r="T12" s="267">
        <f>VLOOKUP(Current_Stock[[#This Row],[SKU ID]],SKU[[SKU ID]:[Bottle Size(Ltr)]],6,0)*Current_Stock[[#This Row],[Total Current (Unit)]]</f>
        <v>4535</v>
      </c>
      <c r="U12" s="267">
        <f>Current_Stock[[#This Row],[Total Current (Unit)]]*Current_Stock[[#This Row],[Cost]]</f>
        <v>1659946.05</v>
      </c>
      <c r="V12" s="267">
        <f>FLOOR(Current_Stock[[#This Row],[Total Current (Unit)]]/VLOOKUP(Current_Stock[[#This Row],[SKU ID]],SKU[],5,0),1)</f>
        <v>226</v>
      </c>
      <c r="W12" s="267">
        <f>MOD(Current_Stock[[#This Row],[Total Current (Unit)]],VLOOKUP(Current_Stock[[#This Row],[SKU ID]],SKU[],5,0))</f>
        <v>3</v>
      </c>
      <c r="X12" s="228">
        <f ca="1">VLOOKUP(Current_Stock[[#This Row],[SKU ID]],Stock_year[],((MONTH($B$1)-1)*$C$75)+17,0)</f>
        <v>0</v>
      </c>
      <c r="Y12" s="228">
        <f>SUMIFS(Primary_Order[Total Qty],Primary_Order[Date],"&gt;="&amp;DATE(YEAR($B$1),MONTH($B$1),1),Primary_Order[Date],"&lt;="&amp;$B$1,Primary_Order[Status],"DMG-Sold",Primary_Order[Product ID],A12)</f>
        <v>0</v>
      </c>
      <c r="Z12" s="228">
        <f ca="1">Current_Stock[[#This Row],[Opening Damage Unit]]-Current_Stock[[#This Row],[Damage Sold unit]]</f>
        <v>0</v>
      </c>
      <c r="AA12" s="228">
        <f>Current_Stock[[#This Row],[DP Price]]*Current_Stock[[#This Row],[Total Current (Unit)]]</f>
        <v>2154125</v>
      </c>
      <c r="AB12" s="228">
        <f ca="1">Current_Stock[[#This Row],[Total Current (Unit)]]+Current_Stock[[#This Row],[Remaining Damage Unit]]</f>
        <v>907</v>
      </c>
      <c r="AC12" s="228">
        <f ca="1">Current_Stock[[#This Row],[Total Unit with Damage]]*Current_Stock[[#This Row],[Cost]]</f>
        <v>1659946.05</v>
      </c>
      <c r="AD12" s="228">
        <f>SUMIFS(Primary_Order[Total Qty],Primary_Order[Date],"&gt;="&amp;DATE(2027,12,1),Primary_Order[Status],$A$1,Primary_Order[Product ID],A12)</f>
        <v>0</v>
      </c>
      <c r="AE12" s="228">
        <f>Current_Stock[[#This Row],[Total Current (Unit)]]-Current_Stock[[#This Row],[Blocked Stock(unit)]]</f>
        <v>907</v>
      </c>
      <c r="AF12" s="228">
        <f>(Current_Stock[[#This Row],[Ageing till Sep''24 (D)]]+($B$1-45566))/30</f>
        <v>14.033333333333333</v>
      </c>
      <c r="AG12" s="228">
        <v>210</v>
      </c>
      <c r="AH12" t="str">
        <f>VLOOKUP(Current_Stock[[#This Row],[SKU ID]],SKU[],12,0)</f>
        <v>20W50</v>
      </c>
      <c r="AI12" t="str">
        <f>VLOOKUP(Current_Stock[[#This Row],[SKU ID]],SKU[],10,0)</f>
        <v>Mineral</v>
      </c>
      <c r="AJ12" s="195">
        <f>VLOOKUP(Current_Stock[[#This Row],[SKU ID]],SKU[[SKU ID]:[Bottle Size(Ltr)]],6,0)*Current_Stock[[#This Row],[Vobanipur Current units]]</f>
        <v>975</v>
      </c>
      <c r="AK12" s="195">
        <f ca="1">VLOOKUP(Current_Stock[[#This Row],[SKU ID]],SKU[[SKU ID]:[Bottle Size(Ltr)]],6,0)*Current_Stock[[#This Row],[Remaining Damage Unit]]</f>
        <v>0</v>
      </c>
      <c r="AL12" s="195">
        <f>VLOOKUP(Current_Stock[[#This Row],[SKU ID]],SKU[[SKU ID]:[Bottle Size(Ltr)]],6,0)*Current_Stock[[#This Row],[Ulukhola Current]]</f>
        <v>3560</v>
      </c>
    </row>
    <row r="13" spans="1:38" x14ac:dyDescent="0.5">
      <c r="A13" s="159" t="s">
        <v>157</v>
      </c>
      <c r="B13" s="159" t="s">
        <v>806</v>
      </c>
      <c r="C13" s="228" t="str">
        <f>VLOOKUP(Current_Stock[[#This Row],[SKU ID]],SKU[],9,0)</f>
        <v>PCMO</v>
      </c>
      <c r="D13" s="228">
        <f>VLOOKUP(Current_Stock[[#This Row],[SKU ID]],SKU[],14,0)</f>
        <v>1892.27</v>
      </c>
      <c r="E13" s="228">
        <f>VLOOKUP(Current_Stock[[#This Row],[SKU ID]],SKU[],15,0)</f>
        <v>5000</v>
      </c>
      <c r="F13" s="228">
        <f>VLOOKUP(Current_Stock[[#This Row],[SKU ID]],Stock_year[],((MONTH($B$1)-1)*$C$75)+2+1,0)</f>
        <v>-176</v>
      </c>
      <c r="G13" s="228">
        <f>VLOOKUP(Current_Stock[[#This Row],[SKU ID]],Stock_year[],((MONTH($B$1)-1)*$C$75)+2+2,0)</f>
        <v>1028</v>
      </c>
      <c r="H13" s="228">
        <f>Current_Stock[[#This Row],[Vobanipur opening units]]+Current_Stock[[#This Row],[Ulukhola opening units]]</f>
        <v>852</v>
      </c>
      <c r="I13" s="267">
        <f>VLOOKUP(Current_Stock[[#This Row],[SKU ID]],SKU[[SKU ID]:[Bottle Size(Ltr)]],6,0)*Current_Stock[[#This Row],[Total Opening Unit]]</f>
        <v>3408</v>
      </c>
      <c r="J13" s="228">
        <f>VLOOKUP(Current_Stock[[#This Row],[SKU ID]],Stock_year[],((MONTH($B$1)-1)*$C$75)+2+5,0)</f>
        <v>388</v>
      </c>
      <c r="K13" s="228">
        <f>VLOOKUP(Current_Stock[[#This Row],[SKU ID]],Stock_year[],((MONTH($B$1)-1)*$C$75)+2+6,0)</f>
        <v>0</v>
      </c>
      <c r="L13" s="228">
        <f>VLOOKUP(Current_Stock[[#This Row],[SKU ID]],Stock_year[],((MONTH($B$1)-1)*$C$75)+2+7,0)</f>
        <v>0</v>
      </c>
      <c r="M13" s="228">
        <f>Current_Stock[[#This Row],[Vobanipur opening units]]+Current_Stock[[#This Row],[New Arrival Ulukhola]]+Current_Stock[[#This Row],[Ulukhola to vobanipur transfer]]</f>
        <v>212</v>
      </c>
      <c r="N13" s="228">
        <f>Current_Stock[[#This Row],[Ulukhola opening units]]+Current_Stock[[#This Row],[New Arrival Vobanipur]]-Current_Stock[[#This Row],[Ulukhola to vobanipur transfer]]</f>
        <v>640</v>
      </c>
      <c r="O13" s="228">
        <f>Current_Stock[[#This Row],[Vobaipur total]]+Current_Stock[[#This Row],[Ulukhola Current]]</f>
        <v>852</v>
      </c>
      <c r="P13" s="228">
        <f>SUMIFS(Primary_Order[Total Qty],Primary_Order[Date],"&gt;="&amp;DATE(YEAR($B$1),MONTH($B$1),1),Primary_Order[Date],"&lt;="&amp;$B$1,Primary_Order[Status],$A$1,Primary_Order[Product ID],A13,Primary_Order[Status],"&lt;&gt;DMG-Sold")</f>
        <v>0</v>
      </c>
      <c r="Q13" s="228">
        <f>Current_Stock[[#This Row],[Sold Qty(Unit)]]*Current_Stock[[#This Row],[Cost]]</f>
        <v>0</v>
      </c>
      <c r="R13" s="228">
        <f>Current_Stock[[#This Row],[Vobaipur total]]-Current_Stock[[#This Row],[Sold Qty(Unit)]]</f>
        <v>212</v>
      </c>
      <c r="S13" s="267">
        <f>Current_Stock[[#This Row],[Vobanipur Current units]]+Current_Stock[[#This Row],[Ulukhola Current]]</f>
        <v>852</v>
      </c>
      <c r="T13" s="267">
        <f>VLOOKUP(Current_Stock[[#This Row],[SKU ID]],SKU[[SKU ID]:[Bottle Size(Ltr)]],6,0)*Current_Stock[[#This Row],[Total Current (Unit)]]</f>
        <v>3408</v>
      </c>
      <c r="U13" s="267">
        <f>Current_Stock[[#This Row],[Total Current (Unit)]]*Current_Stock[[#This Row],[Cost]]</f>
        <v>1612214.04</v>
      </c>
      <c r="V13" s="267">
        <f>FLOOR(Current_Stock[[#This Row],[Total Current (Unit)]]/VLOOKUP(Current_Stock[[#This Row],[SKU ID]],SKU[],5,0),1)</f>
        <v>213</v>
      </c>
      <c r="W13" s="267">
        <f>MOD(Current_Stock[[#This Row],[Total Current (Unit)]],VLOOKUP(Current_Stock[[#This Row],[SKU ID]],SKU[],5,0))</f>
        <v>0</v>
      </c>
      <c r="X13" s="228">
        <f ca="1">VLOOKUP(Current_Stock[[#This Row],[SKU ID]],Stock_year[],((MONTH($B$1)-1)*$C$75)+17,0)</f>
        <v>2</v>
      </c>
      <c r="Y13" s="228">
        <f>SUMIFS(Primary_Order[Total Qty],Primary_Order[Date],"&gt;="&amp;DATE(YEAR($B$1),MONTH($B$1),1),Primary_Order[Date],"&lt;="&amp;$B$1,Primary_Order[Status],"DMG-Sold",Primary_Order[Product ID],A13)</f>
        <v>0</v>
      </c>
      <c r="Z13" s="228">
        <f ca="1">Current_Stock[[#This Row],[Opening Damage Unit]]-Current_Stock[[#This Row],[Damage Sold unit]]</f>
        <v>2</v>
      </c>
      <c r="AA13" s="228">
        <f>Current_Stock[[#This Row],[DP Price]]*Current_Stock[[#This Row],[Total Current (Unit)]]</f>
        <v>4260000</v>
      </c>
      <c r="AB13" s="228">
        <f ca="1">Current_Stock[[#This Row],[Total Current (Unit)]]+Current_Stock[[#This Row],[Remaining Damage Unit]]</f>
        <v>854</v>
      </c>
      <c r="AC13" s="228">
        <f ca="1">Current_Stock[[#This Row],[Total Unit with Damage]]*Current_Stock[[#This Row],[Cost]]</f>
        <v>1615998.58</v>
      </c>
      <c r="AD13" s="228">
        <f>SUMIFS(Primary_Order[Total Qty],Primary_Order[Date],"&gt;="&amp;DATE(2027,12,1),Primary_Order[Status],$A$1,Primary_Order[Product ID],A13)</f>
        <v>0</v>
      </c>
      <c r="AE13" s="228">
        <f>Current_Stock[[#This Row],[Total Current (Unit)]]-Current_Stock[[#This Row],[Blocked Stock(unit)]]</f>
        <v>852</v>
      </c>
      <c r="AF13" s="228">
        <f>(Current_Stock[[#This Row],[Ageing till Sep''24 (D)]]+($B$1-45566))/30</f>
        <v>11.762024463064625</v>
      </c>
      <c r="AG13" s="228">
        <v>141.86073389193876</v>
      </c>
      <c r="AH13" t="str">
        <f>VLOOKUP(Current_Stock[[#This Row],[SKU ID]],SKU[],12,0)</f>
        <v>5W30</v>
      </c>
      <c r="AI13" t="str">
        <f>VLOOKUP(Current_Stock[[#This Row],[SKU ID]],SKU[],10,0)</f>
        <v>Synthetic</v>
      </c>
      <c r="AJ13" s="195">
        <f>VLOOKUP(Current_Stock[[#This Row],[SKU ID]],SKU[[SKU ID]:[Bottle Size(Ltr)]],6,0)*Current_Stock[[#This Row],[Vobanipur Current units]]</f>
        <v>848</v>
      </c>
      <c r="AK13" s="195">
        <f ca="1">VLOOKUP(Current_Stock[[#This Row],[SKU ID]],SKU[[SKU ID]:[Bottle Size(Ltr)]],6,0)*Current_Stock[[#This Row],[Remaining Damage Unit]]</f>
        <v>8</v>
      </c>
      <c r="AL13" s="195">
        <f>VLOOKUP(Current_Stock[[#This Row],[SKU ID]],SKU[[SKU ID]:[Bottle Size(Ltr)]],6,0)*Current_Stock[[#This Row],[Ulukhola Current]]</f>
        <v>2560</v>
      </c>
    </row>
    <row r="14" spans="1:38" x14ac:dyDescent="0.5">
      <c r="A14" s="159" t="s">
        <v>56</v>
      </c>
      <c r="B14" s="159" t="s">
        <v>772</v>
      </c>
      <c r="C14" s="228" t="str">
        <f>VLOOKUP(Current_Stock[[#This Row],[SKU ID]],SKU[],9,0)</f>
        <v>MCO</v>
      </c>
      <c r="D14" s="228">
        <f>VLOOKUP(Current_Stock[[#This Row],[SKU ID]],SKU[],14,0)</f>
        <v>689.86</v>
      </c>
      <c r="E14" s="228">
        <f>VLOOKUP(Current_Stock[[#This Row],[SKU ID]],SKU[],15,0)</f>
        <v>1080</v>
      </c>
      <c r="F14" s="228">
        <f>VLOOKUP(Current_Stock[[#This Row],[SKU ID]],Stock_year[],((MONTH($B$1)-1)*$C$75)+2+1,0)</f>
        <v>3842</v>
      </c>
      <c r="G14" s="228">
        <f>VLOOKUP(Current_Stock[[#This Row],[SKU ID]],Stock_year[],((MONTH($B$1)-1)*$C$75)+2+2,0)</f>
        <v>0</v>
      </c>
      <c r="H14" s="228">
        <f>Current_Stock[[#This Row],[Vobanipur opening units]]+Current_Stock[[#This Row],[Ulukhola opening units]]</f>
        <v>3842</v>
      </c>
      <c r="I14" s="267">
        <f>VLOOKUP(Current_Stock[[#This Row],[SKU ID]],SKU[[SKU ID]:[Bottle Size(Ltr)]],6,0)*Current_Stock[[#This Row],[Total Opening Unit]]</f>
        <v>3842</v>
      </c>
      <c r="J14" s="228">
        <f>VLOOKUP(Current_Stock[[#This Row],[SKU ID]],Stock_year[],((MONTH($B$1)-1)*$C$75)+2+5,0)</f>
        <v>0</v>
      </c>
      <c r="K14" s="228">
        <f>VLOOKUP(Current_Stock[[#This Row],[SKU ID]],Stock_year[],((MONTH($B$1)-1)*$C$75)+2+6,0)</f>
        <v>0</v>
      </c>
      <c r="L14" s="228">
        <f>VLOOKUP(Current_Stock[[#This Row],[SKU ID]],Stock_year[],((MONTH($B$1)-1)*$C$75)+2+7,0)</f>
        <v>0</v>
      </c>
      <c r="M14" s="228">
        <f>Current_Stock[[#This Row],[Vobanipur opening units]]+Current_Stock[[#This Row],[New Arrival Ulukhola]]+Current_Stock[[#This Row],[Ulukhola to vobanipur transfer]]</f>
        <v>3842</v>
      </c>
      <c r="N14" s="228">
        <f>Current_Stock[[#This Row],[Ulukhola opening units]]+Current_Stock[[#This Row],[New Arrival Vobanipur]]-Current_Stock[[#This Row],[Ulukhola to vobanipur transfer]]</f>
        <v>0</v>
      </c>
      <c r="O14" s="228">
        <f>Current_Stock[[#This Row],[Vobaipur total]]+Current_Stock[[#This Row],[Ulukhola Current]]</f>
        <v>3842</v>
      </c>
      <c r="P14" s="228">
        <f>SUMIFS(Primary_Order[Total Qty],Primary_Order[Date],"&gt;="&amp;DATE(YEAR($B$1),MONTH($B$1),1),Primary_Order[Date],"&lt;="&amp;$B$1,Primary_Order[Status],$A$1,Primary_Order[Product ID],A14,Primary_Order[Status],"&lt;&gt;DMG-Sold")</f>
        <v>601</v>
      </c>
      <c r="Q14" s="228">
        <f>Current_Stock[[#This Row],[Sold Qty(Unit)]]*Current_Stock[[#This Row],[Cost]]</f>
        <v>414605.86</v>
      </c>
      <c r="R14" s="228">
        <f>Current_Stock[[#This Row],[Vobaipur total]]-Current_Stock[[#This Row],[Sold Qty(Unit)]]</f>
        <v>3241</v>
      </c>
      <c r="S14" s="267">
        <f>Current_Stock[[#This Row],[Vobanipur Current units]]+Current_Stock[[#This Row],[Ulukhola Current]]</f>
        <v>3241</v>
      </c>
      <c r="T14" s="267">
        <f>VLOOKUP(Current_Stock[[#This Row],[SKU ID]],SKU[[SKU ID]:[Bottle Size(Ltr)]],6,0)*Current_Stock[[#This Row],[Total Current (Unit)]]</f>
        <v>3241</v>
      </c>
      <c r="U14" s="267">
        <f>Current_Stock[[#This Row],[Total Current (Unit)]]*Current_Stock[[#This Row],[Cost]]</f>
        <v>2235836.2600000002</v>
      </c>
      <c r="V14" s="267">
        <f>FLOOR(Current_Stock[[#This Row],[Total Current (Unit)]]/VLOOKUP(Current_Stock[[#This Row],[SKU ID]],SKU[],5,0),1)</f>
        <v>270</v>
      </c>
      <c r="W14" s="267">
        <f>MOD(Current_Stock[[#This Row],[Total Current (Unit)]],VLOOKUP(Current_Stock[[#This Row],[SKU ID]],SKU[],5,0))</f>
        <v>1</v>
      </c>
      <c r="X14" s="228">
        <f ca="1">VLOOKUP(Current_Stock[[#This Row],[SKU ID]],Stock_year[],((MONTH($B$1)-1)*$C$75)+17,0)</f>
        <v>50</v>
      </c>
      <c r="Y14" s="228">
        <f>SUMIFS(Primary_Order[Total Qty],Primary_Order[Date],"&gt;="&amp;DATE(YEAR($B$1),MONTH($B$1),1),Primary_Order[Date],"&lt;="&amp;$B$1,Primary_Order[Status],"DMG-Sold",Primary_Order[Product ID],A14)</f>
        <v>0</v>
      </c>
      <c r="Z14" s="228">
        <f ca="1">Current_Stock[[#This Row],[Opening Damage Unit]]-Current_Stock[[#This Row],[Damage Sold unit]]</f>
        <v>50</v>
      </c>
      <c r="AA14" s="228">
        <f>Current_Stock[[#This Row],[DP Price]]*Current_Stock[[#This Row],[Total Current (Unit)]]</f>
        <v>3500280</v>
      </c>
      <c r="AB14" s="228">
        <f ca="1">Current_Stock[[#This Row],[Total Current (Unit)]]+Current_Stock[[#This Row],[Remaining Damage Unit]]</f>
        <v>3291</v>
      </c>
      <c r="AC14" s="228">
        <f ca="1">Current_Stock[[#This Row],[Total Unit with Damage]]*Current_Stock[[#This Row],[Cost]]</f>
        <v>2270329.2600000002</v>
      </c>
      <c r="AD14" s="228">
        <f>SUMIFS(Primary_Order[Total Qty],Primary_Order[Date],"&gt;="&amp;DATE(2027,12,1),Primary_Order[Status],$A$1,Primary_Order[Product ID],A14)</f>
        <v>24</v>
      </c>
      <c r="AE14" s="228">
        <f>Current_Stock[[#This Row],[Total Current (Unit)]]-Current_Stock[[#This Row],[Blocked Stock(unit)]]</f>
        <v>3217</v>
      </c>
      <c r="AF14" s="228">
        <f>(Current_Stock[[#This Row],[Ageing till Sep''24 (D)]]+($B$1-45566))/30</f>
        <v>8.5794137778314621</v>
      </c>
      <c r="AG14" s="228">
        <v>46.382413334943834</v>
      </c>
      <c r="AH14" t="str">
        <f>VLOOKUP(Current_Stock[[#This Row],[SKU ID]],SKU[],12,0)</f>
        <v>10W30</v>
      </c>
      <c r="AI14" t="str">
        <f>VLOOKUP(Current_Stock[[#This Row],[SKU ID]],SKU[],10,0)</f>
        <v>Synthetic</v>
      </c>
      <c r="AJ14" s="195">
        <f>VLOOKUP(Current_Stock[[#This Row],[SKU ID]],SKU[[SKU ID]:[Bottle Size(Ltr)]],6,0)*Current_Stock[[#This Row],[Vobanipur Current units]]</f>
        <v>3241</v>
      </c>
      <c r="AK14" s="195">
        <f ca="1">VLOOKUP(Current_Stock[[#This Row],[SKU ID]],SKU[[SKU ID]:[Bottle Size(Ltr)]],6,0)*Current_Stock[[#This Row],[Remaining Damage Unit]]</f>
        <v>50</v>
      </c>
      <c r="AL14" s="195">
        <f>VLOOKUP(Current_Stock[[#This Row],[SKU ID]],SKU[[SKU ID]:[Bottle Size(Ltr)]],6,0)*Current_Stock[[#This Row],[Ulukhola Current]]</f>
        <v>0</v>
      </c>
    </row>
    <row r="15" spans="1:38" x14ac:dyDescent="0.5">
      <c r="A15" s="159" t="s">
        <v>71</v>
      </c>
      <c r="B15" s="159" t="s">
        <v>792</v>
      </c>
      <c r="C15" s="228" t="str">
        <f>VLOOKUP(Current_Stock[[#This Row],[SKU ID]],SKU[],9,0)</f>
        <v>PCMO</v>
      </c>
      <c r="D15" s="228">
        <f>VLOOKUP(Current_Stock[[#This Row],[SKU ID]],SKU[],14,0)</f>
        <v>1322.77</v>
      </c>
      <c r="E15" s="228">
        <f>VLOOKUP(Current_Stock[[#This Row],[SKU ID]],SKU[],15,0)</f>
        <v>2700</v>
      </c>
      <c r="F15" s="228">
        <f>VLOOKUP(Current_Stock[[#This Row],[SKU ID]],Stock_year[],((MONTH($B$1)-1)*$C$75)+2+1,0)</f>
        <v>526</v>
      </c>
      <c r="G15" s="228">
        <f>VLOOKUP(Current_Stock[[#This Row],[SKU ID]],Stock_year[],((MONTH($B$1)-1)*$C$75)+2+2,0)</f>
        <v>0</v>
      </c>
      <c r="H15" s="228">
        <f>Current_Stock[[#This Row],[Vobanipur opening units]]+Current_Stock[[#This Row],[Ulukhola opening units]]</f>
        <v>526</v>
      </c>
      <c r="I15" s="267">
        <f>VLOOKUP(Current_Stock[[#This Row],[SKU ID]],SKU[[SKU ID]:[Bottle Size(Ltr)]],6,0)*Current_Stock[[#This Row],[Total Opening Unit]]</f>
        <v>2104</v>
      </c>
      <c r="J15" s="228">
        <f>VLOOKUP(Current_Stock[[#This Row],[SKU ID]],Stock_year[],((MONTH($B$1)-1)*$C$75)+2+5,0)</f>
        <v>0</v>
      </c>
      <c r="K15" s="228">
        <f>VLOOKUP(Current_Stock[[#This Row],[SKU ID]],Stock_year[],((MONTH($B$1)-1)*$C$75)+2+6,0)</f>
        <v>0</v>
      </c>
      <c r="L15" s="228">
        <f>VLOOKUP(Current_Stock[[#This Row],[SKU ID]],Stock_year[],((MONTH($B$1)-1)*$C$75)+2+7,0)</f>
        <v>0</v>
      </c>
      <c r="M15" s="228">
        <f>Current_Stock[[#This Row],[Vobanipur opening units]]+Current_Stock[[#This Row],[New Arrival Ulukhola]]+Current_Stock[[#This Row],[Ulukhola to vobanipur transfer]]</f>
        <v>526</v>
      </c>
      <c r="N15" s="228">
        <f>Current_Stock[[#This Row],[Ulukhola opening units]]+Current_Stock[[#This Row],[New Arrival Vobanipur]]-Current_Stock[[#This Row],[Ulukhola to vobanipur transfer]]</f>
        <v>0</v>
      </c>
      <c r="O15" s="228">
        <f>Current_Stock[[#This Row],[Vobaipur total]]+Current_Stock[[#This Row],[Ulukhola Current]]</f>
        <v>526</v>
      </c>
      <c r="P15" s="228">
        <f>SUMIFS(Primary_Order[Total Qty],Primary_Order[Date],"&gt;="&amp;DATE(YEAR($B$1),MONTH($B$1),1),Primary_Order[Date],"&lt;="&amp;$B$1,Primary_Order[Status],$A$1,Primary_Order[Product ID],A15,Primary_Order[Status],"&lt;&gt;DMG-Sold")</f>
        <v>95</v>
      </c>
      <c r="Q15" s="228">
        <f>Current_Stock[[#This Row],[Sold Qty(Unit)]]*Current_Stock[[#This Row],[Cost]]</f>
        <v>125663.15</v>
      </c>
      <c r="R15" s="228">
        <f>Current_Stock[[#This Row],[Vobaipur total]]-Current_Stock[[#This Row],[Sold Qty(Unit)]]</f>
        <v>431</v>
      </c>
      <c r="S15" s="267">
        <f>Current_Stock[[#This Row],[Vobanipur Current units]]+Current_Stock[[#This Row],[Ulukhola Current]]</f>
        <v>431</v>
      </c>
      <c r="T15" s="267">
        <f>VLOOKUP(Current_Stock[[#This Row],[SKU ID]],SKU[[SKU ID]:[Bottle Size(Ltr)]],6,0)*Current_Stock[[#This Row],[Total Current (Unit)]]</f>
        <v>1724</v>
      </c>
      <c r="U15" s="267">
        <f>Current_Stock[[#This Row],[Total Current (Unit)]]*Current_Stock[[#This Row],[Cost]]</f>
        <v>570113.87</v>
      </c>
      <c r="V15" s="267">
        <f>FLOOR(Current_Stock[[#This Row],[Total Current (Unit)]]/VLOOKUP(Current_Stock[[#This Row],[SKU ID]],SKU[],5,0),1)</f>
        <v>107</v>
      </c>
      <c r="W15" s="267">
        <f>MOD(Current_Stock[[#This Row],[Total Current (Unit)]],VLOOKUP(Current_Stock[[#This Row],[SKU ID]],SKU[],5,0))</f>
        <v>3</v>
      </c>
      <c r="X15" s="228">
        <f ca="1">VLOOKUP(Current_Stock[[#This Row],[SKU ID]],Stock_year[],((MONTH($B$1)-1)*$C$75)+17,0)</f>
        <v>7</v>
      </c>
      <c r="Y15" s="228">
        <f>SUMIFS(Primary_Order[Total Qty],Primary_Order[Date],"&gt;="&amp;DATE(YEAR($B$1),MONTH($B$1),1),Primary_Order[Date],"&lt;="&amp;$B$1,Primary_Order[Status],"DMG-Sold",Primary_Order[Product ID],A15)</f>
        <v>0</v>
      </c>
      <c r="Z15" s="228">
        <f ca="1">Current_Stock[[#This Row],[Opening Damage Unit]]-Current_Stock[[#This Row],[Damage Sold unit]]</f>
        <v>7</v>
      </c>
      <c r="AA15" s="228">
        <f>Current_Stock[[#This Row],[DP Price]]*Current_Stock[[#This Row],[Total Current (Unit)]]</f>
        <v>1163700</v>
      </c>
      <c r="AB15" s="228">
        <f ca="1">Current_Stock[[#This Row],[Total Current (Unit)]]+Current_Stock[[#This Row],[Remaining Damage Unit]]</f>
        <v>438</v>
      </c>
      <c r="AC15" s="228">
        <f ca="1">Current_Stock[[#This Row],[Total Unit with Damage]]*Current_Stock[[#This Row],[Cost]]</f>
        <v>579373.26</v>
      </c>
      <c r="AD15" s="228">
        <f>SUMIFS(Primary_Order[Total Qty],Primary_Order[Date],"&gt;="&amp;DATE(2027,12,1),Primary_Order[Status],$A$1,Primary_Order[Product ID],A15)</f>
        <v>0</v>
      </c>
      <c r="AE15" s="228">
        <f>Current_Stock[[#This Row],[Total Current (Unit)]]-Current_Stock[[#This Row],[Blocked Stock(unit)]]</f>
        <v>431</v>
      </c>
      <c r="AF15" s="228">
        <f>(Current_Stock[[#This Row],[Ageing till Sep''24 (D)]]+($B$1-45566))/30</f>
        <v>18.033333333333335</v>
      </c>
      <c r="AG15" s="228">
        <v>330</v>
      </c>
      <c r="AH15" t="str">
        <f>VLOOKUP(Current_Stock[[#This Row],[SKU ID]],SKU[],12,0)</f>
        <v>15W40</v>
      </c>
      <c r="AI15" t="str">
        <f>VLOOKUP(Current_Stock[[#This Row],[SKU ID]],SKU[],10,0)</f>
        <v>Mineral</v>
      </c>
      <c r="AJ15" s="195">
        <f>VLOOKUP(Current_Stock[[#This Row],[SKU ID]],SKU[[SKU ID]:[Bottle Size(Ltr)]],6,0)*Current_Stock[[#This Row],[Vobanipur Current units]]</f>
        <v>1724</v>
      </c>
      <c r="AK15" s="195">
        <f ca="1">VLOOKUP(Current_Stock[[#This Row],[SKU ID]],SKU[[SKU ID]:[Bottle Size(Ltr)]],6,0)*Current_Stock[[#This Row],[Remaining Damage Unit]]</f>
        <v>28</v>
      </c>
      <c r="AL15" s="195">
        <f>VLOOKUP(Current_Stock[[#This Row],[SKU ID]],SKU[[SKU ID]:[Bottle Size(Ltr)]],6,0)*Current_Stock[[#This Row],[Ulukhola Current]]</f>
        <v>0</v>
      </c>
    </row>
    <row r="16" spans="1:38" x14ac:dyDescent="0.5">
      <c r="A16" s="159" t="s">
        <v>53</v>
      </c>
      <c r="B16" s="159" t="s">
        <v>765</v>
      </c>
      <c r="C16" s="228" t="str">
        <f>VLOOKUP(Current_Stock[[#This Row],[SKU ID]],SKU[],9,0)</f>
        <v>MCO</v>
      </c>
      <c r="D16" s="228">
        <f>VLOOKUP(Current_Stock[[#This Row],[SKU ID]],SKU[],14,0)</f>
        <v>412.76</v>
      </c>
      <c r="E16" s="228">
        <f>VLOOKUP(Current_Stock[[#This Row],[SKU ID]],SKU[],15,0)</f>
        <v>535</v>
      </c>
      <c r="F16" s="228">
        <f>VLOOKUP(Current_Stock[[#This Row],[SKU ID]],Stock_year[],((MONTH($B$1)-1)*$C$75)+2+1,0)</f>
        <v>1195</v>
      </c>
      <c r="G16" s="228">
        <f>VLOOKUP(Current_Stock[[#This Row],[SKU ID]],Stock_year[],((MONTH($B$1)-1)*$C$75)+2+2,0)</f>
        <v>6020</v>
      </c>
      <c r="H16" s="228">
        <f>Current_Stock[[#This Row],[Vobanipur opening units]]+Current_Stock[[#This Row],[Ulukhola opening units]]</f>
        <v>7215</v>
      </c>
      <c r="I16" s="267">
        <f>VLOOKUP(Current_Stock[[#This Row],[SKU ID]],SKU[[SKU ID]:[Bottle Size(Ltr)]],6,0)*Current_Stock[[#This Row],[Total Opening Unit]]</f>
        <v>7215</v>
      </c>
      <c r="J16" s="228">
        <f>VLOOKUP(Current_Stock[[#This Row],[SKU ID]],Stock_year[],((MONTH($B$1)-1)*$C$75)+2+5,0)</f>
        <v>6020</v>
      </c>
      <c r="K16" s="228">
        <f>VLOOKUP(Current_Stock[[#This Row],[SKU ID]],Stock_year[],((MONTH($B$1)-1)*$C$75)+2+6,0)</f>
        <v>0</v>
      </c>
      <c r="L16" s="228">
        <f>VLOOKUP(Current_Stock[[#This Row],[SKU ID]],Stock_year[],((MONTH($B$1)-1)*$C$75)+2+7,0)</f>
        <v>0</v>
      </c>
      <c r="M16" s="228">
        <f>Current_Stock[[#This Row],[Vobanipur opening units]]+Current_Stock[[#This Row],[New Arrival Ulukhola]]+Current_Stock[[#This Row],[Ulukhola to vobanipur transfer]]</f>
        <v>7215</v>
      </c>
      <c r="N16" s="228">
        <f>Current_Stock[[#This Row],[Ulukhola opening units]]+Current_Stock[[#This Row],[New Arrival Vobanipur]]-Current_Stock[[#This Row],[Ulukhola to vobanipur transfer]]</f>
        <v>0</v>
      </c>
      <c r="O16" s="228">
        <f>Current_Stock[[#This Row],[Vobaipur total]]+Current_Stock[[#This Row],[Ulukhola Current]]</f>
        <v>7215</v>
      </c>
      <c r="P16" s="228">
        <f>SUMIFS(Primary_Order[Total Qty],Primary_Order[Date],"&gt;="&amp;DATE(YEAR($B$1),MONTH($B$1),1),Primary_Order[Date],"&lt;="&amp;$B$1,Primary_Order[Status],$A$1,Primary_Order[Product ID],A16,Primary_Order[Status],"&lt;&gt;DMG-Sold")</f>
        <v>5630</v>
      </c>
      <c r="Q16" s="228">
        <f>Current_Stock[[#This Row],[Sold Qty(Unit)]]*Current_Stock[[#This Row],[Cost]]</f>
        <v>2323838.7999999998</v>
      </c>
      <c r="R16" s="228">
        <f>Current_Stock[[#This Row],[Vobaipur total]]-Current_Stock[[#This Row],[Sold Qty(Unit)]]</f>
        <v>1585</v>
      </c>
      <c r="S16" s="267">
        <f>Current_Stock[[#This Row],[Vobanipur Current units]]+Current_Stock[[#This Row],[Ulukhola Current]]</f>
        <v>1585</v>
      </c>
      <c r="T16" s="267">
        <f>VLOOKUP(Current_Stock[[#This Row],[SKU ID]],SKU[[SKU ID]:[Bottle Size(Ltr)]],6,0)*Current_Stock[[#This Row],[Total Current (Unit)]]</f>
        <v>1585</v>
      </c>
      <c r="U16" s="267">
        <f>Current_Stock[[#This Row],[Total Current (Unit)]]*Current_Stock[[#This Row],[Cost]]</f>
        <v>654224.6</v>
      </c>
      <c r="V16" s="267">
        <f>FLOOR(Current_Stock[[#This Row],[Total Current (Unit)]]/VLOOKUP(Current_Stock[[#This Row],[SKU ID]],SKU[],5,0),1)</f>
        <v>79</v>
      </c>
      <c r="W16" s="267">
        <f>MOD(Current_Stock[[#This Row],[Total Current (Unit)]],VLOOKUP(Current_Stock[[#This Row],[SKU ID]],SKU[],5,0))</f>
        <v>5</v>
      </c>
      <c r="X16" s="228">
        <f ca="1">VLOOKUP(Current_Stock[[#This Row],[SKU ID]],Stock_year[],((MONTH($B$1)-1)*$C$75)+17,0)</f>
        <v>2247</v>
      </c>
      <c r="Y16" s="228">
        <f>SUMIFS(Primary_Order[Total Qty],Primary_Order[Date],"&gt;="&amp;DATE(YEAR($B$1),MONTH($B$1),1),Primary_Order[Date],"&lt;="&amp;$B$1,Primary_Order[Status],"DMG-Sold",Primary_Order[Product ID],A16)</f>
        <v>0</v>
      </c>
      <c r="Z16" s="228">
        <f ca="1">Current_Stock[[#This Row],[Opening Damage Unit]]-Current_Stock[[#This Row],[Damage Sold unit]]</f>
        <v>2247</v>
      </c>
      <c r="AA16" s="228">
        <f>Current_Stock[[#This Row],[DP Price]]*Current_Stock[[#This Row],[Total Current (Unit)]]</f>
        <v>847975</v>
      </c>
      <c r="AB16" s="228">
        <f ca="1">Current_Stock[[#This Row],[Total Current (Unit)]]+Current_Stock[[#This Row],[Remaining Damage Unit]]</f>
        <v>3832</v>
      </c>
      <c r="AC16" s="228">
        <f ca="1">Current_Stock[[#This Row],[Total Unit with Damage]]*Current_Stock[[#This Row],[Cost]]</f>
        <v>1581696.32</v>
      </c>
      <c r="AD16" s="228">
        <f>SUMIFS(Primary_Order[Total Qty],Primary_Order[Date],"&gt;="&amp;DATE(2027,12,1),Primary_Order[Status],$A$1,Primary_Order[Product ID],A16)</f>
        <v>20</v>
      </c>
      <c r="AE16" s="228">
        <f>Current_Stock[[#This Row],[Total Current (Unit)]]-Current_Stock[[#This Row],[Blocked Stock(unit)]]</f>
        <v>1565</v>
      </c>
      <c r="AF16" s="228">
        <f>(Current_Stock[[#This Row],[Ageing till Sep''24 (D)]]+($B$1-45566))/30</f>
        <v>8.0333333333333332</v>
      </c>
      <c r="AG16" s="228">
        <v>30</v>
      </c>
      <c r="AH16" t="str">
        <f>VLOOKUP(Current_Stock[[#This Row],[SKU ID]],SKU[],12,0)</f>
        <v>20W40</v>
      </c>
      <c r="AI16" t="str">
        <f>VLOOKUP(Current_Stock[[#This Row],[SKU ID]],SKU[],10,0)</f>
        <v>Mineral</v>
      </c>
      <c r="AJ16" s="195">
        <f>VLOOKUP(Current_Stock[[#This Row],[SKU ID]],SKU[[SKU ID]:[Bottle Size(Ltr)]],6,0)*Current_Stock[[#This Row],[Vobanipur Current units]]</f>
        <v>1585</v>
      </c>
      <c r="AK16" s="195">
        <f ca="1">VLOOKUP(Current_Stock[[#This Row],[SKU ID]],SKU[[SKU ID]:[Bottle Size(Ltr)]],6,0)*Current_Stock[[#This Row],[Remaining Damage Unit]]</f>
        <v>2247</v>
      </c>
      <c r="AL16" s="195">
        <f>VLOOKUP(Current_Stock[[#This Row],[SKU ID]],SKU[[SKU ID]:[Bottle Size(Ltr)]],6,0)*Current_Stock[[#This Row],[Ulukhola Current]]</f>
        <v>0</v>
      </c>
    </row>
    <row r="17" spans="1:38" x14ac:dyDescent="0.5">
      <c r="A17" s="159" t="s">
        <v>96</v>
      </c>
      <c r="B17" s="159" t="s">
        <v>776</v>
      </c>
      <c r="C17" s="228" t="str">
        <f>VLOOKUP(Current_Stock[[#This Row],[SKU ID]],SKU[],9,0)</f>
        <v>PCMO</v>
      </c>
      <c r="D17" s="228">
        <f>VLOOKUP(Current_Stock[[#This Row],[SKU ID]],SKU[],14,0)</f>
        <v>2935.97</v>
      </c>
      <c r="E17" s="228">
        <f>VLOOKUP(Current_Stock[[#This Row],[SKU ID]],SKU[],15,0)</f>
        <v>5600</v>
      </c>
      <c r="F17" s="228">
        <f>VLOOKUP(Current_Stock[[#This Row],[SKU ID]],Stock_year[],((MONTH($B$1)-1)*$C$75)+2+1,0)</f>
        <v>121</v>
      </c>
      <c r="G17" s="228">
        <f>VLOOKUP(Current_Stock[[#This Row],[SKU ID]],Stock_year[],((MONTH($B$1)-1)*$C$75)+2+2,0)</f>
        <v>188</v>
      </c>
      <c r="H17" s="228">
        <f>Current_Stock[[#This Row],[Vobanipur opening units]]+Current_Stock[[#This Row],[Ulukhola opening units]]</f>
        <v>309</v>
      </c>
      <c r="I17" s="267">
        <f>VLOOKUP(Current_Stock[[#This Row],[SKU ID]],SKU[[SKU ID]:[Bottle Size(Ltr)]],6,0)*Current_Stock[[#This Row],[Total Opening Unit]]</f>
        <v>1236</v>
      </c>
      <c r="J17" s="228">
        <f>VLOOKUP(Current_Stock[[#This Row],[SKU ID]],Stock_year[],((MONTH($B$1)-1)*$C$75)+2+5,0)</f>
        <v>0</v>
      </c>
      <c r="K17" s="228">
        <f>VLOOKUP(Current_Stock[[#This Row],[SKU ID]],Stock_year[],((MONTH($B$1)-1)*$C$75)+2+6,0)</f>
        <v>0</v>
      </c>
      <c r="L17" s="228">
        <f>VLOOKUP(Current_Stock[[#This Row],[SKU ID]],Stock_year[],((MONTH($B$1)-1)*$C$75)+2+7,0)</f>
        <v>0</v>
      </c>
      <c r="M17" s="228">
        <f>Current_Stock[[#This Row],[Vobanipur opening units]]+Current_Stock[[#This Row],[New Arrival Ulukhola]]+Current_Stock[[#This Row],[Ulukhola to vobanipur transfer]]</f>
        <v>121</v>
      </c>
      <c r="N17" s="228">
        <f>Current_Stock[[#This Row],[Ulukhola opening units]]+Current_Stock[[#This Row],[New Arrival Vobanipur]]-Current_Stock[[#This Row],[Ulukhola to vobanipur transfer]]</f>
        <v>188</v>
      </c>
      <c r="O17" s="228">
        <f>Current_Stock[[#This Row],[Vobaipur total]]+Current_Stock[[#This Row],[Ulukhola Current]]</f>
        <v>309</v>
      </c>
      <c r="P17" s="228">
        <f>SUMIFS(Primary_Order[Total Qty],Primary_Order[Date],"&gt;="&amp;DATE(YEAR($B$1),MONTH($B$1),1),Primary_Order[Date],"&lt;="&amp;$B$1,Primary_Order[Status],$A$1,Primary_Order[Product ID],A17,Primary_Order[Status],"&lt;&gt;DMG-Sold")</f>
        <v>150</v>
      </c>
      <c r="Q17" s="228">
        <f>Current_Stock[[#This Row],[Sold Qty(Unit)]]*Current_Stock[[#This Row],[Cost]]</f>
        <v>440395.49999999994</v>
      </c>
      <c r="R17" s="228">
        <f>Current_Stock[[#This Row],[Vobaipur total]]-Current_Stock[[#This Row],[Sold Qty(Unit)]]</f>
        <v>-29</v>
      </c>
      <c r="S17" s="267">
        <f>Current_Stock[[#This Row],[Vobanipur Current units]]+Current_Stock[[#This Row],[Ulukhola Current]]</f>
        <v>159</v>
      </c>
      <c r="T17" s="267">
        <f>VLOOKUP(Current_Stock[[#This Row],[SKU ID]],SKU[[SKU ID]:[Bottle Size(Ltr)]],6,0)*Current_Stock[[#This Row],[Total Current (Unit)]]</f>
        <v>636</v>
      </c>
      <c r="U17" s="267">
        <f>Current_Stock[[#This Row],[Total Current (Unit)]]*Current_Stock[[#This Row],[Cost]]</f>
        <v>466819.23</v>
      </c>
      <c r="V17" s="267">
        <f>FLOOR(Current_Stock[[#This Row],[Total Current (Unit)]]/VLOOKUP(Current_Stock[[#This Row],[SKU ID]],SKU[],5,0),1)</f>
        <v>39</v>
      </c>
      <c r="W17" s="267">
        <f>MOD(Current_Stock[[#This Row],[Total Current (Unit)]],VLOOKUP(Current_Stock[[#This Row],[SKU ID]],SKU[],5,0))</f>
        <v>3</v>
      </c>
      <c r="X17" s="228">
        <f ca="1">VLOOKUP(Current_Stock[[#This Row],[SKU ID]],Stock_year[],((MONTH($B$1)-1)*$C$75)+17,0)</f>
        <v>4</v>
      </c>
      <c r="Y17" s="228">
        <f>SUMIFS(Primary_Order[Total Qty],Primary_Order[Date],"&gt;="&amp;DATE(YEAR($B$1),MONTH($B$1),1),Primary_Order[Date],"&lt;="&amp;$B$1,Primary_Order[Status],"DMG-Sold",Primary_Order[Product ID],A17)</f>
        <v>0</v>
      </c>
      <c r="Z17" s="228">
        <f ca="1">Current_Stock[[#This Row],[Opening Damage Unit]]-Current_Stock[[#This Row],[Damage Sold unit]]</f>
        <v>4</v>
      </c>
      <c r="AA17" s="228">
        <f>Current_Stock[[#This Row],[DP Price]]*Current_Stock[[#This Row],[Total Current (Unit)]]</f>
        <v>890400</v>
      </c>
      <c r="AB17" s="228">
        <f ca="1">Current_Stock[[#This Row],[Total Current (Unit)]]+Current_Stock[[#This Row],[Remaining Damage Unit]]</f>
        <v>163</v>
      </c>
      <c r="AC17" s="228">
        <f ca="1">Current_Stock[[#This Row],[Total Unit with Damage]]*Current_Stock[[#This Row],[Cost]]</f>
        <v>478563.11</v>
      </c>
      <c r="AD17" s="228">
        <f>SUMIFS(Primary_Order[Total Qty],Primary_Order[Date],"&gt;="&amp;DATE(2027,12,1),Primary_Order[Status],$A$1,Primary_Order[Product ID],A17)</f>
        <v>0</v>
      </c>
      <c r="AE17" s="228">
        <f>Current_Stock[[#This Row],[Total Current (Unit)]]-Current_Stock[[#This Row],[Blocked Stock(unit)]]</f>
        <v>159</v>
      </c>
      <c r="AF17" s="228">
        <f>(Current_Stock[[#This Row],[Ageing till Sep''24 (D)]]+($B$1-45566))/30</f>
        <v>51.269902607602894</v>
      </c>
      <c r="AG17" s="228">
        <v>1327.0970782280867</v>
      </c>
      <c r="AH17" t="str">
        <f>VLOOKUP(Current_Stock[[#This Row],[SKU ID]],SKU[],12,0)</f>
        <v>0W40</v>
      </c>
      <c r="AI17" t="str">
        <f>VLOOKUP(Current_Stock[[#This Row],[SKU ID]],SKU[],10,0)</f>
        <v>Synthetic</v>
      </c>
      <c r="AJ17" s="195">
        <f>VLOOKUP(Current_Stock[[#This Row],[SKU ID]],SKU[[SKU ID]:[Bottle Size(Ltr)]],6,0)*Current_Stock[[#This Row],[Vobanipur Current units]]</f>
        <v>-116</v>
      </c>
      <c r="AK17" s="195">
        <f ca="1">VLOOKUP(Current_Stock[[#This Row],[SKU ID]],SKU[[SKU ID]:[Bottle Size(Ltr)]],6,0)*Current_Stock[[#This Row],[Remaining Damage Unit]]</f>
        <v>16</v>
      </c>
      <c r="AL17" s="195">
        <f>VLOOKUP(Current_Stock[[#This Row],[SKU ID]],SKU[[SKU ID]:[Bottle Size(Ltr)]],6,0)*Current_Stock[[#This Row],[Ulukhola Current]]</f>
        <v>752</v>
      </c>
    </row>
    <row r="18" spans="1:38" x14ac:dyDescent="0.5">
      <c r="A18" s="159" t="s">
        <v>77</v>
      </c>
      <c r="B18" s="159" t="s">
        <v>768</v>
      </c>
      <c r="C18" s="228" t="str">
        <f>VLOOKUP(Current_Stock[[#This Row],[SKU ID]],SKU[],9,0)</f>
        <v>MCO</v>
      </c>
      <c r="D18" s="228">
        <f>VLOOKUP(Current_Stock[[#This Row],[SKU ID]],SKU[],14,0)</f>
        <v>425.1</v>
      </c>
      <c r="E18" s="228">
        <f>VLOOKUP(Current_Stock[[#This Row],[SKU ID]],SKU[],15,0)</f>
        <v>600</v>
      </c>
      <c r="F18" s="228">
        <f>VLOOKUP(Current_Stock[[#This Row],[SKU ID]],Stock_year[],((MONTH($B$1)-1)*$C$75)+2+1,0)</f>
        <v>1050</v>
      </c>
      <c r="G18" s="228">
        <f>VLOOKUP(Current_Stock[[#This Row],[SKU ID]],Stock_year[],((MONTH($B$1)-1)*$C$75)+2+2,0)</f>
        <v>0</v>
      </c>
      <c r="H18" s="228">
        <f>Current_Stock[[#This Row],[Vobanipur opening units]]+Current_Stock[[#This Row],[Ulukhola opening units]]</f>
        <v>1050</v>
      </c>
      <c r="I18" s="267">
        <f>VLOOKUP(Current_Stock[[#This Row],[SKU ID]],SKU[[SKU ID]:[Bottle Size(Ltr)]],6,0)*Current_Stock[[#This Row],[Total Opening Unit]]</f>
        <v>1050</v>
      </c>
      <c r="J18" s="228">
        <f>VLOOKUP(Current_Stock[[#This Row],[SKU ID]],Stock_year[],((MONTH($B$1)-1)*$C$75)+2+5,0)</f>
        <v>0</v>
      </c>
      <c r="K18" s="228">
        <f>VLOOKUP(Current_Stock[[#This Row],[SKU ID]],Stock_year[],((MONTH($B$1)-1)*$C$75)+2+6,0)</f>
        <v>0</v>
      </c>
      <c r="L18" s="228">
        <f>VLOOKUP(Current_Stock[[#This Row],[SKU ID]],Stock_year[],((MONTH($B$1)-1)*$C$75)+2+7,0)</f>
        <v>0</v>
      </c>
      <c r="M18" s="228">
        <f>Current_Stock[[#This Row],[Vobanipur opening units]]+Current_Stock[[#This Row],[New Arrival Ulukhola]]+Current_Stock[[#This Row],[Ulukhola to vobanipur transfer]]</f>
        <v>1050</v>
      </c>
      <c r="N18" s="228">
        <f>Current_Stock[[#This Row],[Ulukhola opening units]]+Current_Stock[[#This Row],[New Arrival Vobanipur]]-Current_Stock[[#This Row],[Ulukhola to vobanipur transfer]]</f>
        <v>0</v>
      </c>
      <c r="O18" s="228">
        <f>Current_Stock[[#This Row],[Vobaipur total]]+Current_Stock[[#This Row],[Ulukhola Current]]</f>
        <v>1050</v>
      </c>
      <c r="P18" s="228">
        <f>SUMIFS(Primary_Order[Total Qty],Primary_Order[Date],"&gt;="&amp;DATE(YEAR($B$1),MONTH($B$1),1),Primary_Order[Date],"&lt;="&amp;$B$1,Primary_Order[Status],$A$1,Primary_Order[Product ID],A18,Primary_Order[Status],"&lt;&gt;DMG-Sold")</f>
        <v>100</v>
      </c>
      <c r="Q18" s="228">
        <f>Current_Stock[[#This Row],[Sold Qty(Unit)]]*Current_Stock[[#This Row],[Cost]]</f>
        <v>42510</v>
      </c>
      <c r="R18" s="228">
        <f>Current_Stock[[#This Row],[Vobaipur total]]-Current_Stock[[#This Row],[Sold Qty(Unit)]]</f>
        <v>950</v>
      </c>
      <c r="S18" s="267">
        <f>Current_Stock[[#This Row],[Vobanipur Current units]]+Current_Stock[[#This Row],[Ulukhola Current]]</f>
        <v>950</v>
      </c>
      <c r="T18" s="267">
        <f>VLOOKUP(Current_Stock[[#This Row],[SKU ID]],SKU[[SKU ID]:[Bottle Size(Ltr)]],6,0)*Current_Stock[[#This Row],[Total Current (Unit)]]</f>
        <v>950</v>
      </c>
      <c r="U18" s="267">
        <f>Current_Stock[[#This Row],[Total Current (Unit)]]*Current_Stock[[#This Row],[Cost]]</f>
        <v>403845</v>
      </c>
      <c r="V18" s="267">
        <f>FLOOR(Current_Stock[[#This Row],[Total Current (Unit)]]/VLOOKUP(Current_Stock[[#This Row],[SKU ID]],SKU[],5,0),1)</f>
        <v>47</v>
      </c>
      <c r="W18" s="267">
        <f>MOD(Current_Stock[[#This Row],[Total Current (Unit)]],VLOOKUP(Current_Stock[[#This Row],[SKU ID]],SKU[],5,0))</f>
        <v>10</v>
      </c>
      <c r="X18" s="228">
        <f ca="1">VLOOKUP(Current_Stock[[#This Row],[SKU ID]],Stock_year[],((MONTH($B$1)-1)*$C$75)+17,0)</f>
        <v>964</v>
      </c>
      <c r="Y18" s="228">
        <f>SUMIFS(Primary_Order[Total Qty],Primary_Order[Date],"&gt;="&amp;DATE(YEAR($B$1),MONTH($B$1),1),Primary_Order[Date],"&lt;="&amp;$B$1,Primary_Order[Status],"DMG-Sold",Primary_Order[Product ID],A18)</f>
        <v>0</v>
      </c>
      <c r="Z18" s="228">
        <f ca="1">Current_Stock[[#This Row],[Opening Damage Unit]]-Current_Stock[[#This Row],[Damage Sold unit]]</f>
        <v>964</v>
      </c>
      <c r="AA18" s="228">
        <f>Current_Stock[[#This Row],[DP Price]]*Current_Stock[[#This Row],[Total Current (Unit)]]</f>
        <v>570000</v>
      </c>
      <c r="AB18" s="228">
        <f ca="1">Current_Stock[[#This Row],[Total Current (Unit)]]+Current_Stock[[#This Row],[Remaining Damage Unit]]</f>
        <v>1914</v>
      </c>
      <c r="AC18" s="228">
        <f ca="1">Current_Stock[[#This Row],[Total Unit with Damage]]*Current_Stock[[#This Row],[Cost]]</f>
        <v>813641.4</v>
      </c>
      <c r="AD18" s="228">
        <f>SUMIFS(Primary_Order[Total Qty],Primary_Order[Date],"&gt;="&amp;DATE(2027,12,1),Primary_Order[Status],$A$1,Primary_Order[Product ID],A18)</f>
        <v>0</v>
      </c>
      <c r="AE18" s="228">
        <f>Current_Stock[[#This Row],[Total Current (Unit)]]-Current_Stock[[#This Row],[Blocked Stock(unit)]]</f>
        <v>950</v>
      </c>
      <c r="AF18" s="228">
        <f>(Current_Stock[[#This Row],[Ageing till Sep''24 (D)]]+($B$1-45566))/30</f>
        <v>13.033333333333333</v>
      </c>
      <c r="AG18" s="228">
        <v>180</v>
      </c>
      <c r="AH18" t="str">
        <f>VLOOKUP(Current_Stock[[#This Row],[SKU ID]],SKU[],12,0)</f>
        <v>10W30</v>
      </c>
      <c r="AI18" t="str">
        <f>VLOOKUP(Current_Stock[[#This Row],[SKU ID]],SKU[],10,0)</f>
        <v>Technosynthese</v>
      </c>
      <c r="AJ18" s="195">
        <f>VLOOKUP(Current_Stock[[#This Row],[SKU ID]],SKU[[SKU ID]:[Bottle Size(Ltr)]],6,0)*Current_Stock[[#This Row],[Vobanipur Current units]]</f>
        <v>950</v>
      </c>
      <c r="AK18" s="195">
        <f ca="1">VLOOKUP(Current_Stock[[#This Row],[SKU ID]],SKU[[SKU ID]:[Bottle Size(Ltr)]],6,0)*Current_Stock[[#This Row],[Remaining Damage Unit]]</f>
        <v>964</v>
      </c>
      <c r="AL18" s="195">
        <f>VLOOKUP(Current_Stock[[#This Row],[SKU ID]],SKU[[SKU ID]:[Bottle Size(Ltr)]],6,0)*Current_Stock[[#This Row],[Ulukhola Current]]</f>
        <v>0</v>
      </c>
    </row>
    <row r="19" spans="1:38" x14ac:dyDescent="0.5">
      <c r="A19" s="159" t="s">
        <v>36</v>
      </c>
      <c r="B19" s="159" t="s">
        <v>771</v>
      </c>
      <c r="C19" s="228" t="str">
        <f>VLOOKUP(Current_Stock[[#This Row],[SKU ID]],SKU[],9,0)</f>
        <v>MCO</v>
      </c>
      <c r="D19" s="228">
        <f>VLOOKUP(Current_Stock[[#This Row],[SKU ID]],SKU[],14,0)</f>
        <v>608.33000000000004</v>
      </c>
      <c r="E19" s="228">
        <f>VLOOKUP(Current_Stock[[#This Row],[SKU ID]],SKU[],15,0)</f>
        <v>860</v>
      </c>
      <c r="F19" s="228">
        <f>VLOOKUP(Current_Stock[[#This Row],[SKU ID]],Stock_year[],((MONTH($B$1)-1)*$C$75)+2+1,0)</f>
        <v>1617</v>
      </c>
      <c r="G19" s="228">
        <f>VLOOKUP(Current_Stock[[#This Row],[SKU ID]],Stock_year[],((MONTH($B$1)-1)*$C$75)+2+2,0)</f>
        <v>0</v>
      </c>
      <c r="H19" s="228">
        <f>Current_Stock[[#This Row],[Vobanipur opening units]]+Current_Stock[[#This Row],[Ulukhola opening units]]</f>
        <v>1617</v>
      </c>
      <c r="I19" s="267">
        <f>VLOOKUP(Current_Stock[[#This Row],[SKU ID]],SKU[[SKU ID]:[Bottle Size(Ltr)]],6,0)*Current_Stock[[#This Row],[Total Opening Unit]]</f>
        <v>1617</v>
      </c>
      <c r="J19" s="228">
        <f>VLOOKUP(Current_Stock[[#This Row],[SKU ID]],Stock_year[],((MONTH($B$1)-1)*$C$75)+2+5,0)</f>
        <v>0</v>
      </c>
      <c r="K19" s="228">
        <f>VLOOKUP(Current_Stock[[#This Row],[SKU ID]],Stock_year[],((MONTH($B$1)-1)*$C$75)+2+6,0)</f>
        <v>0</v>
      </c>
      <c r="L19" s="228">
        <f>VLOOKUP(Current_Stock[[#This Row],[SKU ID]],Stock_year[],((MONTH($B$1)-1)*$C$75)+2+7,0)</f>
        <v>0</v>
      </c>
      <c r="M19" s="228">
        <f>Current_Stock[[#This Row],[Vobanipur opening units]]+Current_Stock[[#This Row],[New Arrival Ulukhola]]+Current_Stock[[#This Row],[Ulukhola to vobanipur transfer]]</f>
        <v>1617</v>
      </c>
      <c r="N19" s="228">
        <f>Current_Stock[[#This Row],[Ulukhola opening units]]+Current_Stock[[#This Row],[New Arrival Vobanipur]]-Current_Stock[[#This Row],[Ulukhola to vobanipur transfer]]</f>
        <v>0</v>
      </c>
      <c r="O19" s="228">
        <f>Current_Stock[[#This Row],[Vobaipur total]]+Current_Stock[[#This Row],[Ulukhola Current]]</f>
        <v>1617</v>
      </c>
      <c r="P19" s="228">
        <f>SUMIFS(Primary_Order[Total Qty],Primary_Order[Date],"&gt;="&amp;DATE(YEAR($B$1),MONTH($B$1),1),Primary_Order[Date],"&lt;="&amp;$B$1,Primary_Order[Status],$A$1,Primary_Order[Product ID],A19,Primary_Order[Status],"&lt;&gt;DMG-Sold")</f>
        <v>696</v>
      </c>
      <c r="Q19" s="228">
        <f>Current_Stock[[#This Row],[Sold Qty(Unit)]]*Current_Stock[[#This Row],[Cost]]</f>
        <v>423397.68000000005</v>
      </c>
      <c r="R19" s="228">
        <f>Current_Stock[[#This Row],[Vobaipur total]]-Current_Stock[[#This Row],[Sold Qty(Unit)]]</f>
        <v>921</v>
      </c>
      <c r="S19" s="267">
        <f>Current_Stock[[#This Row],[Vobanipur Current units]]+Current_Stock[[#This Row],[Ulukhola Current]]</f>
        <v>921</v>
      </c>
      <c r="T19" s="267">
        <f>VLOOKUP(Current_Stock[[#This Row],[SKU ID]],SKU[[SKU ID]:[Bottle Size(Ltr)]],6,0)*Current_Stock[[#This Row],[Total Current (Unit)]]</f>
        <v>921</v>
      </c>
      <c r="U19" s="267">
        <f>Current_Stock[[#This Row],[Total Current (Unit)]]*Current_Stock[[#This Row],[Cost]]</f>
        <v>560271.93000000005</v>
      </c>
      <c r="V19" s="267">
        <f>FLOOR(Current_Stock[[#This Row],[Total Current (Unit)]]/VLOOKUP(Current_Stock[[#This Row],[SKU ID]],SKU[],5,0),1)</f>
        <v>76</v>
      </c>
      <c r="W19" s="267">
        <f>MOD(Current_Stock[[#This Row],[Total Current (Unit)]],VLOOKUP(Current_Stock[[#This Row],[SKU ID]],SKU[],5,0))</f>
        <v>9</v>
      </c>
      <c r="X19" s="228">
        <f ca="1">VLOOKUP(Current_Stock[[#This Row],[SKU ID]],Stock_year[],((MONTH($B$1)-1)*$C$75)+17,0)</f>
        <v>90</v>
      </c>
      <c r="Y19" s="228">
        <f>SUMIFS(Primary_Order[Total Qty],Primary_Order[Date],"&gt;="&amp;DATE(YEAR($B$1),MONTH($B$1),1),Primary_Order[Date],"&lt;="&amp;$B$1,Primary_Order[Status],"DMG-Sold",Primary_Order[Product ID],A19)</f>
        <v>0</v>
      </c>
      <c r="Z19" s="228">
        <f ca="1">Current_Stock[[#This Row],[Opening Damage Unit]]-Current_Stock[[#This Row],[Damage Sold unit]]</f>
        <v>90</v>
      </c>
      <c r="AA19" s="228">
        <f>Current_Stock[[#This Row],[DP Price]]*Current_Stock[[#This Row],[Total Current (Unit)]]</f>
        <v>792060</v>
      </c>
      <c r="AB19" s="228">
        <f ca="1">Current_Stock[[#This Row],[Total Current (Unit)]]+Current_Stock[[#This Row],[Remaining Damage Unit]]</f>
        <v>1011</v>
      </c>
      <c r="AC19" s="228">
        <f ca="1">Current_Stock[[#This Row],[Total Unit with Damage]]*Current_Stock[[#This Row],[Cost]]</f>
        <v>615021.63</v>
      </c>
      <c r="AD19" s="228">
        <f>SUMIFS(Primary_Order[Total Qty],Primary_Order[Date],"&gt;="&amp;DATE(2027,12,1),Primary_Order[Status],$A$1,Primary_Order[Product ID],A19)</f>
        <v>1784</v>
      </c>
      <c r="AE19" s="228">
        <f>Current_Stock[[#This Row],[Total Current (Unit)]]-Current_Stock[[#This Row],[Blocked Stock(unit)]]</f>
        <v>-863</v>
      </c>
      <c r="AF19" s="228">
        <f>(Current_Stock[[#This Row],[Ageing till Sep''24 (D)]]+($B$1-45566))/30</f>
        <v>8.0333333333333332</v>
      </c>
      <c r="AG19" s="228">
        <v>30</v>
      </c>
      <c r="AH19" t="str">
        <f>VLOOKUP(Current_Stock[[#This Row],[SKU ID]],SKU[],12,0)</f>
        <v>10W40</v>
      </c>
      <c r="AI19" t="str">
        <f>VLOOKUP(Current_Stock[[#This Row],[SKU ID]],SKU[],10,0)</f>
        <v>Technosynthese</v>
      </c>
      <c r="AJ19" s="195">
        <f>VLOOKUP(Current_Stock[[#This Row],[SKU ID]],SKU[[SKU ID]:[Bottle Size(Ltr)]],6,0)*Current_Stock[[#This Row],[Vobanipur Current units]]</f>
        <v>921</v>
      </c>
      <c r="AK19" s="195">
        <f ca="1">VLOOKUP(Current_Stock[[#This Row],[SKU ID]],SKU[[SKU ID]:[Bottle Size(Ltr)]],6,0)*Current_Stock[[#This Row],[Remaining Damage Unit]]</f>
        <v>90</v>
      </c>
      <c r="AL19" s="195">
        <f>VLOOKUP(Current_Stock[[#This Row],[SKU ID]],SKU[[SKU ID]:[Bottle Size(Ltr)]],6,0)*Current_Stock[[#This Row],[Ulukhola Current]]</f>
        <v>0</v>
      </c>
    </row>
    <row r="20" spans="1:38" x14ac:dyDescent="0.5">
      <c r="A20" s="159" t="s">
        <v>189</v>
      </c>
      <c r="B20" s="159" t="s">
        <v>791</v>
      </c>
      <c r="C20" s="228" t="str">
        <f>VLOOKUP(Current_Stock[[#This Row],[SKU ID]],SKU[],9,0)</f>
        <v>PCMO</v>
      </c>
      <c r="D20" s="228">
        <f>VLOOKUP(Current_Stock[[#This Row],[SKU ID]],SKU[],14,0)</f>
        <v>1452.74</v>
      </c>
      <c r="E20" s="228">
        <f>VLOOKUP(Current_Stock[[#This Row],[SKU ID]],SKU[],15,0)</f>
        <v>2000</v>
      </c>
      <c r="F20" s="228">
        <f>VLOOKUP(Current_Stock[[#This Row],[SKU ID]],Stock_year[],((MONTH($B$1)-1)*$C$75)+2+1,0)</f>
        <v>229</v>
      </c>
      <c r="G20" s="228">
        <f>VLOOKUP(Current_Stock[[#This Row],[SKU ID]],Stock_year[],((MONTH($B$1)-1)*$C$75)+2+2,0)</f>
        <v>0</v>
      </c>
      <c r="H20" s="228">
        <f>Current_Stock[[#This Row],[Vobanipur opening units]]+Current_Stock[[#This Row],[Ulukhola opening units]]</f>
        <v>229</v>
      </c>
      <c r="I20" s="267">
        <f>VLOOKUP(Current_Stock[[#This Row],[SKU ID]],SKU[[SKU ID]:[Bottle Size(Ltr)]],6,0)*Current_Stock[[#This Row],[Total Opening Unit]]</f>
        <v>916</v>
      </c>
      <c r="J20" s="228">
        <f>VLOOKUP(Current_Stock[[#This Row],[SKU ID]],Stock_year[],((MONTH($B$1)-1)*$C$75)+2+5,0)</f>
        <v>0</v>
      </c>
      <c r="K20" s="228">
        <f>VLOOKUP(Current_Stock[[#This Row],[SKU ID]],Stock_year[],((MONTH($B$1)-1)*$C$75)+2+6,0)</f>
        <v>0</v>
      </c>
      <c r="L20" s="228">
        <f>VLOOKUP(Current_Stock[[#This Row],[SKU ID]],Stock_year[],((MONTH($B$1)-1)*$C$75)+2+7,0)</f>
        <v>0</v>
      </c>
      <c r="M20" s="228">
        <f>Current_Stock[[#This Row],[Vobanipur opening units]]+Current_Stock[[#This Row],[New Arrival Ulukhola]]+Current_Stock[[#This Row],[Ulukhola to vobanipur transfer]]</f>
        <v>229</v>
      </c>
      <c r="N20" s="228">
        <f>Current_Stock[[#This Row],[Ulukhola opening units]]+Current_Stock[[#This Row],[New Arrival Vobanipur]]-Current_Stock[[#This Row],[Ulukhola to vobanipur transfer]]</f>
        <v>0</v>
      </c>
      <c r="O20" s="228">
        <f>Current_Stock[[#This Row],[Vobaipur total]]+Current_Stock[[#This Row],[Ulukhola Current]]</f>
        <v>229</v>
      </c>
      <c r="P20" s="228">
        <f>SUMIFS(Primary_Order[Total Qty],Primary_Order[Date],"&gt;="&amp;DATE(YEAR($B$1),MONTH($B$1),1),Primary_Order[Date],"&lt;="&amp;$B$1,Primary_Order[Status],$A$1,Primary_Order[Product ID],A20,Primary_Order[Status],"&lt;&gt;DMG-Sold")</f>
        <v>0</v>
      </c>
      <c r="Q20" s="228">
        <f>Current_Stock[[#This Row],[Sold Qty(Unit)]]*Current_Stock[[#This Row],[Cost]]</f>
        <v>0</v>
      </c>
      <c r="R20" s="228">
        <f>Current_Stock[[#This Row],[Vobaipur total]]-Current_Stock[[#This Row],[Sold Qty(Unit)]]</f>
        <v>229</v>
      </c>
      <c r="S20" s="267">
        <f>Current_Stock[[#This Row],[Vobanipur Current units]]+Current_Stock[[#This Row],[Ulukhola Current]]</f>
        <v>229</v>
      </c>
      <c r="T20" s="267">
        <f>VLOOKUP(Current_Stock[[#This Row],[SKU ID]],SKU[[SKU ID]:[Bottle Size(Ltr)]],6,0)*Current_Stock[[#This Row],[Total Current (Unit)]]</f>
        <v>916</v>
      </c>
      <c r="U20" s="267">
        <f>Current_Stock[[#This Row],[Total Current (Unit)]]*Current_Stock[[#This Row],[Cost]]</f>
        <v>332677.46000000002</v>
      </c>
      <c r="V20" s="267">
        <f>FLOOR(Current_Stock[[#This Row],[Total Current (Unit)]]/VLOOKUP(Current_Stock[[#This Row],[SKU ID]],SKU[],5,0),1)</f>
        <v>57</v>
      </c>
      <c r="W20" s="267">
        <f>MOD(Current_Stock[[#This Row],[Total Current (Unit)]],VLOOKUP(Current_Stock[[#This Row],[SKU ID]],SKU[],5,0))</f>
        <v>1</v>
      </c>
      <c r="X20" s="228">
        <f ca="1">VLOOKUP(Current_Stock[[#This Row],[SKU ID]],Stock_year[],((MONTH($B$1)-1)*$C$75)+17,0)</f>
        <v>5</v>
      </c>
      <c r="Y20" s="228">
        <f>SUMIFS(Primary_Order[Total Qty],Primary_Order[Date],"&gt;="&amp;DATE(YEAR($B$1),MONTH($B$1),1),Primary_Order[Date],"&lt;="&amp;$B$1,Primary_Order[Status],"DMG-Sold",Primary_Order[Product ID],A20)</f>
        <v>0</v>
      </c>
      <c r="Z20" s="228">
        <f ca="1">Current_Stock[[#This Row],[Opening Damage Unit]]-Current_Stock[[#This Row],[Damage Sold unit]]</f>
        <v>5</v>
      </c>
      <c r="AA20" s="228">
        <f>Current_Stock[[#This Row],[DP Price]]*Current_Stock[[#This Row],[Total Current (Unit)]]</f>
        <v>458000</v>
      </c>
      <c r="AB20" s="228">
        <f ca="1">Current_Stock[[#This Row],[Total Current (Unit)]]+Current_Stock[[#This Row],[Remaining Damage Unit]]</f>
        <v>234</v>
      </c>
      <c r="AC20" s="228">
        <f ca="1">Current_Stock[[#This Row],[Total Unit with Damage]]*Current_Stock[[#This Row],[Cost]]</f>
        <v>339941.16</v>
      </c>
      <c r="AD20" s="228">
        <f>SUMIFS(Primary_Order[Total Qty],Primary_Order[Date],"&gt;="&amp;DATE(2027,12,1),Primary_Order[Status],$A$1,Primary_Order[Product ID],A20)</f>
        <v>0</v>
      </c>
      <c r="AE20" s="228">
        <f>Current_Stock[[#This Row],[Total Current (Unit)]]-Current_Stock[[#This Row],[Blocked Stock(unit)]]</f>
        <v>229</v>
      </c>
      <c r="AF20" s="228">
        <f>(Current_Stock[[#This Row],[Ageing till Sep''24 (D)]]+($B$1-45566))/30</f>
        <v>31.033333333333335</v>
      </c>
      <c r="AG20" s="228">
        <v>720</v>
      </c>
      <c r="AH20" t="str">
        <f>VLOOKUP(Current_Stock[[#This Row],[SKU ID]],SKU[],12,0)</f>
        <v>10W30</v>
      </c>
      <c r="AI20" t="str">
        <f>VLOOKUP(Current_Stock[[#This Row],[SKU ID]],SKU[],10,0)</f>
        <v>Mineral</v>
      </c>
      <c r="AJ20" s="195">
        <f>VLOOKUP(Current_Stock[[#This Row],[SKU ID]],SKU[[SKU ID]:[Bottle Size(Ltr)]],6,0)*Current_Stock[[#This Row],[Vobanipur Current units]]</f>
        <v>916</v>
      </c>
      <c r="AK20" s="195">
        <f ca="1">VLOOKUP(Current_Stock[[#This Row],[SKU ID]],SKU[[SKU ID]:[Bottle Size(Ltr)]],6,0)*Current_Stock[[#This Row],[Remaining Damage Unit]]</f>
        <v>20</v>
      </c>
      <c r="AL20" s="195">
        <f>VLOOKUP(Current_Stock[[#This Row],[SKU ID]],SKU[[SKU ID]:[Bottle Size(Ltr)]],6,0)*Current_Stock[[#This Row],[Ulukhola Current]]</f>
        <v>0</v>
      </c>
    </row>
    <row r="21" spans="1:38" x14ac:dyDescent="0.5">
      <c r="A21" s="159" t="s">
        <v>156</v>
      </c>
      <c r="B21" s="159" t="s">
        <v>784</v>
      </c>
      <c r="C21" s="228" t="str">
        <f>VLOOKUP(Current_Stock[[#This Row],[SKU ID]],SKU[],9,0)</f>
        <v>PCMO</v>
      </c>
      <c r="D21" s="228">
        <f>VLOOKUP(Current_Stock[[#This Row],[SKU ID]],SKU[],14,0)</f>
        <v>1095.45</v>
      </c>
      <c r="E21" s="228">
        <f>VLOOKUP(Current_Stock[[#This Row],[SKU ID]],SKU[],15,0)</f>
        <v>2350</v>
      </c>
      <c r="F21" s="228">
        <f>VLOOKUP(Current_Stock[[#This Row],[SKU ID]],Stock_year[],((MONTH($B$1)-1)*$C$75)+2+1,0)</f>
        <v>158</v>
      </c>
      <c r="G21" s="228">
        <f>VLOOKUP(Current_Stock[[#This Row],[SKU ID]],Stock_year[],((MONTH($B$1)-1)*$C$75)+2+2,0)</f>
        <v>456</v>
      </c>
      <c r="H21" s="228">
        <f>Current_Stock[[#This Row],[Vobanipur opening units]]+Current_Stock[[#This Row],[Ulukhola opening units]]</f>
        <v>614</v>
      </c>
      <c r="I21" s="267">
        <f>VLOOKUP(Current_Stock[[#This Row],[SKU ID]],SKU[[SKU ID]:[Bottle Size(Ltr)]],6,0)*Current_Stock[[#This Row],[Total Opening Unit]]</f>
        <v>2456</v>
      </c>
      <c r="J21" s="228">
        <f>VLOOKUP(Current_Stock[[#This Row],[SKU ID]],Stock_year[],((MONTH($B$1)-1)*$C$75)+2+5,0)</f>
        <v>456</v>
      </c>
      <c r="K21" s="228">
        <f>VLOOKUP(Current_Stock[[#This Row],[SKU ID]],Stock_year[],((MONTH($B$1)-1)*$C$75)+2+6,0)</f>
        <v>0</v>
      </c>
      <c r="L21" s="228">
        <f>VLOOKUP(Current_Stock[[#This Row],[SKU ID]],Stock_year[],((MONTH($B$1)-1)*$C$75)+2+7,0)</f>
        <v>0</v>
      </c>
      <c r="M21" s="228">
        <f>Current_Stock[[#This Row],[Vobanipur opening units]]+Current_Stock[[#This Row],[New Arrival Ulukhola]]+Current_Stock[[#This Row],[Ulukhola to vobanipur transfer]]</f>
        <v>614</v>
      </c>
      <c r="N21" s="228">
        <f>Current_Stock[[#This Row],[Ulukhola opening units]]+Current_Stock[[#This Row],[New Arrival Vobanipur]]-Current_Stock[[#This Row],[Ulukhola to vobanipur transfer]]</f>
        <v>0</v>
      </c>
      <c r="O21" s="228">
        <f>Current_Stock[[#This Row],[Vobaipur total]]+Current_Stock[[#This Row],[Ulukhola Current]]</f>
        <v>614</v>
      </c>
      <c r="P21" s="228">
        <f>SUMIFS(Primary_Order[Total Qty],Primary_Order[Date],"&gt;="&amp;DATE(YEAR($B$1),MONTH($B$1),1),Primary_Order[Date],"&lt;="&amp;$B$1,Primary_Order[Status],$A$1,Primary_Order[Product ID],A21,Primary_Order[Status],"&lt;&gt;DMG-Sold")</f>
        <v>444</v>
      </c>
      <c r="Q21" s="228">
        <f>Current_Stock[[#This Row],[Sold Qty(Unit)]]*Current_Stock[[#This Row],[Cost]]</f>
        <v>486379.80000000005</v>
      </c>
      <c r="R21" s="228">
        <f>Current_Stock[[#This Row],[Vobaipur total]]-Current_Stock[[#This Row],[Sold Qty(Unit)]]</f>
        <v>170</v>
      </c>
      <c r="S21" s="267">
        <f>Current_Stock[[#This Row],[Vobanipur Current units]]+Current_Stock[[#This Row],[Ulukhola Current]]</f>
        <v>170</v>
      </c>
      <c r="T21" s="267">
        <f>VLOOKUP(Current_Stock[[#This Row],[SKU ID]],SKU[[SKU ID]:[Bottle Size(Ltr)]],6,0)*Current_Stock[[#This Row],[Total Current (Unit)]]</f>
        <v>680</v>
      </c>
      <c r="U21" s="267">
        <f>Current_Stock[[#This Row],[Total Current (Unit)]]*Current_Stock[[#This Row],[Cost]]</f>
        <v>186226.5</v>
      </c>
      <c r="V21" s="267">
        <f>FLOOR(Current_Stock[[#This Row],[Total Current (Unit)]]/VLOOKUP(Current_Stock[[#This Row],[SKU ID]],SKU[],5,0),1)</f>
        <v>42</v>
      </c>
      <c r="W21" s="267">
        <f>MOD(Current_Stock[[#This Row],[Total Current (Unit)]],VLOOKUP(Current_Stock[[#This Row],[SKU ID]],SKU[],5,0))</f>
        <v>2</v>
      </c>
      <c r="X21" s="228">
        <f ca="1">VLOOKUP(Current_Stock[[#This Row],[SKU ID]],Stock_year[],((MONTH($B$1)-1)*$C$75)+17,0)</f>
        <v>2</v>
      </c>
      <c r="Y21" s="228">
        <f>SUMIFS(Primary_Order[Total Qty],Primary_Order[Date],"&gt;="&amp;DATE(YEAR($B$1),MONTH($B$1),1),Primary_Order[Date],"&lt;="&amp;$B$1,Primary_Order[Status],"DMG-Sold",Primary_Order[Product ID],A21)</f>
        <v>0</v>
      </c>
      <c r="Z21" s="228">
        <f ca="1">Current_Stock[[#This Row],[Opening Damage Unit]]-Current_Stock[[#This Row],[Damage Sold unit]]</f>
        <v>2</v>
      </c>
      <c r="AA21" s="228">
        <f>Current_Stock[[#This Row],[DP Price]]*Current_Stock[[#This Row],[Total Current (Unit)]]</f>
        <v>399500</v>
      </c>
      <c r="AB21" s="228">
        <f ca="1">Current_Stock[[#This Row],[Total Current (Unit)]]+Current_Stock[[#This Row],[Remaining Damage Unit]]</f>
        <v>172</v>
      </c>
      <c r="AC21" s="228">
        <f ca="1">Current_Stock[[#This Row],[Total Unit with Damage]]*Current_Stock[[#This Row],[Cost]]</f>
        <v>188417.4</v>
      </c>
      <c r="AD21" s="228">
        <f>SUMIFS(Primary_Order[Total Qty],Primary_Order[Date],"&gt;="&amp;DATE(2027,12,1),Primary_Order[Status],$A$1,Primary_Order[Product ID],A21)</f>
        <v>0</v>
      </c>
      <c r="AE21" s="228">
        <f>Current_Stock[[#This Row],[Total Current (Unit)]]-Current_Stock[[#This Row],[Blocked Stock(unit)]]</f>
        <v>170</v>
      </c>
      <c r="AF21" s="228">
        <f>(Current_Stock[[#This Row],[Ageing till Sep''24 (D)]]+($B$1-45566))/30</f>
        <v>47.356686626746502</v>
      </c>
      <c r="AG21" s="228">
        <v>1209.700598802395</v>
      </c>
      <c r="AH21" t="str">
        <f>VLOOKUP(Current_Stock[[#This Row],[SKU ID]],SKU[],12,0)</f>
        <v>20W50</v>
      </c>
      <c r="AI21" t="str">
        <f>VLOOKUP(Current_Stock[[#This Row],[SKU ID]],SKU[],10,0)</f>
        <v>Mineral</v>
      </c>
      <c r="AJ21" s="195">
        <f>VLOOKUP(Current_Stock[[#This Row],[SKU ID]],SKU[[SKU ID]:[Bottle Size(Ltr)]],6,0)*Current_Stock[[#This Row],[Vobanipur Current units]]</f>
        <v>680</v>
      </c>
      <c r="AK21" s="195">
        <f ca="1">VLOOKUP(Current_Stock[[#This Row],[SKU ID]],SKU[[SKU ID]:[Bottle Size(Ltr)]],6,0)*Current_Stock[[#This Row],[Remaining Damage Unit]]</f>
        <v>8</v>
      </c>
      <c r="AL21" s="195">
        <f>VLOOKUP(Current_Stock[[#This Row],[SKU ID]],SKU[[SKU ID]:[Bottle Size(Ltr)]],6,0)*Current_Stock[[#This Row],[Ulukhola Current]]</f>
        <v>0</v>
      </c>
    </row>
    <row r="22" spans="1:38" x14ac:dyDescent="0.5">
      <c r="A22" s="159" t="s">
        <v>75</v>
      </c>
      <c r="B22" s="159" t="s">
        <v>767</v>
      </c>
      <c r="C22" s="228" t="str">
        <f>VLOOKUP(Current_Stock[[#This Row],[SKU ID]],SKU[],9,0)</f>
        <v>MCO</v>
      </c>
      <c r="D22" s="228">
        <f>VLOOKUP(Current_Stock[[#This Row],[SKU ID]],SKU[],14,0)</f>
        <v>469.39</v>
      </c>
      <c r="E22" s="228">
        <f>VLOOKUP(Current_Stock[[#This Row],[SKU ID]],SKU[],15,0)</f>
        <v>600</v>
      </c>
      <c r="F22" s="228">
        <f>VLOOKUP(Current_Stock[[#This Row],[SKU ID]],Stock_year[],((MONTH($B$1)-1)*$C$75)+2+1,0)</f>
        <v>1498</v>
      </c>
      <c r="G22" s="228">
        <f>VLOOKUP(Current_Stock[[#This Row],[SKU ID]],Stock_year[],((MONTH($B$1)-1)*$C$75)+2+2,0)</f>
        <v>0</v>
      </c>
      <c r="H22" s="228">
        <f>Current_Stock[[#This Row],[Vobanipur opening units]]+Current_Stock[[#This Row],[Ulukhola opening units]]</f>
        <v>1498</v>
      </c>
      <c r="I22" s="267">
        <f>VLOOKUP(Current_Stock[[#This Row],[SKU ID]],SKU[[SKU ID]:[Bottle Size(Ltr)]],6,0)*Current_Stock[[#This Row],[Total Opening Unit]]</f>
        <v>1498</v>
      </c>
      <c r="J22" s="228">
        <f>VLOOKUP(Current_Stock[[#This Row],[SKU ID]],Stock_year[],((MONTH($B$1)-1)*$C$75)+2+5,0)</f>
        <v>0</v>
      </c>
      <c r="K22" s="228">
        <f>VLOOKUP(Current_Stock[[#This Row],[SKU ID]],Stock_year[],((MONTH($B$1)-1)*$C$75)+2+6,0)</f>
        <v>0</v>
      </c>
      <c r="L22" s="228">
        <f>VLOOKUP(Current_Stock[[#This Row],[SKU ID]],Stock_year[],((MONTH($B$1)-1)*$C$75)+2+7,0)</f>
        <v>0</v>
      </c>
      <c r="M22" s="228">
        <f>Current_Stock[[#This Row],[Vobanipur opening units]]+Current_Stock[[#This Row],[New Arrival Ulukhola]]+Current_Stock[[#This Row],[Ulukhola to vobanipur transfer]]</f>
        <v>1498</v>
      </c>
      <c r="N22" s="228">
        <f>Current_Stock[[#This Row],[Ulukhola opening units]]+Current_Stock[[#This Row],[New Arrival Vobanipur]]-Current_Stock[[#This Row],[Ulukhola to vobanipur transfer]]</f>
        <v>0</v>
      </c>
      <c r="O22" s="228">
        <f>Current_Stock[[#This Row],[Vobaipur total]]+Current_Stock[[#This Row],[Ulukhola Current]]</f>
        <v>1498</v>
      </c>
      <c r="P22" s="228">
        <f>SUMIFS(Primary_Order[Total Qty],Primary_Order[Date],"&gt;="&amp;DATE(YEAR($B$1),MONTH($B$1),1),Primary_Order[Date],"&lt;="&amp;$B$1,Primary_Order[Status],$A$1,Primary_Order[Product ID],A22,Primary_Order[Status],"&lt;&gt;DMG-Sold")</f>
        <v>1108</v>
      </c>
      <c r="Q22" s="228">
        <f>Current_Stock[[#This Row],[Sold Qty(Unit)]]*Current_Stock[[#This Row],[Cost]]</f>
        <v>520084.12</v>
      </c>
      <c r="R22" s="228">
        <f>Current_Stock[[#This Row],[Vobaipur total]]-Current_Stock[[#This Row],[Sold Qty(Unit)]]</f>
        <v>390</v>
      </c>
      <c r="S22" s="267">
        <f>Current_Stock[[#This Row],[Vobanipur Current units]]+Current_Stock[[#This Row],[Ulukhola Current]]</f>
        <v>390</v>
      </c>
      <c r="T22" s="267">
        <f>VLOOKUP(Current_Stock[[#This Row],[SKU ID]],SKU[[SKU ID]:[Bottle Size(Ltr)]],6,0)*Current_Stock[[#This Row],[Total Current (Unit)]]</f>
        <v>390</v>
      </c>
      <c r="U22" s="267">
        <f>Current_Stock[[#This Row],[Total Current (Unit)]]*Current_Stock[[#This Row],[Cost]]</f>
        <v>183062.1</v>
      </c>
      <c r="V22" s="267">
        <f>FLOOR(Current_Stock[[#This Row],[Total Current (Unit)]]/VLOOKUP(Current_Stock[[#This Row],[SKU ID]],SKU[],5,0),1)</f>
        <v>19</v>
      </c>
      <c r="W22" s="267">
        <f>MOD(Current_Stock[[#This Row],[Total Current (Unit)]],VLOOKUP(Current_Stock[[#This Row],[SKU ID]],SKU[],5,0))</f>
        <v>10</v>
      </c>
      <c r="X22" s="228">
        <f ca="1">VLOOKUP(Current_Stock[[#This Row],[SKU ID]],Stock_year[],((MONTH($B$1)-1)*$C$75)+17,0)</f>
        <v>676</v>
      </c>
      <c r="Y22" s="228">
        <f>SUMIFS(Primary_Order[Total Qty],Primary_Order[Date],"&gt;="&amp;DATE(YEAR($B$1),MONTH($B$1),1),Primary_Order[Date],"&lt;="&amp;$B$1,Primary_Order[Status],"DMG-Sold",Primary_Order[Product ID],A22)</f>
        <v>0</v>
      </c>
      <c r="Z22" s="228">
        <f ca="1">Current_Stock[[#This Row],[Opening Damage Unit]]-Current_Stock[[#This Row],[Damage Sold unit]]</f>
        <v>676</v>
      </c>
      <c r="AA22" s="228">
        <f>Current_Stock[[#This Row],[DP Price]]*Current_Stock[[#This Row],[Total Current (Unit)]]</f>
        <v>234000</v>
      </c>
      <c r="AB22" s="228">
        <f ca="1">Current_Stock[[#This Row],[Total Current (Unit)]]+Current_Stock[[#This Row],[Remaining Damage Unit]]</f>
        <v>1066</v>
      </c>
      <c r="AC22" s="228">
        <f ca="1">Current_Stock[[#This Row],[Total Unit with Damage]]*Current_Stock[[#This Row],[Cost]]</f>
        <v>500369.74</v>
      </c>
      <c r="AD22" s="228">
        <f>SUMIFS(Primary_Order[Total Qty],Primary_Order[Date],"&gt;="&amp;DATE(2027,12,1),Primary_Order[Status],$A$1,Primary_Order[Product ID],A22)</f>
        <v>0</v>
      </c>
      <c r="AE22" s="228">
        <f>Current_Stock[[#This Row],[Total Current (Unit)]]-Current_Stock[[#This Row],[Blocked Stock(unit)]]</f>
        <v>390</v>
      </c>
      <c r="AF22" s="228">
        <f>(Current_Stock[[#This Row],[Ageing till Sep''24 (D)]]+($B$1-45566))/30</f>
        <v>8.0333333333333332</v>
      </c>
      <c r="AG22" s="228">
        <v>30</v>
      </c>
      <c r="AH22" t="str">
        <f>VLOOKUP(Current_Stock[[#This Row],[SKU ID]],SKU[],12,0)</f>
        <v>20W50</v>
      </c>
      <c r="AI22" t="str">
        <f>VLOOKUP(Current_Stock[[#This Row],[SKU ID]],SKU[],10,0)</f>
        <v>Technosynthese</v>
      </c>
      <c r="AJ22" s="195">
        <f>VLOOKUP(Current_Stock[[#This Row],[SKU ID]],SKU[[SKU ID]:[Bottle Size(Ltr)]],6,0)*Current_Stock[[#This Row],[Vobanipur Current units]]</f>
        <v>390</v>
      </c>
      <c r="AK22" s="195">
        <f ca="1">VLOOKUP(Current_Stock[[#This Row],[SKU ID]],SKU[[SKU ID]:[Bottle Size(Ltr)]],6,0)*Current_Stock[[#This Row],[Remaining Damage Unit]]</f>
        <v>676</v>
      </c>
      <c r="AL22" s="195">
        <f>VLOOKUP(Current_Stock[[#This Row],[SKU ID]],SKU[[SKU ID]:[Bottle Size(Ltr)]],6,0)*Current_Stock[[#This Row],[Ulukhola Current]]</f>
        <v>0</v>
      </c>
    </row>
    <row r="23" spans="1:38" x14ac:dyDescent="0.5">
      <c r="A23" s="159" t="s">
        <v>135</v>
      </c>
      <c r="B23" s="159" t="s">
        <v>826</v>
      </c>
      <c r="C23" s="228" t="str">
        <f>VLOOKUP(Current_Stock[[#This Row],[SKU ID]],SKU[],9,0)</f>
        <v>Agri</v>
      </c>
      <c r="D23" s="228">
        <f>VLOOKUP(Current_Stock[[#This Row],[SKU ID]],SKU[],14,0)</f>
        <v>398.22</v>
      </c>
      <c r="E23" s="228">
        <f>VLOOKUP(Current_Stock[[#This Row],[SKU ID]],SKU[],15,0)</f>
        <v>660</v>
      </c>
      <c r="F23" s="228">
        <f>VLOOKUP(Current_Stock[[#This Row],[SKU ID]],Stock_year[],((MONTH($B$1)-1)*$C$75)+2+1,0)</f>
        <v>240</v>
      </c>
      <c r="G23" s="228">
        <f>VLOOKUP(Current_Stock[[#This Row],[SKU ID]],Stock_year[],((MONTH($B$1)-1)*$C$75)+2+2,0)</f>
        <v>440</v>
      </c>
      <c r="H23" s="228">
        <f>Current_Stock[[#This Row],[Vobanipur opening units]]+Current_Stock[[#This Row],[Ulukhola opening units]]</f>
        <v>680</v>
      </c>
      <c r="I23" s="267">
        <f>VLOOKUP(Current_Stock[[#This Row],[SKU ID]],SKU[[SKU ID]:[Bottle Size(Ltr)]],6,0)*Current_Stock[[#This Row],[Total Opening Unit]]</f>
        <v>680</v>
      </c>
      <c r="J23" s="228">
        <f>VLOOKUP(Current_Stock[[#This Row],[SKU ID]],Stock_year[],((MONTH($B$1)-1)*$C$75)+2+5,0)</f>
        <v>0</v>
      </c>
      <c r="K23" s="228">
        <f>VLOOKUP(Current_Stock[[#This Row],[SKU ID]],Stock_year[],((MONTH($B$1)-1)*$C$75)+2+6,0)</f>
        <v>0</v>
      </c>
      <c r="L23" s="228">
        <f>VLOOKUP(Current_Stock[[#This Row],[SKU ID]],Stock_year[],((MONTH($B$1)-1)*$C$75)+2+7,0)</f>
        <v>0</v>
      </c>
      <c r="M23" s="228">
        <f>Current_Stock[[#This Row],[Vobanipur opening units]]+Current_Stock[[#This Row],[New Arrival Ulukhola]]+Current_Stock[[#This Row],[Ulukhola to vobanipur transfer]]</f>
        <v>240</v>
      </c>
      <c r="N23" s="228">
        <f>Current_Stock[[#This Row],[Ulukhola opening units]]+Current_Stock[[#This Row],[New Arrival Vobanipur]]-Current_Stock[[#This Row],[Ulukhola to vobanipur transfer]]</f>
        <v>440</v>
      </c>
      <c r="O23" s="228">
        <f>Current_Stock[[#This Row],[Vobaipur total]]+Current_Stock[[#This Row],[Ulukhola Current]]</f>
        <v>680</v>
      </c>
      <c r="P23" s="228">
        <f>SUMIFS(Primary_Order[Total Qty],Primary_Order[Date],"&gt;="&amp;DATE(YEAR($B$1),MONTH($B$1),1),Primary_Order[Date],"&lt;="&amp;$B$1,Primary_Order[Status],$A$1,Primary_Order[Product ID],A23,Primary_Order[Status],"&lt;&gt;DMG-Sold")</f>
        <v>240</v>
      </c>
      <c r="Q23" s="228">
        <f>Current_Stock[[#This Row],[Sold Qty(Unit)]]*Current_Stock[[#This Row],[Cost]]</f>
        <v>95572.800000000003</v>
      </c>
      <c r="R23" s="228">
        <f>Current_Stock[[#This Row],[Vobaipur total]]-Current_Stock[[#This Row],[Sold Qty(Unit)]]</f>
        <v>0</v>
      </c>
      <c r="S23" s="267">
        <f>Current_Stock[[#This Row],[Vobanipur Current units]]+Current_Stock[[#This Row],[Ulukhola Current]]</f>
        <v>440</v>
      </c>
      <c r="T23" s="267">
        <f>VLOOKUP(Current_Stock[[#This Row],[SKU ID]],SKU[[SKU ID]:[Bottle Size(Ltr)]],6,0)*Current_Stock[[#This Row],[Total Current (Unit)]]</f>
        <v>440</v>
      </c>
      <c r="U23" s="267">
        <f>Current_Stock[[#This Row],[Total Current (Unit)]]*Current_Stock[[#This Row],[Cost]]</f>
        <v>175216.80000000002</v>
      </c>
      <c r="V23" s="267">
        <f>FLOOR(Current_Stock[[#This Row],[Total Current (Unit)]]/VLOOKUP(Current_Stock[[#This Row],[SKU ID]],SKU[],5,0),1)</f>
        <v>22</v>
      </c>
      <c r="W23" s="267">
        <f>MOD(Current_Stock[[#This Row],[Total Current (Unit)]],VLOOKUP(Current_Stock[[#This Row],[SKU ID]],SKU[],5,0))</f>
        <v>0</v>
      </c>
      <c r="X23" s="228">
        <f ca="1">VLOOKUP(Current_Stock[[#This Row],[SKU ID]],Stock_year[],((MONTH($B$1)-1)*$C$75)+17,0)</f>
        <v>0</v>
      </c>
      <c r="Y23" s="228">
        <f>SUMIFS(Primary_Order[Total Qty],Primary_Order[Date],"&gt;="&amp;DATE(YEAR($B$1),MONTH($B$1),1),Primary_Order[Date],"&lt;="&amp;$B$1,Primary_Order[Status],"DMG-Sold",Primary_Order[Product ID],A23)</f>
        <v>0</v>
      </c>
      <c r="Z23" s="228">
        <f ca="1">Current_Stock[[#This Row],[Opening Damage Unit]]-Current_Stock[[#This Row],[Damage Sold unit]]</f>
        <v>0</v>
      </c>
      <c r="AA23" s="228">
        <f>Current_Stock[[#This Row],[DP Price]]*Current_Stock[[#This Row],[Total Current (Unit)]]</f>
        <v>290400</v>
      </c>
      <c r="AB23" s="228">
        <f ca="1">Current_Stock[[#This Row],[Total Current (Unit)]]+Current_Stock[[#This Row],[Remaining Damage Unit]]</f>
        <v>440</v>
      </c>
      <c r="AC23" s="228">
        <f ca="1">Current_Stock[[#This Row],[Total Unit with Damage]]*Current_Stock[[#This Row],[Cost]]</f>
        <v>175216.80000000002</v>
      </c>
      <c r="AD23" s="228">
        <f>SUMIFS(Primary_Order[Total Qty],Primary_Order[Date],"&gt;="&amp;DATE(2027,12,1),Primary_Order[Status],$A$1,Primary_Order[Product ID],A23)</f>
        <v>441</v>
      </c>
      <c r="AE23" s="228">
        <f>Current_Stock[[#This Row],[Total Current (Unit)]]-Current_Stock[[#This Row],[Blocked Stock(unit)]]</f>
        <v>-1</v>
      </c>
      <c r="AF23" s="228">
        <f>(Current_Stock[[#This Row],[Ageing till Sep''24 (D)]]+($B$1-45566))/30</f>
        <v>7.0333333333333332</v>
      </c>
      <c r="AG23" s="228">
        <v>0</v>
      </c>
      <c r="AH23" t="str">
        <f>VLOOKUP(Current_Stock[[#This Row],[SKU ID]],SKU[],12,0)</f>
        <v>15W40</v>
      </c>
      <c r="AI23" t="str">
        <f>VLOOKUP(Current_Stock[[#This Row],[SKU ID]],SKU[],10,0)</f>
        <v>Mineral</v>
      </c>
      <c r="AJ23" s="195">
        <f>VLOOKUP(Current_Stock[[#This Row],[SKU ID]],SKU[[SKU ID]:[Bottle Size(Ltr)]],6,0)*Current_Stock[[#This Row],[Vobanipur Current units]]</f>
        <v>0</v>
      </c>
      <c r="AK23" s="195">
        <f ca="1">VLOOKUP(Current_Stock[[#This Row],[SKU ID]],SKU[[SKU ID]:[Bottle Size(Ltr)]],6,0)*Current_Stock[[#This Row],[Remaining Damage Unit]]</f>
        <v>0</v>
      </c>
      <c r="AL23" s="195">
        <f>VLOOKUP(Current_Stock[[#This Row],[SKU ID]],SKU[[SKU ID]:[Bottle Size(Ltr)]],6,0)*Current_Stock[[#This Row],[Ulukhola Current]]</f>
        <v>440</v>
      </c>
    </row>
    <row r="24" spans="1:38" x14ac:dyDescent="0.5">
      <c r="A24" s="159" t="s">
        <v>54</v>
      </c>
      <c r="B24" s="159" t="s">
        <v>766</v>
      </c>
      <c r="C24" s="228" t="str">
        <f>VLOOKUP(Current_Stock[[#This Row],[SKU ID]],SKU[],9,0)</f>
        <v>MCO</v>
      </c>
      <c r="D24" s="228">
        <f>VLOOKUP(Current_Stock[[#This Row],[SKU ID]],SKU[],14,0)</f>
        <v>384.85</v>
      </c>
      <c r="E24" s="228">
        <f>VLOOKUP(Current_Stock[[#This Row],[SKU ID]],SKU[],15,0)</f>
        <v>550</v>
      </c>
      <c r="F24" s="228">
        <f>VLOOKUP(Current_Stock[[#This Row],[SKU ID]],Stock_year[],((MONTH($B$1)-1)*$C$75)+2+1,0)</f>
        <v>-15563</v>
      </c>
      <c r="G24" s="228">
        <f>VLOOKUP(Current_Stock[[#This Row],[SKU ID]],Stock_year[],((MONTH($B$1)-1)*$C$75)+2+2,0)</f>
        <v>27300</v>
      </c>
      <c r="H24" s="228">
        <f>Current_Stock[[#This Row],[Vobanipur opening units]]+Current_Stock[[#This Row],[Ulukhola opening units]]</f>
        <v>11737</v>
      </c>
      <c r="I24" s="267">
        <f>VLOOKUP(Current_Stock[[#This Row],[SKU ID]],SKU[[SKU ID]:[Bottle Size(Ltr)]],6,0)*Current_Stock[[#This Row],[Total Opening Unit]]</f>
        <v>11737</v>
      </c>
      <c r="J24" s="228">
        <f>VLOOKUP(Current_Stock[[#This Row],[SKU ID]],Stock_year[],((MONTH($B$1)-1)*$C$75)+2+5,0)</f>
        <v>24300</v>
      </c>
      <c r="K24" s="228">
        <f>VLOOKUP(Current_Stock[[#This Row],[SKU ID]],Stock_year[],((MONTH($B$1)-1)*$C$75)+2+6,0)</f>
        <v>0</v>
      </c>
      <c r="L24" s="228">
        <f>VLOOKUP(Current_Stock[[#This Row],[SKU ID]],Stock_year[],((MONTH($B$1)-1)*$C$75)+2+7,0)</f>
        <v>0</v>
      </c>
      <c r="M24" s="228">
        <f>Current_Stock[[#This Row],[Vobanipur opening units]]+Current_Stock[[#This Row],[New Arrival Ulukhola]]+Current_Stock[[#This Row],[Ulukhola to vobanipur transfer]]</f>
        <v>8737</v>
      </c>
      <c r="N24" s="228">
        <f>Current_Stock[[#This Row],[Ulukhola opening units]]+Current_Stock[[#This Row],[New Arrival Vobanipur]]-Current_Stock[[#This Row],[Ulukhola to vobanipur transfer]]</f>
        <v>3000</v>
      </c>
      <c r="O24" s="228">
        <f>Current_Stock[[#This Row],[Vobaipur total]]+Current_Stock[[#This Row],[Ulukhola Current]]</f>
        <v>11737</v>
      </c>
      <c r="P24" s="228">
        <f>SUMIFS(Primary_Order[Total Qty],Primary_Order[Date],"&gt;="&amp;DATE(YEAR($B$1),MONTH($B$1),1),Primary_Order[Date],"&lt;="&amp;$B$1,Primary_Order[Status],$A$1,Primary_Order[Product ID],A24,Primary_Order[Status],"&lt;&gt;DMG-Sold")</f>
        <v>11317</v>
      </c>
      <c r="Q24" s="228">
        <f>Current_Stock[[#This Row],[Sold Qty(Unit)]]*Current_Stock[[#This Row],[Cost]]</f>
        <v>4355347.45</v>
      </c>
      <c r="R24" s="228">
        <f>Current_Stock[[#This Row],[Vobaipur total]]-Current_Stock[[#This Row],[Sold Qty(Unit)]]</f>
        <v>-2580</v>
      </c>
      <c r="S24" s="267">
        <f>Current_Stock[[#This Row],[Vobanipur Current units]]+Current_Stock[[#This Row],[Ulukhola Current]]</f>
        <v>420</v>
      </c>
      <c r="T24" s="267">
        <f>VLOOKUP(Current_Stock[[#This Row],[SKU ID]],SKU[[SKU ID]:[Bottle Size(Ltr)]],6,0)*Current_Stock[[#This Row],[Total Current (Unit)]]</f>
        <v>420</v>
      </c>
      <c r="U24" s="267">
        <f>Current_Stock[[#This Row],[Total Current (Unit)]]*Current_Stock[[#This Row],[Cost]]</f>
        <v>161637</v>
      </c>
      <c r="V24" s="267">
        <f>FLOOR(Current_Stock[[#This Row],[Total Current (Unit)]]/VLOOKUP(Current_Stock[[#This Row],[SKU ID]],SKU[],5,0),1)</f>
        <v>21</v>
      </c>
      <c r="W24" s="267">
        <f>MOD(Current_Stock[[#This Row],[Total Current (Unit)]],VLOOKUP(Current_Stock[[#This Row],[SKU ID]],SKU[],5,0))</f>
        <v>0</v>
      </c>
      <c r="X24" s="228">
        <f ca="1">VLOOKUP(Current_Stock[[#This Row],[SKU ID]],Stock_year[],((MONTH($B$1)-1)*$C$75)+17,0)</f>
        <v>17842</v>
      </c>
      <c r="Y24" s="228">
        <f>SUMIFS(Primary_Order[Total Qty],Primary_Order[Date],"&gt;="&amp;DATE(YEAR($B$1),MONTH($B$1),1),Primary_Order[Date],"&lt;="&amp;$B$1,Primary_Order[Status],"DMG-Sold",Primary_Order[Product ID],A24)</f>
        <v>14183</v>
      </c>
      <c r="Z24" s="228">
        <f ca="1">Current_Stock[[#This Row],[Opening Damage Unit]]-Current_Stock[[#This Row],[Damage Sold unit]]</f>
        <v>3659</v>
      </c>
      <c r="AA24" s="228">
        <f>Current_Stock[[#This Row],[DP Price]]*Current_Stock[[#This Row],[Total Current (Unit)]]</f>
        <v>231000</v>
      </c>
      <c r="AB24" s="228">
        <f ca="1">Current_Stock[[#This Row],[Total Current (Unit)]]+Current_Stock[[#This Row],[Remaining Damage Unit]]</f>
        <v>4079</v>
      </c>
      <c r="AC24" s="228">
        <f ca="1">Current_Stock[[#This Row],[Total Unit with Damage]]*Current_Stock[[#This Row],[Cost]]</f>
        <v>1569803.1500000001</v>
      </c>
      <c r="AD24" s="228">
        <f>SUMIFS(Primary_Order[Total Qty],Primary_Order[Date],"&gt;="&amp;DATE(2027,12,1),Primary_Order[Status],$A$1,Primary_Order[Product ID],A24)</f>
        <v>27200</v>
      </c>
      <c r="AE24" s="228">
        <f>Current_Stock[[#This Row],[Total Current (Unit)]]-Current_Stock[[#This Row],[Blocked Stock(unit)]]</f>
        <v>-26780</v>
      </c>
      <c r="AF24" s="228">
        <f>(Current_Stock[[#This Row],[Ageing till Sep''24 (D)]]+($B$1-45566))/30</f>
        <v>8.0333333333333332</v>
      </c>
      <c r="AG24" s="228">
        <v>30</v>
      </c>
      <c r="AH24" t="str">
        <f>VLOOKUP(Current_Stock[[#This Row],[SKU ID]],SKU[],12,0)</f>
        <v>10W40</v>
      </c>
      <c r="AI24" t="str">
        <f>VLOOKUP(Current_Stock[[#This Row],[SKU ID]],SKU[],10,0)</f>
        <v>Mineral</v>
      </c>
      <c r="AJ24" s="195">
        <f>VLOOKUP(Current_Stock[[#This Row],[SKU ID]],SKU[[SKU ID]:[Bottle Size(Ltr)]],6,0)*Current_Stock[[#This Row],[Vobanipur Current units]]</f>
        <v>-2580</v>
      </c>
      <c r="AK24" s="195">
        <f ca="1">VLOOKUP(Current_Stock[[#This Row],[SKU ID]],SKU[[SKU ID]:[Bottle Size(Ltr)]],6,0)*Current_Stock[[#This Row],[Remaining Damage Unit]]</f>
        <v>3659</v>
      </c>
      <c r="AL24" s="195">
        <f>VLOOKUP(Current_Stock[[#This Row],[SKU ID]],SKU[[SKU ID]:[Bottle Size(Ltr)]],6,0)*Current_Stock[[#This Row],[Ulukhola Current]]</f>
        <v>3000</v>
      </c>
    </row>
    <row r="25" spans="1:38" x14ac:dyDescent="0.5">
      <c r="A25" s="159" t="s">
        <v>59</v>
      </c>
      <c r="B25" s="159" t="s">
        <v>783</v>
      </c>
      <c r="C25" s="228" t="str">
        <f>VLOOKUP(Current_Stock[[#This Row],[SKU ID]],SKU[],9,0)</f>
        <v>MCO</v>
      </c>
      <c r="D25" s="228">
        <f>VLOOKUP(Current_Stock[[#This Row],[SKU ID]],SKU[],14,0)</f>
        <v>333.33</v>
      </c>
      <c r="E25" s="228">
        <f>VLOOKUP(Current_Stock[[#This Row],[SKU ID]],SKU[],15,0)</f>
        <v>485</v>
      </c>
      <c r="F25" s="228">
        <f>VLOOKUP(Current_Stock[[#This Row],[SKU ID]],Stock_year[],((MONTH($B$1)-1)*$C$75)+2+1,0)</f>
        <v>773</v>
      </c>
      <c r="G25" s="228">
        <f>VLOOKUP(Current_Stock[[#This Row],[SKU ID]],Stock_year[],((MONTH($B$1)-1)*$C$75)+2+2,0)</f>
        <v>0</v>
      </c>
      <c r="H25" s="228">
        <f>Current_Stock[[#This Row],[Vobanipur opening units]]+Current_Stock[[#This Row],[Ulukhola opening units]]</f>
        <v>773</v>
      </c>
      <c r="I25" s="267">
        <f>VLOOKUP(Current_Stock[[#This Row],[SKU ID]],SKU[[SKU ID]:[Bottle Size(Ltr)]],6,0)*Current_Stock[[#This Row],[Total Opening Unit]]</f>
        <v>618.40000000000009</v>
      </c>
      <c r="J25" s="228">
        <f>VLOOKUP(Current_Stock[[#This Row],[SKU ID]],Stock_year[],((MONTH($B$1)-1)*$C$75)+2+5,0)</f>
        <v>0</v>
      </c>
      <c r="K25" s="228">
        <f>VLOOKUP(Current_Stock[[#This Row],[SKU ID]],Stock_year[],((MONTH($B$1)-1)*$C$75)+2+6,0)</f>
        <v>0</v>
      </c>
      <c r="L25" s="228">
        <f>VLOOKUP(Current_Stock[[#This Row],[SKU ID]],Stock_year[],((MONTH($B$1)-1)*$C$75)+2+7,0)</f>
        <v>0</v>
      </c>
      <c r="M25" s="228">
        <f>Current_Stock[[#This Row],[Vobanipur opening units]]+Current_Stock[[#This Row],[New Arrival Ulukhola]]+Current_Stock[[#This Row],[Ulukhola to vobanipur transfer]]</f>
        <v>773</v>
      </c>
      <c r="N25" s="228">
        <f>Current_Stock[[#This Row],[Ulukhola opening units]]+Current_Stock[[#This Row],[New Arrival Vobanipur]]-Current_Stock[[#This Row],[Ulukhola to vobanipur transfer]]</f>
        <v>0</v>
      </c>
      <c r="O25" s="228">
        <f>Current_Stock[[#This Row],[Vobaipur total]]+Current_Stock[[#This Row],[Ulukhola Current]]</f>
        <v>773</v>
      </c>
      <c r="P25" s="228">
        <f>SUMIFS(Primary_Order[Total Qty],Primary_Order[Date],"&gt;="&amp;DATE(YEAR($B$1),MONTH($B$1),1),Primary_Order[Date],"&lt;="&amp;$B$1,Primary_Order[Status],$A$1,Primary_Order[Product ID],A25,Primary_Order[Status],"&lt;&gt;DMG-Sold")</f>
        <v>300</v>
      </c>
      <c r="Q25" s="228">
        <f>Current_Stock[[#This Row],[Sold Qty(Unit)]]*Current_Stock[[#This Row],[Cost]]</f>
        <v>99999</v>
      </c>
      <c r="R25" s="228">
        <f>Current_Stock[[#This Row],[Vobaipur total]]-Current_Stock[[#This Row],[Sold Qty(Unit)]]</f>
        <v>473</v>
      </c>
      <c r="S25" s="267">
        <f>Current_Stock[[#This Row],[Vobanipur Current units]]+Current_Stock[[#This Row],[Ulukhola Current]]</f>
        <v>473</v>
      </c>
      <c r="T25" s="267">
        <f>VLOOKUP(Current_Stock[[#This Row],[SKU ID]],SKU[[SKU ID]:[Bottle Size(Ltr)]],6,0)*Current_Stock[[#This Row],[Total Current (Unit)]]</f>
        <v>378.40000000000003</v>
      </c>
      <c r="U25" s="267">
        <f>Current_Stock[[#This Row],[Total Current (Unit)]]*Current_Stock[[#This Row],[Cost]]</f>
        <v>157665.09</v>
      </c>
      <c r="V25" s="267">
        <f>FLOOR(Current_Stock[[#This Row],[Total Current (Unit)]]/VLOOKUP(Current_Stock[[#This Row],[SKU ID]],SKU[],5,0),1)</f>
        <v>23</v>
      </c>
      <c r="W25" s="267">
        <f>MOD(Current_Stock[[#This Row],[Total Current (Unit)]],VLOOKUP(Current_Stock[[#This Row],[SKU ID]],SKU[],5,0))</f>
        <v>13</v>
      </c>
      <c r="X25" s="228">
        <f ca="1">VLOOKUP(Current_Stock[[#This Row],[SKU ID]],Stock_year[],((MONTH($B$1)-1)*$C$75)+17,0)</f>
        <v>25</v>
      </c>
      <c r="Y25" s="228">
        <f>SUMIFS(Primary_Order[Total Qty],Primary_Order[Date],"&gt;="&amp;DATE(YEAR($B$1),MONTH($B$1),1),Primary_Order[Date],"&lt;="&amp;$B$1,Primary_Order[Status],"DMG-Sold",Primary_Order[Product ID],A25)</f>
        <v>0</v>
      </c>
      <c r="Z25" s="228">
        <f ca="1">Current_Stock[[#This Row],[Opening Damage Unit]]-Current_Stock[[#This Row],[Damage Sold unit]]</f>
        <v>25</v>
      </c>
      <c r="AA25" s="228">
        <f>Current_Stock[[#This Row],[DP Price]]*Current_Stock[[#This Row],[Total Current (Unit)]]</f>
        <v>229405</v>
      </c>
      <c r="AB25" s="228">
        <f ca="1">Current_Stock[[#This Row],[Total Current (Unit)]]+Current_Stock[[#This Row],[Remaining Damage Unit]]</f>
        <v>498</v>
      </c>
      <c r="AC25" s="228">
        <f ca="1">Current_Stock[[#This Row],[Total Unit with Damage]]*Current_Stock[[#This Row],[Cost]]</f>
        <v>165998.34</v>
      </c>
      <c r="AD25" s="228">
        <f>SUMIFS(Primary_Order[Total Qty],Primary_Order[Date],"&gt;="&amp;DATE(2027,12,1),Primary_Order[Status],$A$1,Primary_Order[Product ID],A25)</f>
        <v>0</v>
      </c>
      <c r="AE25" s="228">
        <f>Current_Stock[[#This Row],[Total Current (Unit)]]-Current_Stock[[#This Row],[Blocked Stock(unit)]]</f>
        <v>473</v>
      </c>
      <c r="AF25" s="228">
        <f>(Current_Stock[[#This Row],[Ageing till Sep''24 (D)]]+($B$1-45566))/30</f>
        <v>7.9483859488587258</v>
      </c>
      <c r="AG25" s="228">
        <v>27.451578465761781</v>
      </c>
      <c r="AH25" t="str">
        <f>VLOOKUP(Current_Stock[[#This Row],[SKU ID]],SKU[],12,0)</f>
        <v>10W30</v>
      </c>
      <c r="AI25" t="str">
        <f>VLOOKUP(Current_Stock[[#This Row],[SKU ID]],SKU[],10,0)</f>
        <v>Mineral</v>
      </c>
      <c r="AJ25" s="195">
        <f>VLOOKUP(Current_Stock[[#This Row],[SKU ID]],SKU[[SKU ID]:[Bottle Size(Ltr)]],6,0)*Current_Stock[[#This Row],[Vobanipur Current units]]</f>
        <v>378.40000000000003</v>
      </c>
      <c r="AK25" s="195">
        <f ca="1">VLOOKUP(Current_Stock[[#This Row],[SKU ID]],SKU[[SKU ID]:[Bottle Size(Ltr)]],6,0)*Current_Stock[[#This Row],[Remaining Damage Unit]]</f>
        <v>20</v>
      </c>
      <c r="AL25" s="195">
        <f>VLOOKUP(Current_Stock[[#This Row],[SKU ID]],SKU[[SKU ID]:[Bottle Size(Ltr)]],6,0)*Current_Stock[[#This Row],[Ulukhola Current]]</f>
        <v>0</v>
      </c>
    </row>
    <row r="26" spans="1:38" x14ac:dyDescent="0.5">
      <c r="A26" s="159" t="s">
        <v>161</v>
      </c>
      <c r="B26" s="159" t="s">
        <v>812</v>
      </c>
      <c r="C26" s="228" t="str">
        <f>VLOOKUP(Current_Stock[[#This Row],[SKU ID]],SKU[],9,0)</f>
        <v>PCMO</v>
      </c>
      <c r="D26" s="228">
        <f>VLOOKUP(Current_Stock[[#This Row],[SKU ID]],SKU[],14,0)</f>
        <v>400.1</v>
      </c>
      <c r="E26" s="228">
        <f>VLOOKUP(Current_Stock[[#This Row],[SKU ID]],SKU[],15,0)</f>
        <v>585</v>
      </c>
      <c r="F26" s="228">
        <f>VLOOKUP(Current_Stock[[#This Row],[SKU ID]],Stock_year[],((MONTH($B$1)-1)*$C$75)+2+1,0)</f>
        <v>925</v>
      </c>
      <c r="G26" s="228">
        <f>VLOOKUP(Current_Stock[[#This Row],[SKU ID]],Stock_year[],((MONTH($B$1)-1)*$C$75)+2+2,0)</f>
        <v>0</v>
      </c>
      <c r="H26" s="228">
        <f>Current_Stock[[#This Row],[Vobanipur opening units]]+Current_Stock[[#This Row],[Ulukhola opening units]]</f>
        <v>925</v>
      </c>
      <c r="I26" s="267">
        <f>VLOOKUP(Current_Stock[[#This Row],[SKU ID]],SKU[[SKU ID]:[Bottle Size(Ltr)]],6,0)*Current_Stock[[#This Row],[Total Opening Unit]]</f>
        <v>925</v>
      </c>
      <c r="J26" s="228">
        <f>VLOOKUP(Current_Stock[[#This Row],[SKU ID]],Stock_year[],((MONTH($B$1)-1)*$C$75)+2+5,0)</f>
        <v>0</v>
      </c>
      <c r="K26" s="228">
        <f>VLOOKUP(Current_Stock[[#This Row],[SKU ID]],Stock_year[],((MONTH($B$1)-1)*$C$75)+2+6,0)</f>
        <v>0</v>
      </c>
      <c r="L26" s="228">
        <f>VLOOKUP(Current_Stock[[#This Row],[SKU ID]],Stock_year[],((MONTH($B$1)-1)*$C$75)+2+7,0)</f>
        <v>0</v>
      </c>
      <c r="M26" s="228">
        <f>Current_Stock[[#This Row],[Vobanipur opening units]]+Current_Stock[[#This Row],[New Arrival Ulukhola]]+Current_Stock[[#This Row],[Ulukhola to vobanipur transfer]]</f>
        <v>925</v>
      </c>
      <c r="N26" s="228">
        <f>Current_Stock[[#This Row],[Ulukhola opening units]]+Current_Stock[[#This Row],[New Arrival Vobanipur]]-Current_Stock[[#This Row],[Ulukhola to vobanipur transfer]]</f>
        <v>0</v>
      </c>
      <c r="O26" s="228">
        <f>Current_Stock[[#This Row],[Vobaipur total]]+Current_Stock[[#This Row],[Ulukhola Current]]</f>
        <v>925</v>
      </c>
      <c r="P26" s="228">
        <f>SUMIFS(Primary_Order[Total Qty],Primary_Order[Date],"&gt;="&amp;DATE(YEAR($B$1),MONTH($B$1),1),Primary_Order[Date],"&lt;="&amp;$B$1,Primary_Order[Status],$A$1,Primary_Order[Product ID],A26,Primary_Order[Status],"&lt;&gt;DMG-Sold")</f>
        <v>760</v>
      </c>
      <c r="Q26" s="228">
        <f>Current_Stock[[#This Row],[Sold Qty(Unit)]]*Current_Stock[[#This Row],[Cost]]</f>
        <v>304076</v>
      </c>
      <c r="R26" s="228">
        <f>Current_Stock[[#This Row],[Vobaipur total]]-Current_Stock[[#This Row],[Sold Qty(Unit)]]</f>
        <v>165</v>
      </c>
      <c r="S26" s="267">
        <f>Current_Stock[[#This Row],[Vobanipur Current units]]+Current_Stock[[#This Row],[Ulukhola Current]]</f>
        <v>165</v>
      </c>
      <c r="T26" s="267">
        <f>VLOOKUP(Current_Stock[[#This Row],[SKU ID]],SKU[[SKU ID]:[Bottle Size(Ltr)]],6,0)*Current_Stock[[#This Row],[Total Current (Unit)]]</f>
        <v>165</v>
      </c>
      <c r="U26" s="267">
        <f>Current_Stock[[#This Row],[Total Current (Unit)]]*Current_Stock[[#This Row],[Cost]]</f>
        <v>66016.5</v>
      </c>
      <c r="V26" s="267">
        <f>FLOOR(Current_Stock[[#This Row],[Total Current (Unit)]]/VLOOKUP(Current_Stock[[#This Row],[SKU ID]],SKU[],5,0),1)</f>
        <v>8</v>
      </c>
      <c r="W26" s="267">
        <f>MOD(Current_Stock[[#This Row],[Total Current (Unit)]],VLOOKUP(Current_Stock[[#This Row],[SKU ID]],SKU[],5,0))</f>
        <v>5</v>
      </c>
      <c r="X26" s="228">
        <f ca="1">VLOOKUP(Current_Stock[[#This Row],[SKU ID]],Stock_year[],((MONTH($B$1)-1)*$C$75)+17,0)</f>
        <v>2</v>
      </c>
      <c r="Y26" s="228">
        <f>SUMIFS(Primary_Order[Total Qty],Primary_Order[Date],"&gt;="&amp;DATE(YEAR($B$1),MONTH($B$1),1),Primary_Order[Date],"&lt;="&amp;$B$1,Primary_Order[Status],"DMG-Sold",Primary_Order[Product ID],A26)</f>
        <v>0</v>
      </c>
      <c r="Z26" s="228">
        <f ca="1">Current_Stock[[#This Row],[Opening Damage Unit]]-Current_Stock[[#This Row],[Damage Sold unit]]</f>
        <v>2</v>
      </c>
      <c r="AA26" s="228">
        <f>Current_Stock[[#This Row],[DP Price]]*Current_Stock[[#This Row],[Total Current (Unit)]]</f>
        <v>96525</v>
      </c>
      <c r="AB26" s="228">
        <f ca="1">Current_Stock[[#This Row],[Total Current (Unit)]]+Current_Stock[[#This Row],[Remaining Damage Unit]]</f>
        <v>167</v>
      </c>
      <c r="AC26" s="228">
        <f ca="1">Current_Stock[[#This Row],[Total Unit with Damage]]*Current_Stock[[#This Row],[Cost]]</f>
        <v>66816.7</v>
      </c>
      <c r="AD26" s="228">
        <f>SUMIFS(Primary_Order[Total Qty],Primary_Order[Date],"&gt;="&amp;DATE(2027,12,1),Primary_Order[Status],$A$1,Primary_Order[Product ID],A26)</f>
        <v>0</v>
      </c>
      <c r="AE26" s="228">
        <f>Current_Stock[[#This Row],[Total Current (Unit)]]-Current_Stock[[#This Row],[Blocked Stock(unit)]]</f>
        <v>165</v>
      </c>
      <c r="AF26" s="228">
        <f>(Current_Stock[[#This Row],[Ageing till Sep''24 (D)]]+($B$1-45566))/30</f>
        <v>18.033333333333335</v>
      </c>
      <c r="AG26" s="228">
        <v>330</v>
      </c>
      <c r="AH26" t="str">
        <f>VLOOKUP(Current_Stock[[#This Row],[SKU ID]],SKU[],12,0)</f>
        <v>20W50</v>
      </c>
      <c r="AI26" t="str">
        <f>VLOOKUP(Current_Stock[[#This Row],[SKU ID]],SKU[],10,0)</f>
        <v>Mineral</v>
      </c>
      <c r="AJ26" s="195">
        <f>VLOOKUP(Current_Stock[[#This Row],[SKU ID]],SKU[[SKU ID]:[Bottle Size(Ltr)]],6,0)*Current_Stock[[#This Row],[Vobanipur Current units]]</f>
        <v>165</v>
      </c>
      <c r="AK26" s="195">
        <f ca="1">VLOOKUP(Current_Stock[[#This Row],[SKU ID]],SKU[[SKU ID]:[Bottle Size(Ltr)]],6,0)*Current_Stock[[#This Row],[Remaining Damage Unit]]</f>
        <v>2</v>
      </c>
      <c r="AL26" s="195">
        <f>VLOOKUP(Current_Stock[[#This Row],[SKU ID]],SKU[[SKU ID]:[Bottle Size(Ltr)]],6,0)*Current_Stock[[#This Row],[Ulukhola Current]]</f>
        <v>0</v>
      </c>
    </row>
    <row r="27" spans="1:38" x14ac:dyDescent="0.5">
      <c r="A27" s="159" t="s">
        <v>152</v>
      </c>
      <c r="B27" s="159" t="s">
        <v>782</v>
      </c>
      <c r="C27" s="228" t="str">
        <f>VLOOKUP(Current_Stock[[#This Row],[SKU ID]],SKU[],9,0)</f>
        <v>Care Products</v>
      </c>
      <c r="D27" s="228">
        <f>VLOOKUP(Current_Stock[[#This Row],[SKU ID]],SKU[],14,0)</f>
        <v>230.64</v>
      </c>
      <c r="E27" s="228">
        <f>VLOOKUP(Current_Stock[[#This Row],[SKU ID]],SKU[],15,0)</f>
        <v>425</v>
      </c>
      <c r="F27" s="228">
        <f>VLOOKUP(Current_Stock[[#This Row],[SKU ID]],Stock_year[],((MONTH($B$1)-1)*$C$75)+2+1,0)</f>
        <v>452</v>
      </c>
      <c r="G27" s="228">
        <f>VLOOKUP(Current_Stock[[#This Row],[SKU ID]],Stock_year[],((MONTH($B$1)-1)*$C$75)+2+2,0)</f>
        <v>0</v>
      </c>
      <c r="H27" s="228">
        <f>Current_Stock[[#This Row],[Vobanipur opening units]]+Current_Stock[[#This Row],[Ulukhola opening units]]</f>
        <v>452</v>
      </c>
      <c r="I27" s="267">
        <f>VLOOKUP(Current_Stock[[#This Row],[SKU ID]],SKU[[SKU ID]:[Bottle Size(Ltr)]],6,0)*Current_Stock[[#This Row],[Total Opening Unit]]</f>
        <v>452</v>
      </c>
      <c r="J27" s="228">
        <f>VLOOKUP(Current_Stock[[#This Row],[SKU ID]],Stock_year[],((MONTH($B$1)-1)*$C$75)+2+5,0)</f>
        <v>0</v>
      </c>
      <c r="K27" s="228">
        <f>VLOOKUP(Current_Stock[[#This Row],[SKU ID]],Stock_year[],((MONTH($B$1)-1)*$C$75)+2+6,0)</f>
        <v>0</v>
      </c>
      <c r="L27" s="228">
        <f>VLOOKUP(Current_Stock[[#This Row],[SKU ID]],Stock_year[],((MONTH($B$1)-1)*$C$75)+2+7,0)</f>
        <v>0</v>
      </c>
      <c r="M27" s="228">
        <f>Current_Stock[[#This Row],[Vobanipur opening units]]+Current_Stock[[#This Row],[New Arrival Ulukhola]]+Current_Stock[[#This Row],[Ulukhola to vobanipur transfer]]</f>
        <v>452</v>
      </c>
      <c r="N27" s="228">
        <f>Current_Stock[[#This Row],[Ulukhola opening units]]+Current_Stock[[#This Row],[New Arrival Vobanipur]]-Current_Stock[[#This Row],[Ulukhola to vobanipur transfer]]</f>
        <v>0</v>
      </c>
      <c r="O27" s="228">
        <f>Current_Stock[[#This Row],[Vobaipur total]]+Current_Stock[[#This Row],[Ulukhola Current]]</f>
        <v>452</v>
      </c>
      <c r="P27" s="228">
        <f>SUMIFS(Primary_Order[Total Qty],Primary_Order[Date],"&gt;="&amp;DATE(YEAR($B$1),MONTH($B$1),1),Primary_Order[Date],"&lt;="&amp;$B$1,Primary_Order[Status],$A$1,Primary_Order[Product ID],A27,Primary_Order[Status],"&lt;&gt;DMG-Sold")</f>
        <v>301</v>
      </c>
      <c r="Q27" s="228">
        <f>Current_Stock[[#This Row],[Sold Qty(Unit)]]*Current_Stock[[#This Row],[Cost]]</f>
        <v>69422.64</v>
      </c>
      <c r="R27" s="228">
        <f>Current_Stock[[#This Row],[Vobaipur total]]-Current_Stock[[#This Row],[Sold Qty(Unit)]]</f>
        <v>151</v>
      </c>
      <c r="S27" s="267">
        <f>Current_Stock[[#This Row],[Vobanipur Current units]]+Current_Stock[[#This Row],[Ulukhola Current]]</f>
        <v>151</v>
      </c>
      <c r="T27" s="267">
        <f>VLOOKUP(Current_Stock[[#This Row],[SKU ID]],SKU[[SKU ID]:[Bottle Size(Ltr)]],6,0)*Current_Stock[[#This Row],[Total Current (Unit)]]</f>
        <v>151</v>
      </c>
      <c r="U27" s="267">
        <f>Current_Stock[[#This Row],[Total Current (Unit)]]*Current_Stock[[#This Row],[Cost]]</f>
        <v>34826.639999999999</v>
      </c>
      <c r="V27" s="267">
        <f>FLOOR(Current_Stock[[#This Row],[Total Current (Unit)]]/VLOOKUP(Current_Stock[[#This Row],[SKU ID]],SKU[],5,0),1)</f>
        <v>7</v>
      </c>
      <c r="W27" s="267">
        <f>MOD(Current_Stock[[#This Row],[Total Current (Unit)]],VLOOKUP(Current_Stock[[#This Row],[SKU ID]],SKU[],5,0))</f>
        <v>11</v>
      </c>
      <c r="X27" s="228">
        <f ca="1">VLOOKUP(Current_Stock[[#This Row],[SKU ID]],Stock_year[],((MONTH($B$1)-1)*$C$75)+17,0)</f>
        <v>407</v>
      </c>
      <c r="Y27" s="228">
        <f>SUMIFS(Primary_Order[Total Qty],Primary_Order[Date],"&gt;="&amp;DATE(YEAR($B$1),MONTH($B$1),1),Primary_Order[Date],"&lt;="&amp;$B$1,Primary_Order[Status],"DMG-Sold",Primary_Order[Product ID],A27)</f>
        <v>0</v>
      </c>
      <c r="Z27" s="228">
        <f ca="1">Current_Stock[[#This Row],[Opening Damage Unit]]-Current_Stock[[#This Row],[Damage Sold unit]]</f>
        <v>407</v>
      </c>
      <c r="AA27" s="228">
        <f>Current_Stock[[#This Row],[DP Price]]*Current_Stock[[#This Row],[Total Current (Unit)]]</f>
        <v>64175</v>
      </c>
      <c r="AB27" s="228">
        <f ca="1">Current_Stock[[#This Row],[Total Current (Unit)]]+Current_Stock[[#This Row],[Remaining Damage Unit]]</f>
        <v>558</v>
      </c>
      <c r="AC27" s="228">
        <f ca="1">Current_Stock[[#This Row],[Total Unit with Damage]]*Current_Stock[[#This Row],[Cost]]</f>
        <v>128697.12</v>
      </c>
      <c r="AD27" s="228">
        <f>SUMIFS(Primary_Order[Total Qty],Primary_Order[Date],"&gt;="&amp;DATE(2027,12,1),Primary_Order[Status],$A$1,Primary_Order[Product ID],A27)</f>
        <v>0</v>
      </c>
      <c r="AE27" s="228">
        <f>Current_Stock[[#This Row],[Total Current (Unit)]]-Current_Stock[[#This Row],[Blocked Stock(unit)]]</f>
        <v>151</v>
      </c>
      <c r="AF27" s="228">
        <f>(Current_Stock[[#This Row],[Ageing till Sep''24 (D)]]+($B$1-45566))/30</f>
        <v>10.439198990854619</v>
      </c>
      <c r="AG27" s="228">
        <v>102.17596972563859</v>
      </c>
      <c r="AH27" t="str">
        <f>VLOOKUP(Current_Stock[[#This Row],[SKU ID]],SKU[],12,0)</f>
        <v>Care Products</v>
      </c>
      <c r="AI27" t="str">
        <f>VLOOKUP(Current_Stock[[#This Row],[SKU ID]],SKU[],10,0)</f>
        <v>Care Products</v>
      </c>
      <c r="AJ27" s="195">
        <f>VLOOKUP(Current_Stock[[#This Row],[SKU ID]],SKU[[SKU ID]:[Bottle Size(Ltr)]],6,0)*Current_Stock[[#This Row],[Vobanipur Current units]]</f>
        <v>151</v>
      </c>
      <c r="AK27" s="195">
        <f ca="1">VLOOKUP(Current_Stock[[#This Row],[SKU ID]],SKU[[SKU ID]:[Bottle Size(Ltr)]],6,0)*Current_Stock[[#This Row],[Remaining Damage Unit]]</f>
        <v>407</v>
      </c>
      <c r="AL27" s="195">
        <f>VLOOKUP(Current_Stock[[#This Row],[SKU ID]],SKU[[SKU ID]:[Bottle Size(Ltr)]],6,0)*Current_Stock[[#This Row],[Ulukhola Current]]</f>
        <v>0</v>
      </c>
    </row>
    <row r="28" spans="1:38" x14ac:dyDescent="0.5">
      <c r="A28" s="159" t="s">
        <v>164</v>
      </c>
      <c r="B28" s="159" t="s">
        <v>801</v>
      </c>
      <c r="C28" s="228" t="str">
        <f>VLOOKUP(Current_Stock[[#This Row],[SKU ID]],SKU[],9,0)</f>
        <v>MCO</v>
      </c>
      <c r="D28" s="228">
        <f>VLOOKUP(Current_Stock[[#This Row],[SKU ID]],SKU[],14,0)</f>
        <v>447.79</v>
      </c>
      <c r="E28" s="228">
        <f>VLOOKUP(Current_Stock[[#This Row],[SKU ID]],SKU[],15,0)</f>
        <v>0</v>
      </c>
      <c r="F28" s="228">
        <f>VLOOKUP(Current_Stock[[#This Row],[SKU ID]],Stock_year[],((MONTH($B$1)-1)*$C$75)+2+1,0)</f>
        <v>118</v>
      </c>
      <c r="G28" s="228">
        <f>VLOOKUP(Current_Stock[[#This Row],[SKU ID]],Stock_year[],((MONTH($B$1)-1)*$C$75)+2+2,0)</f>
        <v>0</v>
      </c>
      <c r="H28" s="228">
        <f>Current_Stock[[#This Row],[Vobanipur opening units]]+Current_Stock[[#This Row],[Ulukhola opening units]]</f>
        <v>118</v>
      </c>
      <c r="I28" s="267">
        <f>VLOOKUP(Current_Stock[[#This Row],[SKU ID]],SKU[[SKU ID]:[Bottle Size(Ltr)]],6,0)*Current_Stock[[#This Row],[Total Opening Unit]]</f>
        <v>118</v>
      </c>
      <c r="J28" s="228">
        <f>VLOOKUP(Current_Stock[[#This Row],[SKU ID]],Stock_year[],((MONTH($B$1)-1)*$C$75)+2+5,0)</f>
        <v>0</v>
      </c>
      <c r="K28" s="228">
        <f>VLOOKUP(Current_Stock[[#This Row],[SKU ID]],Stock_year[],((MONTH($B$1)-1)*$C$75)+2+6,0)</f>
        <v>0</v>
      </c>
      <c r="L28" s="228">
        <f>VLOOKUP(Current_Stock[[#This Row],[SKU ID]],Stock_year[],((MONTH($B$1)-1)*$C$75)+2+7,0)</f>
        <v>0</v>
      </c>
      <c r="M28" s="228">
        <f>Current_Stock[[#This Row],[Vobanipur opening units]]+Current_Stock[[#This Row],[New Arrival Ulukhola]]+Current_Stock[[#This Row],[Ulukhola to vobanipur transfer]]</f>
        <v>118</v>
      </c>
      <c r="N28" s="228">
        <f>Current_Stock[[#This Row],[Ulukhola opening units]]+Current_Stock[[#This Row],[New Arrival Vobanipur]]-Current_Stock[[#This Row],[Ulukhola to vobanipur transfer]]</f>
        <v>0</v>
      </c>
      <c r="O28" s="228">
        <f>Current_Stock[[#This Row],[Vobaipur total]]+Current_Stock[[#This Row],[Ulukhola Current]]</f>
        <v>118</v>
      </c>
      <c r="P28" s="228">
        <f>SUMIFS(Primary_Order[Total Qty],Primary_Order[Date],"&gt;="&amp;DATE(YEAR($B$1),MONTH($B$1),1),Primary_Order[Date],"&lt;="&amp;$B$1,Primary_Order[Status],$A$1,Primary_Order[Product ID],A28,Primary_Order[Status],"&lt;&gt;DMG-Sold")</f>
        <v>0</v>
      </c>
      <c r="Q28" s="228">
        <f>Current_Stock[[#This Row],[Sold Qty(Unit)]]*Current_Stock[[#This Row],[Cost]]</f>
        <v>0</v>
      </c>
      <c r="R28" s="228">
        <f>Current_Stock[[#This Row],[Vobaipur total]]-Current_Stock[[#This Row],[Sold Qty(Unit)]]</f>
        <v>118</v>
      </c>
      <c r="S28" s="267">
        <f>Current_Stock[[#This Row],[Vobanipur Current units]]+Current_Stock[[#This Row],[Ulukhola Current]]</f>
        <v>118</v>
      </c>
      <c r="T28" s="267">
        <f>VLOOKUP(Current_Stock[[#This Row],[SKU ID]],SKU[[SKU ID]:[Bottle Size(Ltr)]],6,0)*Current_Stock[[#This Row],[Total Current (Unit)]]</f>
        <v>118</v>
      </c>
      <c r="U28" s="267">
        <f>Current_Stock[[#This Row],[Total Current (Unit)]]*Current_Stock[[#This Row],[Cost]]</f>
        <v>52839.22</v>
      </c>
      <c r="V28" s="267">
        <f>FLOOR(Current_Stock[[#This Row],[Total Current (Unit)]]/VLOOKUP(Current_Stock[[#This Row],[SKU ID]],SKU[],5,0),1)</f>
        <v>5</v>
      </c>
      <c r="W28" s="267">
        <f>MOD(Current_Stock[[#This Row],[Total Current (Unit)]],VLOOKUP(Current_Stock[[#This Row],[SKU ID]],SKU[],5,0))</f>
        <v>18</v>
      </c>
      <c r="X28" s="228">
        <f ca="1">VLOOKUP(Current_Stock[[#This Row],[SKU ID]],Stock_year[],((MONTH($B$1)-1)*$C$75)+17,0)</f>
        <v>60</v>
      </c>
      <c r="Y28" s="228">
        <f>SUMIFS(Primary_Order[Total Qty],Primary_Order[Date],"&gt;="&amp;DATE(YEAR($B$1),MONTH($B$1),1),Primary_Order[Date],"&lt;="&amp;$B$1,Primary_Order[Status],"DMG-Sold",Primary_Order[Product ID],A28)</f>
        <v>0</v>
      </c>
      <c r="Z28" s="228">
        <f ca="1">Current_Stock[[#This Row],[Opening Damage Unit]]-Current_Stock[[#This Row],[Damage Sold unit]]</f>
        <v>60</v>
      </c>
      <c r="AA28" s="228">
        <f>Current_Stock[[#This Row],[DP Price]]*Current_Stock[[#This Row],[Total Current (Unit)]]</f>
        <v>0</v>
      </c>
      <c r="AB28" s="228">
        <f ca="1">Current_Stock[[#This Row],[Total Current (Unit)]]+Current_Stock[[#This Row],[Remaining Damage Unit]]</f>
        <v>178</v>
      </c>
      <c r="AC28" s="228">
        <f ca="1">Current_Stock[[#This Row],[Total Unit with Damage]]*Current_Stock[[#This Row],[Cost]]</f>
        <v>79706.62000000001</v>
      </c>
      <c r="AD28" s="228">
        <f>SUMIFS(Primary_Order[Total Qty],Primary_Order[Date],"&gt;="&amp;DATE(2027,12,1),Primary_Order[Status],$A$1,Primary_Order[Product ID],A28)</f>
        <v>0</v>
      </c>
      <c r="AE28" s="228">
        <f>Current_Stock[[#This Row],[Total Current (Unit)]]-Current_Stock[[#This Row],[Blocked Stock(unit)]]</f>
        <v>118</v>
      </c>
      <c r="AF28" s="228">
        <f>(Current_Stock[[#This Row],[Ageing till Sep''24 (D)]]+($B$1-45566))/30</f>
        <v>26.033333333333335</v>
      </c>
      <c r="AG28" s="228">
        <v>570</v>
      </c>
      <c r="AH28" t="str">
        <f>VLOOKUP(Current_Stock[[#This Row],[SKU ID]],SKU[],12,0)</f>
        <v>5W30</v>
      </c>
      <c r="AI28" t="str">
        <f>VLOOKUP(Current_Stock[[#This Row],[SKU ID]],SKU[],10,0)</f>
        <v>Technosynthese</v>
      </c>
      <c r="AJ28" s="195">
        <f>VLOOKUP(Current_Stock[[#This Row],[SKU ID]],SKU[[SKU ID]:[Bottle Size(Ltr)]],6,0)*Current_Stock[[#This Row],[Vobanipur Current units]]</f>
        <v>118</v>
      </c>
      <c r="AK28" s="195">
        <f ca="1">VLOOKUP(Current_Stock[[#This Row],[SKU ID]],SKU[[SKU ID]:[Bottle Size(Ltr)]],6,0)*Current_Stock[[#This Row],[Remaining Damage Unit]]</f>
        <v>60</v>
      </c>
      <c r="AL28" s="195">
        <f>VLOOKUP(Current_Stock[[#This Row],[SKU ID]],SKU[[SKU ID]:[Bottle Size(Ltr)]],6,0)*Current_Stock[[#This Row],[Ulukhola Current]]</f>
        <v>0</v>
      </c>
    </row>
    <row r="29" spans="1:38" x14ac:dyDescent="0.5">
      <c r="A29" s="159" t="s">
        <v>107</v>
      </c>
      <c r="B29" s="159" t="s">
        <v>820</v>
      </c>
      <c r="C29" s="228" t="str">
        <f>VLOOKUP(Current_Stock[[#This Row],[SKU ID]],SKU[],9,0)</f>
        <v>Care Products</v>
      </c>
      <c r="D29" s="228">
        <f>VLOOKUP(Current_Stock[[#This Row],[SKU ID]],SKU[],14,0)</f>
        <v>72.349999999999994</v>
      </c>
      <c r="E29" s="228">
        <f>VLOOKUP(Current_Stock[[#This Row],[SKU ID]],SKU[],15,0)</f>
        <v>127.5</v>
      </c>
      <c r="F29" s="228">
        <f>VLOOKUP(Current_Stock[[#This Row],[SKU ID]],Stock_year[],((MONTH($B$1)-1)*$C$75)+2+1,0)</f>
        <v>1079</v>
      </c>
      <c r="G29" s="228">
        <f>VLOOKUP(Current_Stock[[#This Row],[SKU ID]],Stock_year[],((MONTH($B$1)-1)*$C$75)+2+2,0)</f>
        <v>0</v>
      </c>
      <c r="H29" s="228">
        <f>Current_Stock[[#This Row],[Vobanipur opening units]]+Current_Stock[[#This Row],[Ulukhola opening units]]</f>
        <v>1079</v>
      </c>
      <c r="I29" s="267">
        <f>VLOOKUP(Current_Stock[[#This Row],[SKU ID]],SKU[[SKU ID]:[Bottle Size(Ltr)]],6,0)*Current_Stock[[#This Row],[Total Opening Unit]]</f>
        <v>107.9</v>
      </c>
      <c r="J29" s="228">
        <f>VLOOKUP(Current_Stock[[#This Row],[SKU ID]],Stock_year[],((MONTH($B$1)-1)*$C$75)+2+5,0)</f>
        <v>0</v>
      </c>
      <c r="K29" s="228">
        <f>VLOOKUP(Current_Stock[[#This Row],[SKU ID]],Stock_year[],((MONTH($B$1)-1)*$C$75)+2+6,0)</f>
        <v>0</v>
      </c>
      <c r="L29" s="228">
        <f>VLOOKUP(Current_Stock[[#This Row],[SKU ID]],Stock_year[],((MONTH($B$1)-1)*$C$75)+2+7,0)</f>
        <v>0</v>
      </c>
      <c r="M29" s="228">
        <f>Current_Stock[[#This Row],[Vobanipur opening units]]+Current_Stock[[#This Row],[New Arrival Ulukhola]]+Current_Stock[[#This Row],[Ulukhola to vobanipur transfer]]</f>
        <v>1079</v>
      </c>
      <c r="N29" s="228">
        <f>Current_Stock[[#This Row],[Ulukhola opening units]]+Current_Stock[[#This Row],[New Arrival Vobanipur]]-Current_Stock[[#This Row],[Ulukhola to vobanipur transfer]]</f>
        <v>0</v>
      </c>
      <c r="O29" s="228">
        <f>Current_Stock[[#This Row],[Vobaipur total]]+Current_Stock[[#This Row],[Ulukhola Current]]</f>
        <v>1079</v>
      </c>
      <c r="P29" s="228">
        <f>SUMIFS(Primary_Order[Total Qty],Primary_Order[Date],"&gt;="&amp;DATE(YEAR($B$1),MONTH($B$1),1),Primary_Order[Date],"&lt;="&amp;$B$1,Primary_Order[Status],$A$1,Primary_Order[Product ID],A29,Primary_Order[Status],"&lt;&gt;DMG-Sold")</f>
        <v>0</v>
      </c>
      <c r="Q29" s="228">
        <f>Current_Stock[[#This Row],[Sold Qty(Unit)]]*Current_Stock[[#This Row],[Cost]]</f>
        <v>0</v>
      </c>
      <c r="R29" s="228">
        <f>Current_Stock[[#This Row],[Vobaipur total]]-Current_Stock[[#This Row],[Sold Qty(Unit)]]</f>
        <v>1079</v>
      </c>
      <c r="S29" s="267">
        <f>Current_Stock[[#This Row],[Vobanipur Current units]]+Current_Stock[[#This Row],[Ulukhola Current]]</f>
        <v>1079</v>
      </c>
      <c r="T29" s="267">
        <f>VLOOKUP(Current_Stock[[#This Row],[SKU ID]],SKU[[SKU ID]:[Bottle Size(Ltr)]],6,0)*Current_Stock[[#This Row],[Total Current (Unit)]]</f>
        <v>107.9</v>
      </c>
      <c r="U29" s="267">
        <f>Current_Stock[[#This Row],[Total Current (Unit)]]*Current_Stock[[#This Row],[Cost]]</f>
        <v>78065.649999999994</v>
      </c>
      <c r="V29" s="267">
        <f>FLOOR(Current_Stock[[#This Row],[Total Current (Unit)]]/VLOOKUP(Current_Stock[[#This Row],[SKU ID]],SKU[],5,0),1)</f>
        <v>26</v>
      </c>
      <c r="W29" s="267">
        <f>MOD(Current_Stock[[#This Row],[Total Current (Unit)]],VLOOKUP(Current_Stock[[#This Row],[SKU ID]],SKU[],5,0))</f>
        <v>39</v>
      </c>
      <c r="X29" s="228">
        <f ca="1">VLOOKUP(Current_Stock[[#This Row],[SKU ID]],Stock_year[],((MONTH($B$1)-1)*$C$75)+17,0)</f>
        <v>1</v>
      </c>
      <c r="Y29" s="228">
        <f>SUMIFS(Primary_Order[Total Qty],Primary_Order[Date],"&gt;="&amp;DATE(YEAR($B$1),MONTH($B$1),1),Primary_Order[Date],"&lt;="&amp;$B$1,Primary_Order[Status],"DMG-Sold",Primary_Order[Product ID],A29)</f>
        <v>0</v>
      </c>
      <c r="Z29" s="228">
        <f ca="1">Current_Stock[[#This Row],[Opening Damage Unit]]-Current_Stock[[#This Row],[Damage Sold unit]]</f>
        <v>1</v>
      </c>
      <c r="AA29" s="228">
        <f>Current_Stock[[#This Row],[DP Price]]*Current_Stock[[#This Row],[Total Current (Unit)]]</f>
        <v>137572.5</v>
      </c>
      <c r="AB29" s="228">
        <f ca="1">Current_Stock[[#This Row],[Total Current (Unit)]]+Current_Stock[[#This Row],[Remaining Damage Unit]]</f>
        <v>1080</v>
      </c>
      <c r="AC29" s="228">
        <f ca="1">Current_Stock[[#This Row],[Total Unit with Damage]]*Current_Stock[[#This Row],[Cost]]</f>
        <v>78138</v>
      </c>
      <c r="AD29" s="228">
        <f>SUMIFS(Primary_Order[Total Qty],Primary_Order[Date],"&gt;="&amp;DATE(2027,12,1),Primary_Order[Status],$A$1,Primary_Order[Product ID],A29)</f>
        <v>1159</v>
      </c>
      <c r="AE29" s="228">
        <f>Current_Stock[[#This Row],[Total Current (Unit)]]-Current_Stock[[#This Row],[Blocked Stock(unit)]]</f>
        <v>-80</v>
      </c>
      <c r="AF29" s="228">
        <f>(Current_Stock[[#This Row],[Ageing till Sep''24 (D)]]+($B$1-45566))/30</f>
        <v>8.6003221032471497</v>
      </c>
      <c r="AG29" s="228">
        <v>47.009663097414467</v>
      </c>
      <c r="AH29" t="str">
        <f>VLOOKUP(Current_Stock[[#This Row],[SKU ID]],SKU[],12,0)</f>
        <v>Care Products</v>
      </c>
      <c r="AI29" t="str">
        <f>VLOOKUP(Current_Stock[[#This Row],[SKU ID]],SKU[],10,0)</f>
        <v>Care Products</v>
      </c>
      <c r="AJ29" s="195">
        <f>VLOOKUP(Current_Stock[[#This Row],[SKU ID]],SKU[[SKU ID]:[Bottle Size(Ltr)]],6,0)*Current_Stock[[#This Row],[Vobanipur Current units]]</f>
        <v>107.9</v>
      </c>
      <c r="AK29" s="195">
        <f ca="1">VLOOKUP(Current_Stock[[#This Row],[SKU ID]],SKU[[SKU ID]:[Bottle Size(Ltr)]],6,0)*Current_Stock[[#This Row],[Remaining Damage Unit]]</f>
        <v>0.1</v>
      </c>
      <c r="AL29" s="195">
        <f>VLOOKUP(Current_Stock[[#This Row],[SKU ID]],SKU[[SKU ID]:[Bottle Size(Ltr)]],6,0)*Current_Stock[[#This Row],[Ulukhola Current]]</f>
        <v>0</v>
      </c>
    </row>
    <row r="30" spans="1:38" x14ac:dyDescent="0.5">
      <c r="A30" s="159" t="s">
        <v>258</v>
      </c>
      <c r="B30" s="159" t="s">
        <v>809</v>
      </c>
      <c r="C30" s="228" t="str">
        <f>VLOOKUP(Current_Stock[[#This Row],[SKU ID]],SKU[],9,0)</f>
        <v>Care Products</v>
      </c>
      <c r="D30" s="228">
        <f>VLOOKUP(Current_Stock[[#This Row],[SKU ID]],SKU[],14,0)</f>
        <v>1222.3399999999999</v>
      </c>
      <c r="E30" s="228">
        <f>VLOOKUP(Current_Stock[[#This Row],[SKU ID]],SKU[],15,0)</f>
        <v>1530</v>
      </c>
      <c r="F30" s="228">
        <f>VLOOKUP(Current_Stock[[#This Row],[SKU ID]],Stock_year[],((MONTH($B$1)-1)*$C$75)+2+1,0)</f>
        <v>96</v>
      </c>
      <c r="G30" s="228">
        <f>VLOOKUP(Current_Stock[[#This Row],[SKU ID]],Stock_year[],((MONTH($B$1)-1)*$C$75)+2+2,0)</f>
        <v>0</v>
      </c>
      <c r="H30" s="228">
        <f>Current_Stock[[#This Row],[Vobanipur opening units]]+Current_Stock[[#This Row],[Ulukhola opening units]]</f>
        <v>96</v>
      </c>
      <c r="I30" s="267">
        <f>VLOOKUP(Current_Stock[[#This Row],[SKU ID]],SKU[[SKU ID]:[Bottle Size(Ltr)]],6,0)*Current_Stock[[#This Row],[Total Opening Unit]]</f>
        <v>96</v>
      </c>
      <c r="J30" s="228">
        <f>VLOOKUP(Current_Stock[[#This Row],[SKU ID]],Stock_year[],((MONTH($B$1)-1)*$C$75)+2+5,0)</f>
        <v>0</v>
      </c>
      <c r="K30" s="228">
        <f>VLOOKUP(Current_Stock[[#This Row],[SKU ID]],Stock_year[],((MONTH($B$1)-1)*$C$75)+2+6,0)</f>
        <v>0</v>
      </c>
      <c r="L30" s="228">
        <f>VLOOKUP(Current_Stock[[#This Row],[SKU ID]],Stock_year[],((MONTH($B$1)-1)*$C$75)+2+7,0)</f>
        <v>0</v>
      </c>
      <c r="M30" s="228">
        <f>Current_Stock[[#This Row],[Vobanipur opening units]]+Current_Stock[[#This Row],[New Arrival Ulukhola]]+Current_Stock[[#This Row],[Ulukhola to vobanipur transfer]]</f>
        <v>96</v>
      </c>
      <c r="N30" s="228">
        <f>Current_Stock[[#This Row],[Ulukhola opening units]]+Current_Stock[[#This Row],[New Arrival Vobanipur]]-Current_Stock[[#This Row],[Ulukhola to vobanipur transfer]]</f>
        <v>0</v>
      </c>
      <c r="O30" s="228">
        <f>Current_Stock[[#This Row],[Vobaipur total]]+Current_Stock[[#This Row],[Ulukhola Current]]</f>
        <v>96</v>
      </c>
      <c r="P30" s="228">
        <f>SUMIFS(Primary_Order[Total Qty],Primary_Order[Date],"&gt;="&amp;DATE(YEAR($B$1),MONTH($B$1),1),Primary_Order[Date],"&lt;="&amp;$B$1,Primary_Order[Status],$A$1,Primary_Order[Product ID],A30,Primary_Order[Status],"&lt;&gt;DMG-Sold")</f>
        <v>0</v>
      </c>
      <c r="Q30" s="228">
        <f>Current_Stock[[#This Row],[Sold Qty(Unit)]]*Current_Stock[[#This Row],[Cost]]</f>
        <v>0</v>
      </c>
      <c r="R30" s="228">
        <f>Current_Stock[[#This Row],[Vobaipur total]]-Current_Stock[[#This Row],[Sold Qty(Unit)]]</f>
        <v>96</v>
      </c>
      <c r="S30" s="267">
        <f>Current_Stock[[#This Row],[Vobanipur Current units]]+Current_Stock[[#This Row],[Ulukhola Current]]</f>
        <v>96</v>
      </c>
      <c r="T30" s="267">
        <f>VLOOKUP(Current_Stock[[#This Row],[SKU ID]],SKU[[SKU ID]:[Bottle Size(Ltr)]],6,0)*Current_Stock[[#This Row],[Total Current (Unit)]]</f>
        <v>96</v>
      </c>
      <c r="U30" s="267">
        <f>Current_Stock[[#This Row],[Total Current (Unit)]]*Current_Stock[[#This Row],[Cost]]</f>
        <v>117344.63999999998</v>
      </c>
      <c r="V30" s="267">
        <f>FLOOR(Current_Stock[[#This Row],[Total Current (Unit)]]/VLOOKUP(Current_Stock[[#This Row],[SKU ID]],SKU[],5,0),1)</f>
        <v>8</v>
      </c>
      <c r="W30" s="267">
        <f>MOD(Current_Stock[[#This Row],[Total Current (Unit)]],VLOOKUP(Current_Stock[[#This Row],[SKU ID]],SKU[],5,0))</f>
        <v>0</v>
      </c>
      <c r="X30" s="228">
        <f ca="1">VLOOKUP(Current_Stock[[#This Row],[SKU ID]],Stock_year[],((MONTH($B$1)-1)*$C$75)+17,0)</f>
        <v>0</v>
      </c>
      <c r="Y30" s="228">
        <f>SUMIFS(Primary_Order[Total Qty],Primary_Order[Date],"&gt;="&amp;DATE(YEAR($B$1),MONTH($B$1),1),Primary_Order[Date],"&lt;="&amp;$B$1,Primary_Order[Status],"DMG-Sold",Primary_Order[Product ID],A30)</f>
        <v>0</v>
      </c>
      <c r="Z30" s="228">
        <f ca="1">Current_Stock[[#This Row],[Opening Damage Unit]]-Current_Stock[[#This Row],[Damage Sold unit]]</f>
        <v>0</v>
      </c>
      <c r="AA30" s="228">
        <f>Current_Stock[[#This Row],[DP Price]]*Current_Stock[[#This Row],[Total Current (Unit)]]</f>
        <v>146880</v>
      </c>
      <c r="AB30" s="228">
        <f ca="1">Current_Stock[[#This Row],[Total Current (Unit)]]+Current_Stock[[#This Row],[Remaining Damage Unit]]</f>
        <v>96</v>
      </c>
      <c r="AC30" s="228">
        <f ca="1">Current_Stock[[#This Row],[Total Unit with Damage]]*Current_Stock[[#This Row],[Cost]]</f>
        <v>117344.63999999998</v>
      </c>
      <c r="AD30" s="228">
        <f>SUMIFS(Primary_Order[Total Qty],Primary_Order[Date],"&gt;="&amp;DATE(2027,12,1),Primary_Order[Status],$A$1,Primary_Order[Product ID],A30)</f>
        <v>0</v>
      </c>
      <c r="AE30" s="228">
        <f>Current_Stock[[#This Row],[Total Current (Unit)]]-Current_Stock[[#This Row],[Blocked Stock(unit)]]</f>
        <v>96</v>
      </c>
      <c r="AF30" s="228">
        <f>(Current_Stock[[#This Row],[Ageing till Sep''24 (D)]]+($B$1-45566))/30</f>
        <v>15.033333333333333</v>
      </c>
      <c r="AG30" s="228">
        <v>240</v>
      </c>
      <c r="AH30" t="str">
        <f>VLOOKUP(Current_Stock[[#This Row],[SKU ID]],SKU[],12,0)</f>
        <v>Care Products</v>
      </c>
      <c r="AI30" t="str">
        <f>VLOOKUP(Current_Stock[[#This Row],[SKU ID]],SKU[],10,0)</f>
        <v>Care Products</v>
      </c>
      <c r="AJ30" s="195">
        <f>VLOOKUP(Current_Stock[[#This Row],[SKU ID]],SKU[[SKU ID]:[Bottle Size(Ltr)]],6,0)*Current_Stock[[#This Row],[Vobanipur Current units]]</f>
        <v>96</v>
      </c>
      <c r="AK30" s="195">
        <f ca="1">VLOOKUP(Current_Stock[[#This Row],[SKU ID]],SKU[[SKU ID]:[Bottle Size(Ltr)]],6,0)*Current_Stock[[#This Row],[Remaining Damage Unit]]</f>
        <v>0</v>
      </c>
      <c r="AL30" s="195">
        <f>VLOOKUP(Current_Stock[[#This Row],[SKU ID]],SKU[[SKU ID]:[Bottle Size(Ltr)]],6,0)*Current_Stock[[#This Row],[Ulukhola Current]]</f>
        <v>0</v>
      </c>
    </row>
    <row r="31" spans="1:38" x14ac:dyDescent="0.5">
      <c r="A31" s="159" t="s">
        <v>58</v>
      </c>
      <c r="B31" s="159" t="s">
        <v>774</v>
      </c>
      <c r="C31" s="228" t="str">
        <f>VLOOKUP(Current_Stock[[#This Row],[SKU ID]],SKU[],9,0)</f>
        <v>MCO</v>
      </c>
      <c r="D31" s="228">
        <f>VLOOKUP(Current_Stock[[#This Row],[SKU ID]],SKU[],14,0)</f>
        <v>763.69839999999999</v>
      </c>
      <c r="E31" s="228">
        <f>VLOOKUP(Current_Stock[[#This Row],[SKU ID]],SKU[],15,0)</f>
        <v>1080</v>
      </c>
      <c r="F31" s="229">
        <f>VLOOKUP(Current_Stock[[#This Row],[SKU ID]],Stock_year[],((MONTH($B$1)-1)*$C$75)+2+1,0)</f>
        <v>660</v>
      </c>
      <c r="G31" s="228">
        <f>VLOOKUP(Current_Stock[[#This Row],[SKU ID]],Stock_year[],((MONTH($B$1)-1)*$C$75)+2+2,0)</f>
        <v>0</v>
      </c>
      <c r="H31" s="228">
        <f>Current_Stock[[#This Row],[Vobanipur opening units]]+Current_Stock[[#This Row],[Ulukhola opening units]]</f>
        <v>660</v>
      </c>
      <c r="I31" s="267">
        <f>VLOOKUP(Current_Stock[[#This Row],[SKU ID]],SKU[[SKU ID]:[Bottle Size(Ltr)]],6,0)*Current_Stock[[#This Row],[Total Opening Unit]]</f>
        <v>660</v>
      </c>
      <c r="J31" s="228">
        <f>VLOOKUP(Current_Stock[[#This Row],[SKU ID]],Stock_year[],((MONTH($B$1)-1)*$C$75)+2+5,0)</f>
        <v>0</v>
      </c>
      <c r="K31" s="228">
        <f>VLOOKUP(Current_Stock[[#This Row],[SKU ID]],Stock_year[],((MONTH($B$1)-1)*$C$75)+2+6,0)</f>
        <v>0</v>
      </c>
      <c r="L31" s="228">
        <f>VLOOKUP(Current_Stock[[#This Row],[SKU ID]],Stock_year[],((MONTH($B$1)-1)*$C$75)+2+7,0)</f>
        <v>0</v>
      </c>
      <c r="M31" s="228">
        <f>Current_Stock[[#This Row],[Vobanipur opening units]]+Current_Stock[[#This Row],[New Arrival Ulukhola]]+Current_Stock[[#This Row],[Ulukhola to vobanipur transfer]]</f>
        <v>660</v>
      </c>
      <c r="N31" s="228">
        <f>Current_Stock[[#This Row],[Ulukhola opening units]]+Current_Stock[[#This Row],[New Arrival Vobanipur]]-Current_Stock[[#This Row],[Ulukhola to vobanipur transfer]]</f>
        <v>0</v>
      </c>
      <c r="O31" s="228">
        <f>Current_Stock[[#This Row],[Vobaipur total]]+Current_Stock[[#This Row],[Ulukhola Current]]</f>
        <v>660</v>
      </c>
      <c r="P31" s="228">
        <f>SUMIFS(Primary_Order[Total Qty],Primary_Order[Date],"&gt;="&amp;DATE(YEAR($B$1),MONTH($B$1),1),Primary_Order[Date],"&lt;="&amp;$B$1,Primary_Order[Status],$A$1,Primary_Order[Product ID],A31,Primary_Order[Status],"&lt;&gt;DMG-Sold")</f>
        <v>565</v>
      </c>
      <c r="Q31" s="228">
        <f>Current_Stock[[#This Row],[Sold Qty(Unit)]]*Current_Stock[[#This Row],[Cost]]</f>
        <v>431489.59600000002</v>
      </c>
      <c r="R31" s="228">
        <f>Current_Stock[[#This Row],[Vobaipur total]]-Current_Stock[[#This Row],[Sold Qty(Unit)]]</f>
        <v>95</v>
      </c>
      <c r="S31" s="267">
        <f>Current_Stock[[#This Row],[Vobanipur Current units]]+Current_Stock[[#This Row],[Ulukhola Current]]</f>
        <v>95</v>
      </c>
      <c r="T31" s="267">
        <f>VLOOKUP(Current_Stock[[#This Row],[SKU ID]],SKU[[SKU ID]:[Bottle Size(Ltr)]],6,0)*Current_Stock[[#This Row],[Total Current (Unit)]]</f>
        <v>95</v>
      </c>
      <c r="U31" s="267">
        <f>Current_Stock[[#This Row],[Total Current (Unit)]]*Current_Stock[[#This Row],[Cost]]</f>
        <v>72551.347999999998</v>
      </c>
      <c r="V31" s="267">
        <f>FLOOR(Current_Stock[[#This Row],[Total Current (Unit)]]/VLOOKUP(Current_Stock[[#This Row],[SKU ID]],SKU[],5,0),1)</f>
        <v>7</v>
      </c>
      <c r="W31" s="267">
        <f>MOD(Current_Stock[[#This Row],[Total Current (Unit)]],VLOOKUP(Current_Stock[[#This Row],[SKU ID]],SKU[],5,0))</f>
        <v>11</v>
      </c>
      <c r="X31" s="228">
        <f ca="1">VLOOKUP(Current_Stock[[#This Row],[SKU ID]],Stock_year[],((MONTH($B$1)-1)*$C$75)+17,0)</f>
        <v>16</v>
      </c>
      <c r="Y31" s="228">
        <f>SUMIFS(Primary_Order[Total Qty],Primary_Order[Date],"&gt;="&amp;DATE(YEAR($B$1),MONTH($B$1),1),Primary_Order[Date],"&lt;="&amp;$B$1,Primary_Order[Status],"DMG-Sold",Primary_Order[Product ID],A31)</f>
        <v>0</v>
      </c>
      <c r="Z31" s="228">
        <f ca="1">Current_Stock[[#This Row],[Opening Damage Unit]]-Current_Stock[[#This Row],[Damage Sold unit]]</f>
        <v>16</v>
      </c>
      <c r="AA31" s="228">
        <f>Current_Stock[[#This Row],[DP Price]]*Current_Stock[[#This Row],[Total Current (Unit)]]</f>
        <v>102600</v>
      </c>
      <c r="AB31" s="228">
        <f ca="1">Current_Stock[[#This Row],[Total Current (Unit)]]+Current_Stock[[#This Row],[Remaining Damage Unit]]</f>
        <v>111</v>
      </c>
      <c r="AC31" s="228">
        <f ca="1">Current_Stock[[#This Row],[Total Unit with Damage]]*Current_Stock[[#This Row],[Cost]]</f>
        <v>84770.522400000002</v>
      </c>
      <c r="AD31" s="228">
        <f>SUMIFS(Primary_Order[Total Qty],Primary_Order[Date],"&gt;="&amp;DATE(2027,12,1),Primary_Order[Status],$A$1,Primary_Order[Product ID],A31)</f>
        <v>36</v>
      </c>
      <c r="AE31" s="228">
        <f>Current_Stock[[#This Row],[Total Current (Unit)]]-Current_Stock[[#This Row],[Blocked Stock(unit)]]</f>
        <v>59</v>
      </c>
      <c r="AF31" s="228">
        <f>(Current_Stock[[#This Row],[Ageing till Sep''24 (D)]]+($B$1-45566))/30</f>
        <v>8.1677786031017163</v>
      </c>
      <c r="AG31" s="228">
        <v>34.033358093051518</v>
      </c>
      <c r="AH31" t="str">
        <f>VLOOKUP(Current_Stock[[#This Row],[SKU ID]],SKU[],12,0)</f>
        <v>20W50</v>
      </c>
      <c r="AI31" t="str">
        <f>VLOOKUP(Current_Stock[[#This Row],[SKU ID]],SKU[],10,0)</f>
        <v>Synthetic</v>
      </c>
      <c r="AJ31" s="195">
        <f>VLOOKUP(Current_Stock[[#This Row],[SKU ID]],SKU[[SKU ID]:[Bottle Size(Ltr)]],6,0)*Current_Stock[[#This Row],[Vobanipur Current units]]</f>
        <v>95</v>
      </c>
      <c r="AK31" s="195">
        <f ca="1">VLOOKUP(Current_Stock[[#This Row],[SKU ID]],SKU[[SKU ID]:[Bottle Size(Ltr)]],6,0)*Current_Stock[[#This Row],[Remaining Damage Unit]]</f>
        <v>16</v>
      </c>
      <c r="AL31" s="195">
        <f>VLOOKUP(Current_Stock[[#This Row],[SKU ID]],SKU[[SKU ID]:[Bottle Size(Ltr)]],6,0)*Current_Stock[[#This Row],[Ulukhola Current]]</f>
        <v>0</v>
      </c>
    </row>
    <row r="32" spans="1:38" x14ac:dyDescent="0.5">
      <c r="A32" s="159" t="s">
        <v>180</v>
      </c>
      <c r="B32" s="159" t="s">
        <v>808</v>
      </c>
      <c r="C32" s="228" t="str">
        <f>VLOOKUP(Current_Stock[[#This Row],[SKU ID]],SKU[],9,0)</f>
        <v>Care Products</v>
      </c>
      <c r="D32" s="228">
        <f>VLOOKUP(Current_Stock[[#This Row],[SKU ID]],SKU[],14,0)</f>
        <v>1192.42</v>
      </c>
      <c r="E32" s="228">
        <f>VLOOKUP(Current_Stock[[#This Row],[SKU ID]],SKU[],15,0)</f>
        <v>1275</v>
      </c>
      <c r="F32" s="228">
        <f>VLOOKUP(Current_Stock[[#This Row],[SKU ID]],Stock_year[],((MONTH($B$1)-1)*$C$75)+2+1,0)</f>
        <v>94</v>
      </c>
      <c r="G32" s="228">
        <f>VLOOKUP(Current_Stock[[#This Row],[SKU ID]],Stock_year[],((MONTH($B$1)-1)*$C$75)+2+2,0)</f>
        <v>0</v>
      </c>
      <c r="H32" s="228">
        <f>Current_Stock[[#This Row],[Vobanipur opening units]]+Current_Stock[[#This Row],[Ulukhola opening units]]</f>
        <v>94</v>
      </c>
      <c r="I32" s="267">
        <f>VLOOKUP(Current_Stock[[#This Row],[SKU ID]],SKU[[SKU ID]:[Bottle Size(Ltr)]],6,0)*Current_Stock[[#This Row],[Total Opening Unit]]</f>
        <v>94</v>
      </c>
      <c r="J32" s="228">
        <f>VLOOKUP(Current_Stock[[#This Row],[SKU ID]],Stock_year[],((MONTH($B$1)-1)*$C$75)+2+5,0)</f>
        <v>0</v>
      </c>
      <c r="K32" s="228">
        <f>VLOOKUP(Current_Stock[[#This Row],[SKU ID]],Stock_year[],((MONTH($B$1)-1)*$C$75)+2+6,0)</f>
        <v>0</v>
      </c>
      <c r="L32" s="228">
        <f>VLOOKUP(Current_Stock[[#This Row],[SKU ID]],Stock_year[],((MONTH($B$1)-1)*$C$75)+2+7,0)</f>
        <v>0</v>
      </c>
      <c r="M32" s="228">
        <f>Current_Stock[[#This Row],[Vobanipur opening units]]+Current_Stock[[#This Row],[New Arrival Ulukhola]]+Current_Stock[[#This Row],[Ulukhola to vobanipur transfer]]</f>
        <v>94</v>
      </c>
      <c r="N32" s="228">
        <f>Current_Stock[[#This Row],[Ulukhola opening units]]+Current_Stock[[#This Row],[New Arrival Vobanipur]]-Current_Stock[[#This Row],[Ulukhola to vobanipur transfer]]</f>
        <v>0</v>
      </c>
      <c r="O32" s="228">
        <f>Current_Stock[[#This Row],[Vobaipur total]]+Current_Stock[[#This Row],[Ulukhola Current]]</f>
        <v>94</v>
      </c>
      <c r="P32" s="228">
        <f>SUMIFS(Primary_Order[Total Qty],Primary_Order[Date],"&gt;="&amp;DATE(YEAR($B$1),MONTH($B$1),1),Primary_Order[Date],"&lt;="&amp;$B$1,Primary_Order[Status],$A$1,Primary_Order[Product ID],A32,Primary_Order[Status],"&lt;&gt;DMG-Sold")</f>
        <v>0</v>
      </c>
      <c r="Q32" s="228">
        <f>Current_Stock[[#This Row],[Sold Qty(Unit)]]*Current_Stock[[#This Row],[Cost]]</f>
        <v>0</v>
      </c>
      <c r="R32" s="228">
        <f>Current_Stock[[#This Row],[Vobaipur total]]-Current_Stock[[#This Row],[Sold Qty(Unit)]]</f>
        <v>94</v>
      </c>
      <c r="S32" s="267">
        <f>Current_Stock[[#This Row],[Vobanipur Current units]]+Current_Stock[[#This Row],[Ulukhola Current]]</f>
        <v>94</v>
      </c>
      <c r="T32" s="267">
        <f>VLOOKUP(Current_Stock[[#This Row],[SKU ID]],SKU[[SKU ID]:[Bottle Size(Ltr)]],6,0)*Current_Stock[[#This Row],[Total Current (Unit)]]</f>
        <v>94</v>
      </c>
      <c r="U32" s="267">
        <f>Current_Stock[[#This Row],[Total Current (Unit)]]*Current_Stock[[#This Row],[Cost]]</f>
        <v>112087.48000000001</v>
      </c>
      <c r="V32" s="267">
        <f>FLOOR(Current_Stock[[#This Row],[Total Current (Unit)]]/VLOOKUP(Current_Stock[[#This Row],[SKU ID]],SKU[],5,0),1)</f>
        <v>7</v>
      </c>
      <c r="W32" s="267">
        <f>MOD(Current_Stock[[#This Row],[Total Current (Unit)]],VLOOKUP(Current_Stock[[#This Row],[SKU ID]],SKU[],5,0))</f>
        <v>10</v>
      </c>
      <c r="X32" s="228">
        <f ca="1">VLOOKUP(Current_Stock[[#This Row],[SKU ID]],Stock_year[],((MONTH($B$1)-1)*$C$75)+17,0)</f>
        <v>0</v>
      </c>
      <c r="Y32" s="228">
        <f>SUMIFS(Primary_Order[Total Qty],Primary_Order[Date],"&gt;="&amp;DATE(YEAR($B$1),MONTH($B$1),1),Primary_Order[Date],"&lt;="&amp;$B$1,Primary_Order[Status],"DMG-Sold",Primary_Order[Product ID],A32)</f>
        <v>0</v>
      </c>
      <c r="Z32" s="228">
        <f ca="1">Current_Stock[[#This Row],[Opening Damage Unit]]-Current_Stock[[#This Row],[Damage Sold unit]]</f>
        <v>0</v>
      </c>
      <c r="AA32" s="228">
        <f>Current_Stock[[#This Row],[DP Price]]*Current_Stock[[#This Row],[Total Current (Unit)]]</f>
        <v>119850</v>
      </c>
      <c r="AB32" s="228">
        <f ca="1">Current_Stock[[#This Row],[Total Current (Unit)]]+Current_Stock[[#This Row],[Remaining Damage Unit]]</f>
        <v>94</v>
      </c>
      <c r="AC32" s="228">
        <f ca="1">Current_Stock[[#This Row],[Total Unit with Damage]]*Current_Stock[[#This Row],[Cost]]</f>
        <v>112087.48000000001</v>
      </c>
      <c r="AD32" s="228">
        <f>SUMIFS(Primary_Order[Total Qty],Primary_Order[Date],"&gt;="&amp;DATE(2027,12,1),Primary_Order[Status],$A$1,Primary_Order[Product ID],A32)</f>
        <v>0</v>
      </c>
      <c r="AE32" s="228">
        <f>Current_Stock[[#This Row],[Total Current (Unit)]]-Current_Stock[[#This Row],[Blocked Stock(unit)]]</f>
        <v>94</v>
      </c>
      <c r="AF32" s="228">
        <f>(Current_Stock[[#This Row],[Ageing till Sep''24 (D)]]+($B$1-45566))/30</f>
        <v>15.017626527050611</v>
      </c>
      <c r="AG32" s="228">
        <v>239.52879581151834</v>
      </c>
      <c r="AH32" t="str">
        <f>VLOOKUP(Current_Stock[[#This Row],[SKU ID]],SKU[],12,0)</f>
        <v>Care Products</v>
      </c>
      <c r="AI32" t="str">
        <f>VLOOKUP(Current_Stock[[#This Row],[SKU ID]],SKU[],10,0)</f>
        <v>Care Products</v>
      </c>
      <c r="AJ32" s="195">
        <f>VLOOKUP(Current_Stock[[#This Row],[SKU ID]],SKU[[SKU ID]:[Bottle Size(Ltr)]],6,0)*Current_Stock[[#This Row],[Vobanipur Current units]]</f>
        <v>94</v>
      </c>
      <c r="AK32" s="195">
        <f ca="1">VLOOKUP(Current_Stock[[#This Row],[SKU ID]],SKU[[SKU ID]:[Bottle Size(Ltr)]],6,0)*Current_Stock[[#This Row],[Remaining Damage Unit]]</f>
        <v>0</v>
      </c>
      <c r="AL32" s="195">
        <f>VLOOKUP(Current_Stock[[#This Row],[SKU ID]],SKU[[SKU ID]:[Bottle Size(Ltr)]],6,0)*Current_Stock[[#This Row],[Ulukhola Current]]</f>
        <v>0</v>
      </c>
    </row>
    <row r="33" spans="1:38" x14ac:dyDescent="0.5">
      <c r="A33" s="159" t="s">
        <v>154</v>
      </c>
      <c r="B33" s="159" t="s">
        <v>803</v>
      </c>
      <c r="C33" s="228" t="str">
        <f>VLOOKUP(Current_Stock[[#This Row],[SKU ID]],SKU[],9,0)</f>
        <v>MCO</v>
      </c>
      <c r="D33" s="228">
        <f>VLOOKUP(Current_Stock[[#This Row],[SKU ID]],SKU[],14,0)</f>
        <v>368.75</v>
      </c>
      <c r="E33" s="228">
        <f>VLOOKUP(Current_Stock[[#This Row],[SKU ID]],SKU[],15,0)</f>
        <v>0</v>
      </c>
      <c r="F33" s="228">
        <f>VLOOKUP(Current_Stock[[#This Row],[SKU ID]],Stock_year[],((MONTH($B$1)-1)*$C$75)+2+1,0)</f>
        <v>88</v>
      </c>
      <c r="G33" s="228">
        <f>VLOOKUP(Current_Stock[[#This Row],[SKU ID]],Stock_year[],((MONTH($B$1)-1)*$C$75)+2+2,0)</f>
        <v>0</v>
      </c>
      <c r="H33" s="228">
        <f>Current_Stock[[#This Row],[Vobanipur opening units]]+Current_Stock[[#This Row],[Ulukhola opening units]]</f>
        <v>88</v>
      </c>
      <c r="I33" s="267">
        <f>VLOOKUP(Current_Stock[[#This Row],[SKU ID]],SKU[[SKU ID]:[Bottle Size(Ltr)]],6,0)*Current_Stock[[#This Row],[Total Opening Unit]]</f>
        <v>88</v>
      </c>
      <c r="J33" s="228">
        <f>VLOOKUP(Current_Stock[[#This Row],[SKU ID]],Stock_year[],((MONTH($B$1)-1)*$C$75)+2+5,0)</f>
        <v>0</v>
      </c>
      <c r="K33" s="228">
        <f>VLOOKUP(Current_Stock[[#This Row],[SKU ID]],Stock_year[],((MONTH($B$1)-1)*$C$75)+2+6,0)</f>
        <v>0</v>
      </c>
      <c r="L33" s="228">
        <f>VLOOKUP(Current_Stock[[#This Row],[SKU ID]],Stock_year[],((MONTH($B$1)-1)*$C$75)+2+7,0)</f>
        <v>0</v>
      </c>
      <c r="M33" s="228">
        <f>Current_Stock[[#This Row],[Vobanipur opening units]]+Current_Stock[[#This Row],[New Arrival Ulukhola]]+Current_Stock[[#This Row],[Ulukhola to vobanipur transfer]]</f>
        <v>88</v>
      </c>
      <c r="N33" s="228">
        <f>Current_Stock[[#This Row],[Ulukhola opening units]]+Current_Stock[[#This Row],[New Arrival Vobanipur]]-Current_Stock[[#This Row],[Ulukhola to vobanipur transfer]]</f>
        <v>0</v>
      </c>
      <c r="O33" s="228">
        <f>Current_Stock[[#This Row],[Vobaipur total]]+Current_Stock[[#This Row],[Ulukhola Current]]</f>
        <v>88</v>
      </c>
      <c r="P33" s="228">
        <f>SUMIFS(Primary_Order[Total Qty],Primary_Order[Date],"&gt;="&amp;DATE(YEAR($B$1),MONTH($B$1),1),Primary_Order[Date],"&lt;="&amp;$B$1,Primary_Order[Status],$A$1,Primary_Order[Product ID],A33,Primary_Order[Status],"&lt;&gt;DMG-Sold")</f>
        <v>0</v>
      </c>
      <c r="Q33" s="228">
        <f>Current_Stock[[#This Row],[Sold Qty(Unit)]]*Current_Stock[[#This Row],[Cost]]</f>
        <v>0</v>
      </c>
      <c r="R33" s="228">
        <f>Current_Stock[[#This Row],[Vobaipur total]]-Current_Stock[[#This Row],[Sold Qty(Unit)]]</f>
        <v>88</v>
      </c>
      <c r="S33" s="267">
        <f>Current_Stock[[#This Row],[Vobanipur Current units]]+Current_Stock[[#This Row],[Ulukhola Current]]</f>
        <v>88</v>
      </c>
      <c r="T33" s="267">
        <f>VLOOKUP(Current_Stock[[#This Row],[SKU ID]],SKU[[SKU ID]:[Bottle Size(Ltr)]],6,0)*Current_Stock[[#This Row],[Total Current (Unit)]]</f>
        <v>88</v>
      </c>
      <c r="U33" s="267">
        <f>Current_Stock[[#This Row],[Total Current (Unit)]]*Current_Stock[[#This Row],[Cost]]</f>
        <v>32450</v>
      </c>
      <c r="V33" s="267">
        <f>FLOOR(Current_Stock[[#This Row],[Total Current (Unit)]]/VLOOKUP(Current_Stock[[#This Row],[SKU ID]],SKU[],5,0),1)</f>
        <v>4</v>
      </c>
      <c r="W33" s="267">
        <f>MOD(Current_Stock[[#This Row],[Total Current (Unit)]],VLOOKUP(Current_Stock[[#This Row],[SKU ID]],SKU[],5,0))</f>
        <v>8</v>
      </c>
      <c r="X33" s="228">
        <f ca="1">VLOOKUP(Current_Stock[[#This Row],[SKU ID]],Stock_year[],((MONTH($B$1)-1)*$C$75)+17,0)</f>
        <v>2</v>
      </c>
      <c r="Y33" s="228">
        <f>SUMIFS(Primary_Order[Total Qty],Primary_Order[Date],"&gt;="&amp;DATE(YEAR($B$1),MONTH($B$1),1),Primary_Order[Date],"&lt;="&amp;$B$1,Primary_Order[Status],"DMG-Sold",Primary_Order[Product ID],A33)</f>
        <v>0</v>
      </c>
      <c r="Z33" s="228">
        <f ca="1">Current_Stock[[#This Row],[Opening Damage Unit]]-Current_Stock[[#This Row],[Damage Sold unit]]</f>
        <v>2</v>
      </c>
      <c r="AA33" s="228">
        <f>Current_Stock[[#This Row],[DP Price]]*Current_Stock[[#This Row],[Total Current (Unit)]]</f>
        <v>0</v>
      </c>
      <c r="AB33" s="228">
        <f ca="1">Current_Stock[[#This Row],[Total Current (Unit)]]+Current_Stock[[#This Row],[Remaining Damage Unit]]</f>
        <v>90</v>
      </c>
      <c r="AC33" s="228">
        <f ca="1">Current_Stock[[#This Row],[Total Unit with Damage]]*Current_Stock[[#This Row],[Cost]]</f>
        <v>33187.5</v>
      </c>
      <c r="AD33" s="228">
        <f>SUMIFS(Primary_Order[Total Qty],Primary_Order[Date],"&gt;="&amp;DATE(2027,12,1),Primary_Order[Status],$A$1,Primary_Order[Product ID],A33)</f>
        <v>0</v>
      </c>
      <c r="AE33" s="228">
        <f>Current_Stock[[#This Row],[Total Current (Unit)]]-Current_Stock[[#This Row],[Blocked Stock(unit)]]</f>
        <v>88</v>
      </c>
      <c r="AF33" s="228">
        <f>(Current_Stock[[#This Row],[Ageing till Sep''24 (D)]]+($B$1-45566))/30</f>
        <v>26.033333333333335</v>
      </c>
      <c r="AG33" s="228">
        <v>570</v>
      </c>
      <c r="AH33" t="str">
        <f>VLOOKUP(Current_Stock[[#This Row],[SKU ID]],SKU[],12,0)</f>
        <v>20W50</v>
      </c>
      <c r="AI33" t="str">
        <f>VLOOKUP(Current_Stock[[#This Row],[SKU ID]],SKU[],10,0)</f>
        <v>Mineral</v>
      </c>
      <c r="AJ33" s="195">
        <f>VLOOKUP(Current_Stock[[#This Row],[SKU ID]],SKU[[SKU ID]:[Bottle Size(Ltr)]],6,0)*Current_Stock[[#This Row],[Vobanipur Current units]]</f>
        <v>88</v>
      </c>
      <c r="AK33" s="195">
        <f ca="1">VLOOKUP(Current_Stock[[#This Row],[SKU ID]],SKU[[SKU ID]:[Bottle Size(Ltr)]],6,0)*Current_Stock[[#This Row],[Remaining Damage Unit]]</f>
        <v>2</v>
      </c>
      <c r="AL33" s="195">
        <f>VLOOKUP(Current_Stock[[#This Row],[SKU ID]],SKU[[SKU ID]:[Bottle Size(Ltr)]],6,0)*Current_Stock[[#This Row],[Ulukhola Current]]</f>
        <v>0</v>
      </c>
    </row>
    <row r="34" spans="1:38" x14ac:dyDescent="0.5">
      <c r="A34" s="159" t="s">
        <v>143</v>
      </c>
      <c r="B34" s="159" t="s">
        <v>793</v>
      </c>
      <c r="C34" s="228" t="str">
        <f>VLOOKUP(Current_Stock[[#This Row],[SKU ID]],SKU[],9,0)</f>
        <v>MCO</v>
      </c>
      <c r="D34" s="228">
        <f>VLOOKUP(Current_Stock[[#This Row],[SKU ID]],SKU[],14,0)</f>
        <v>343.38</v>
      </c>
      <c r="E34" s="228">
        <f>VLOOKUP(Current_Stock[[#This Row],[SKU ID]],SKU[],15,0)</f>
        <v>0</v>
      </c>
      <c r="F34" s="228">
        <f>VLOOKUP(Current_Stock[[#This Row],[SKU ID]],Stock_year[],((MONTH($B$1)-1)*$C$75)+2+1,0)</f>
        <v>73</v>
      </c>
      <c r="G34" s="228">
        <f>VLOOKUP(Current_Stock[[#This Row],[SKU ID]],Stock_year[],((MONTH($B$1)-1)*$C$75)+2+2,0)</f>
        <v>0</v>
      </c>
      <c r="H34" s="228">
        <f>Current_Stock[[#This Row],[Vobanipur opening units]]+Current_Stock[[#This Row],[Ulukhola opening units]]</f>
        <v>73</v>
      </c>
      <c r="I34" s="267">
        <f>VLOOKUP(Current_Stock[[#This Row],[SKU ID]],SKU[[SKU ID]:[Bottle Size(Ltr)]],6,0)*Current_Stock[[#This Row],[Total Opening Unit]]</f>
        <v>73</v>
      </c>
      <c r="J34" s="228">
        <f>VLOOKUP(Current_Stock[[#This Row],[SKU ID]],Stock_year[],((MONTH($B$1)-1)*$C$75)+2+5,0)</f>
        <v>0</v>
      </c>
      <c r="K34" s="228">
        <f>VLOOKUP(Current_Stock[[#This Row],[SKU ID]],Stock_year[],((MONTH($B$1)-1)*$C$75)+2+6,0)</f>
        <v>0</v>
      </c>
      <c r="L34" s="228">
        <f>VLOOKUP(Current_Stock[[#This Row],[SKU ID]],Stock_year[],((MONTH($B$1)-1)*$C$75)+2+7,0)</f>
        <v>0</v>
      </c>
      <c r="M34" s="228">
        <f>Current_Stock[[#This Row],[Vobanipur opening units]]+Current_Stock[[#This Row],[New Arrival Ulukhola]]+Current_Stock[[#This Row],[Ulukhola to vobanipur transfer]]</f>
        <v>73</v>
      </c>
      <c r="N34" s="228">
        <f>Current_Stock[[#This Row],[Ulukhola opening units]]+Current_Stock[[#This Row],[New Arrival Vobanipur]]-Current_Stock[[#This Row],[Ulukhola to vobanipur transfer]]</f>
        <v>0</v>
      </c>
      <c r="O34" s="228">
        <f>Current_Stock[[#This Row],[Vobaipur total]]+Current_Stock[[#This Row],[Ulukhola Current]]</f>
        <v>73</v>
      </c>
      <c r="P34" s="228">
        <f>SUMIFS(Primary_Order[Total Qty],Primary_Order[Date],"&gt;="&amp;DATE(YEAR($B$1),MONTH($B$1),1),Primary_Order[Date],"&lt;="&amp;$B$1,Primary_Order[Status],$A$1,Primary_Order[Product ID],A34,Primary_Order[Status],"&lt;&gt;DMG-Sold")</f>
        <v>8</v>
      </c>
      <c r="Q34" s="228">
        <f>Current_Stock[[#This Row],[Sold Qty(Unit)]]*Current_Stock[[#This Row],[Cost]]</f>
        <v>2747.04</v>
      </c>
      <c r="R34" s="228">
        <f>Current_Stock[[#This Row],[Vobaipur total]]-Current_Stock[[#This Row],[Sold Qty(Unit)]]</f>
        <v>65</v>
      </c>
      <c r="S34" s="267">
        <f>Current_Stock[[#This Row],[Vobanipur Current units]]+Current_Stock[[#This Row],[Ulukhola Current]]</f>
        <v>65</v>
      </c>
      <c r="T34" s="267">
        <f>VLOOKUP(Current_Stock[[#This Row],[SKU ID]],SKU[[SKU ID]:[Bottle Size(Ltr)]],6,0)*Current_Stock[[#This Row],[Total Current (Unit)]]</f>
        <v>65</v>
      </c>
      <c r="U34" s="267">
        <f>Current_Stock[[#This Row],[Total Current (Unit)]]*Current_Stock[[#This Row],[Cost]]</f>
        <v>22319.7</v>
      </c>
      <c r="V34" s="267">
        <f>FLOOR(Current_Stock[[#This Row],[Total Current (Unit)]]/VLOOKUP(Current_Stock[[#This Row],[SKU ID]],SKU[],5,0),1)</f>
        <v>3</v>
      </c>
      <c r="W34" s="267">
        <f>MOD(Current_Stock[[#This Row],[Total Current (Unit)]],VLOOKUP(Current_Stock[[#This Row],[SKU ID]],SKU[],5,0))</f>
        <v>5</v>
      </c>
      <c r="X34" s="228">
        <f ca="1">VLOOKUP(Current_Stock[[#This Row],[SKU ID]],Stock_year[],((MONTH($B$1)-1)*$C$75)+17,0)</f>
        <v>423</v>
      </c>
      <c r="Y34" s="228">
        <f>SUMIFS(Primary_Order[Total Qty],Primary_Order[Date],"&gt;="&amp;DATE(YEAR($B$1),MONTH($B$1),1),Primary_Order[Date],"&lt;="&amp;$B$1,Primary_Order[Status],"DMG-Sold",Primary_Order[Product ID],A34)</f>
        <v>0</v>
      </c>
      <c r="Z34" s="228">
        <f ca="1">Current_Stock[[#This Row],[Opening Damage Unit]]-Current_Stock[[#This Row],[Damage Sold unit]]</f>
        <v>423</v>
      </c>
      <c r="AA34" s="228">
        <f>Current_Stock[[#This Row],[DP Price]]*Current_Stock[[#This Row],[Total Current (Unit)]]</f>
        <v>0</v>
      </c>
      <c r="AB34" s="228">
        <f ca="1">Current_Stock[[#This Row],[Total Current (Unit)]]+Current_Stock[[#This Row],[Remaining Damage Unit]]</f>
        <v>488</v>
      </c>
      <c r="AC34" s="228">
        <f ca="1">Current_Stock[[#This Row],[Total Unit with Damage]]*Current_Stock[[#This Row],[Cost]]</f>
        <v>167569.44</v>
      </c>
      <c r="AD34" s="228">
        <f>SUMIFS(Primary_Order[Total Qty],Primary_Order[Date],"&gt;="&amp;DATE(2027,12,1),Primary_Order[Status],$A$1,Primary_Order[Product ID],A34)</f>
        <v>0</v>
      </c>
      <c r="AE34" s="228">
        <f>Current_Stock[[#This Row],[Total Current (Unit)]]-Current_Stock[[#This Row],[Blocked Stock(unit)]]</f>
        <v>65</v>
      </c>
      <c r="AF34" s="228">
        <f>(Current_Stock[[#This Row],[Ageing till Sep''24 (D)]]+($B$1-45566))/30</f>
        <v>13.367436083448746</v>
      </c>
      <c r="AG34" s="228">
        <v>190.02308250346238</v>
      </c>
      <c r="AH34" t="str">
        <f>VLOOKUP(Current_Stock[[#This Row],[SKU ID]],SKU[],12,0)</f>
        <v>20W50</v>
      </c>
      <c r="AI34" t="str">
        <f>VLOOKUP(Current_Stock[[#This Row],[SKU ID]],SKU[],10,0)</f>
        <v>Mineral</v>
      </c>
      <c r="AJ34" s="195">
        <f>VLOOKUP(Current_Stock[[#This Row],[SKU ID]],SKU[[SKU ID]:[Bottle Size(Ltr)]],6,0)*Current_Stock[[#This Row],[Vobanipur Current units]]</f>
        <v>65</v>
      </c>
      <c r="AK34" s="195">
        <f ca="1">VLOOKUP(Current_Stock[[#This Row],[SKU ID]],SKU[[SKU ID]:[Bottle Size(Ltr)]],6,0)*Current_Stock[[#This Row],[Remaining Damage Unit]]</f>
        <v>423</v>
      </c>
      <c r="AL34" s="195">
        <f>VLOOKUP(Current_Stock[[#This Row],[SKU ID]],SKU[[SKU ID]:[Bottle Size(Ltr)]],6,0)*Current_Stock[[#This Row],[Ulukhola Current]]</f>
        <v>0</v>
      </c>
    </row>
    <row r="35" spans="1:38" x14ac:dyDescent="0.5">
      <c r="A35" s="159" t="s">
        <v>245</v>
      </c>
      <c r="B35" s="159" t="s">
        <v>797</v>
      </c>
      <c r="C35" s="228" t="str">
        <f>VLOOKUP(Current_Stock[[#This Row],[SKU ID]],SKU[],9,0)</f>
        <v>Care Products</v>
      </c>
      <c r="D35" s="228">
        <f>VLOOKUP(Current_Stock[[#This Row],[SKU ID]],SKU[],14,0)</f>
        <v>686.66</v>
      </c>
      <c r="E35" s="228">
        <f>VLOOKUP(Current_Stock[[#This Row],[SKU ID]],SKU[],15,0)</f>
        <v>1190</v>
      </c>
      <c r="F35" s="228">
        <f>VLOOKUP(Current_Stock[[#This Row],[SKU ID]],Stock_year[],((MONTH($B$1)-1)*$C$75)+2+1,0)</f>
        <v>153</v>
      </c>
      <c r="G35" s="228">
        <f>VLOOKUP(Current_Stock[[#This Row],[SKU ID]],Stock_year[],((MONTH($B$1)-1)*$C$75)+2+2,0)</f>
        <v>0</v>
      </c>
      <c r="H35" s="228">
        <f>Current_Stock[[#This Row],[Vobanipur opening units]]+Current_Stock[[#This Row],[Ulukhola opening units]]</f>
        <v>153</v>
      </c>
      <c r="I35" s="267">
        <f>VLOOKUP(Current_Stock[[#This Row],[SKU ID]],SKU[[SKU ID]:[Bottle Size(Ltr)]],6,0)*Current_Stock[[#This Row],[Total Opening Unit]]</f>
        <v>45.9</v>
      </c>
      <c r="J35" s="228">
        <f>VLOOKUP(Current_Stock[[#This Row],[SKU ID]],Stock_year[],((MONTH($B$1)-1)*$C$75)+2+5,0)</f>
        <v>0</v>
      </c>
      <c r="K35" s="228">
        <f>VLOOKUP(Current_Stock[[#This Row],[SKU ID]],Stock_year[],((MONTH($B$1)-1)*$C$75)+2+6,0)</f>
        <v>0</v>
      </c>
      <c r="L35" s="228">
        <f>VLOOKUP(Current_Stock[[#This Row],[SKU ID]],Stock_year[],((MONTH($B$1)-1)*$C$75)+2+7,0)</f>
        <v>0</v>
      </c>
      <c r="M35" s="228">
        <f>Current_Stock[[#This Row],[Vobanipur opening units]]+Current_Stock[[#This Row],[New Arrival Ulukhola]]+Current_Stock[[#This Row],[Ulukhola to vobanipur transfer]]</f>
        <v>153</v>
      </c>
      <c r="N35" s="228">
        <f>Current_Stock[[#This Row],[Ulukhola opening units]]+Current_Stock[[#This Row],[New Arrival Vobanipur]]-Current_Stock[[#This Row],[Ulukhola to vobanipur transfer]]</f>
        <v>0</v>
      </c>
      <c r="O35" s="228">
        <f>Current_Stock[[#This Row],[Vobaipur total]]+Current_Stock[[#This Row],[Ulukhola Current]]</f>
        <v>153</v>
      </c>
      <c r="P35" s="228">
        <f>SUMIFS(Primary_Order[Total Qty],Primary_Order[Date],"&gt;="&amp;DATE(YEAR($B$1),MONTH($B$1),1),Primary_Order[Date],"&lt;="&amp;$B$1,Primary_Order[Status],$A$1,Primary_Order[Product ID],A35,Primary_Order[Status],"&lt;&gt;DMG-Sold")</f>
        <v>0</v>
      </c>
      <c r="Q35" s="228">
        <f>Current_Stock[[#This Row],[Sold Qty(Unit)]]*Current_Stock[[#This Row],[Cost]]</f>
        <v>0</v>
      </c>
      <c r="R35" s="228">
        <f>Current_Stock[[#This Row],[Vobaipur total]]-Current_Stock[[#This Row],[Sold Qty(Unit)]]</f>
        <v>153</v>
      </c>
      <c r="S35" s="267">
        <f>Current_Stock[[#This Row],[Vobanipur Current units]]+Current_Stock[[#This Row],[Ulukhola Current]]</f>
        <v>153</v>
      </c>
      <c r="T35" s="267">
        <f>VLOOKUP(Current_Stock[[#This Row],[SKU ID]],SKU[[SKU ID]:[Bottle Size(Ltr)]],6,0)*Current_Stock[[#This Row],[Total Current (Unit)]]</f>
        <v>45.9</v>
      </c>
      <c r="U35" s="267">
        <f>Current_Stock[[#This Row],[Total Current (Unit)]]*Current_Stock[[#This Row],[Cost]]</f>
        <v>105058.98</v>
      </c>
      <c r="V35" s="267">
        <f>FLOOR(Current_Stock[[#This Row],[Total Current (Unit)]]/VLOOKUP(Current_Stock[[#This Row],[SKU ID]],SKU[],5,0),1)</f>
        <v>12</v>
      </c>
      <c r="W35" s="267">
        <f>MOD(Current_Stock[[#This Row],[Total Current (Unit)]],VLOOKUP(Current_Stock[[#This Row],[SKU ID]],SKU[],5,0))</f>
        <v>9</v>
      </c>
      <c r="X35" s="228">
        <f ca="1">VLOOKUP(Current_Stock[[#This Row],[SKU ID]],Stock_year[],((MONTH($B$1)-1)*$C$75)+17,0)</f>
        <v>2</v>
      </c>
      <c r="Y35" s="228">
        <f>SUMIFS(Primary_Order[Total Qty],Primary_Order[Date],"&gt;="&amp;DATE(YEAR($B$1),MONTH($B$1),1),Primary_Order[Date],"&lt;="&amp;$B$1,Primary_Order[Status],"DMG-Sold",Primary_Order[Product ID],A35)</f>
        <v>0</v>
      </c>
      <c r="Z35" s="228">
        <f ca="1">Current_Stock[[#This Row],[Opening Damage Unit]]-Current_Stock[[#This Row],[Damage Sold unit]]</f>
        <v>2</v>
      </c>
      <c r="AA35" s="228">
        <f>Current_Stock[[#This Row],[DP Price]]*Current_Stock[[#This Row],[Total Current (Unit)]]</f>
        <v>182070</v>
      </c>
      <c r="AB35" s="228">
        <f ca="1">Current_Stock[[#This Row],[Total Current (Unit)]]+Current_Stock[[#This Row],[Remaining Damage Unit]]</f>
        <v>155</v>
      </c>
      <c r="AC35" s="228">
        <f ca="1">Current_Stock[[#This Row],[Total Unit with Damage]]*Current_Stock[[#This Row],[Cost]]</f>
        <v>106432.29999999999</v>
      </c>
      <c r="AD35" s="228">
        <f>SUMIFS(Primary_Order[Total Qty],Primary_Order[Date],"&gt;="&amp;DATE(2027,12,1),Primary_Order[Status],$A$1,Primary_Order[Product ID],A35)</f>
        <v>0</v>
      </c>
      <c r="AE35" s="228">
        <f>Current_Stock[[#This Row],[Total Current (Unit)]]-Current_Stock[[#This Row],[Blocked Stock(unit)]]</f>
        <v>153</v>
      </c>
      <c r="AF35" s="228">
        <f>(Current_Stock[[#This Row],[Ageing till Sep''24 (D)]]+($B$1-45566))/30</f>
        <v>18.033333333333335</v>
      </c>
      <c r="AG35" s="228">
        <v>330</v>
      </c>
      <c r="AH35" t="str">
        <f>VLOOKUP(Current_Stock[[#This Row],[SKU ID]],SKU[],12,0)</f>
        <v>Care Products</v>
      </c>
      <c r="AI35" t="str">
        <f>VLOOKUP(Current_Stock[[#This Row],[SKU ID]],SKU[],10,0)</f>
        <v>Care Products</v>
      </c>
      <c r="AJ35" s="195">
        <f>VLOOKUP(Current_Stock[[#This Row],[SKU ID]],SKU[[SKU ID]:[Bottle Size(Ltr)]],6,0)*Current_Stock[[#This Row],[Vobanipur Current units]]</f>
        <v>45.9</v>
      </c>
      <c r="AK35" s="195">
        <f ca="1">VLOOKUP(Current_Stock[[#This Row],[SKU ID]],SKU[[SKU ID]:[Bottle Size(Ltr)]],6,0)*Current_Stock[[#This Row],[Remaining Damage Unit]]</f>
        <v>0.6</v>
      </c>
      <c r="AL35" s="195">
        <f>VLOOKUP(Current_Stock[[#This Row],[SKU ID]],SKU[[SKU ID]:[Bottle Size(Ltr)]],6,0)*Current_Stock[[#This Row],[Ulukhola Current]]</f>
        <v>0</v>
      </c>
    </row>
    <row r="36" spans="1:38" x14ac:dyDescent="0.5">
      <c r="A36" s="159" t="s">
        <v>33</v>
      </c>
      <c r="B36" s="159" t="s">
        <v>799</v>
      </c>
      <c r="C36" s="228" t="str">
        <f>VLOOKUP(Current_Stock[[#This Row],[SKU ID]],SKU[],9,0)</f>
        <v>MCO</v>
      </c>
      <c r="D36" s="228">
        <f>VLOOKUP(Current_Stock[[#This Row],[SKU ID]],SKU[],14,0)</f>
        <v>469.89779535060973</v>
      </c>
      <c r="E36" s="228">
        <f>VLOOKUP(Current_Stock[[#This Row],[SKU ID]],SKU[],15,0)</f>
        <v>645</v>
      </c>
      <c r="F36" s="228">
        <f>VLOOKUP(Current_Stock[[#This Row],[SKU ID]],Stock_year[],((MONTH($B$1)-1)*$C$75)+2+1,0)</f>
        <v>820</v>
      </c>
      <c r="G36" s="228">
        <f>VLOOKUP(Current_Stock[[#This Row],[SKU ID]],Stock_year[],((MONTH($B$1)-1)*$C$75)+2+2,0)</f>
        <v>0</v>
      </c>
      <c r="H36" s="228">
        <f>Current_Stock[[#This Row],[Vobanipur opening units]]+Current_Stock[[#This Row],[Ulukhola opening units]]</f>
        <v>820</v>
      </c>
      <c r="I36" s="267">
        <f>VLOOKUP(Current_Stock[[#This Row],[SKU ID]],SKU[[SKU ID]:[Bottle Size(Ltr)]],6,0)*Current_Stock[[#This Row],[Total Opening Unit]]</f>
        <v>984</v>
      </c>
      <c r="J36" s="228">
        <f>VLOOKUP(Current_Stock[[#This Row],[SKU ID]],Stock_year[],((MONTH($B$1)-1)*$C$75)+2+5,0)</f>
        <v>0</v>
      </c>
      <c r="K36" s="228">
        <f>VLOOKUP(Current_Stock[[#This Row],[SKU ID]],Stock_year[],((MONTH($B$1)-1)*$C$75)+2+6,0)</f>
        <v>0</v>
      </c>
      <c r="L36" s="228">
        <f>VLOOKUP(Current_Stock[[#This Row],[SKU ID]],Stock_year[],((MONTH($B$1)-1)*$C$75)+2+7,0)</f>
        <v>0</v>
      </c>
      <c r="M36" s="228">
        <f>Current_Stock[[#This Row],[Vobanipur opening units]]+Current_Stock[[#This Row],[New Arrival Ulukhola]]+Current_Stock[[#This Row],[Ulukhola to vobanipur transfer]]</f>
        <v>820</v>
      </c>
      <c r="N36" s="228">
        <f>Current_Stock[[#This Row],[Ulukhola opening units]]+Current_Stock[[#This Row],[New Arrival Vobanipur]]-Current_Stock[[#This Row],[Ulukhola to vobanipur transfer]]</f>
        <v>0</v>
      </c>
      <c r="O36" s="228">
        <f>Current_Stock[[#This Row],[Vobaipur total]]+Current_Stock[[#This Row],[Ulukhola Current]]</f>
        <v>820</v>
      </c>
      <c r="P36" s="228">
        <f>SUMIFS(Primary_Order[Total Qty],Primary_Order[Date],"&gt;="&amp;DATE(YEAR($B$1),MONTH($B$1),1),Primary_Order[Date],"&lt;="&amp;$B$1,Primary_Order[Status],$A$1,Primary_Order[Product ID],A36,Primary_Order[Status],"&lt;&gt;DMG-Sold")</f>
        <v>787</v>
      </c>
      <c r="Q36" s="228">
        <f>Current_Stock[[#This Row],[Sold Qty(Unit)]]*Current_Stock[[#This Row],[Cost]]</f>
        <v>369809.56494092988</v>
      </c>
      <c r="R36" s="228">
        <f>Current_Stock[[#This Row],[Vobaipur total]]-Current_Stock[[#This Row],[Sold Qty(Unit)]]</f>
        <v>33</v>
      </c>
      <c r="S36" s="267">
        <f>Current_Stock[[#This Row],[Vobanipur Current units]]+Current_Stock[[#This Row],[Ulukhola Current]]</f>
        <v>33</v>
      </c>
      <c r="T36" s="267">
        <f>VLOOKUP(Current_Stock[[#This Row],[SKU ID]],SKU[[SKU ID]:[Bottle Size(Ltr)]],6,0)*Current_Stock[[#This Row],[Total Current (Unit)]]</f>
        <v>39.6</v>
      </c>
      <c r="U36" s="267">
        <f>Current_Stock[[#This Row],[Total Current (Unit)]]*Current_Stock[[#This Row],[Cost]]</f>
        <v>15506.62724657012</v>
      </c>
      <c r="V36" s="267">
        <f>FLOOR(Current_Stock[[#This Row],[Total Current (Unit)]]/VLOOKUP(Current_Stock[[#This Row],[SKU ID]],SKU[],5,0),1)</f>
        <v>1</v>
      </c>
      <c r="W36" s="267">
        <f>MOD(Current_Stock[[#This Row],[Total Current (Unit)]],VLOOKUP(Current_Stock[[#This Row],[SKU ID]],SKU[],5,0))</f>
        <v>13</v>
      </c>
      <c r="X36" s="228">
        <f ca="1">VLOOKUP(Current_Stock[[#This Row],[SKU ID]],Stock_year[],((MONTH($B$1)-1)*$C$75)+17,0)</f>
        <v>45</v>
      </c>
      <c r="Y36" s="228">
        <f>SUMIFS(Primary_Order[Total Qty],Primary_Order[Date],"&gt;="&amp;DATE(YEAR($B$1),MONTH($B$1),1),Primary_Order[Date],"&lt;="&amp;$B$1,Primary_Order[Status],"DMG-Sold",Primary_Order[Product ID],A36)</f>
        <v>0</v>
      </c>
      <c r="Z36" s="228">
        <f ca="1">Current_Stock[[#This Row],[Opening Damage Unit]]-Current_Stock[[#This Row],[Damage Sold unit]]</f>
        <v>45</v>
      </c>
      <c r="AA36" s="228">
        <f>Current_Stock[[#This Row],[DP Price]]*Current_Stock[[#This Row],[Total Current (Unit)]]</f>
        <v>21285</v>
      </c>
      <c r="AB36" s="228">
        <f ca="1">Current_Stock[[#This Row],[Total Current (Unit)]]+Current_Stock[[#This Row],[Remaining Damage Unit]]</f>
        <v>78</v>
      </c>
      <c r="AC36" s="228">
        <f ca="1">Current_Stock[[#This Row],[Total Unit with Damage]]*Current_Stock[[#This Row],[Cost]]</f>
        <v>36652.028037347562</v>
      </c>
      <c r="AD36" s="228">
        <f>SUMIFS(Primary_Order[Total Qty],Primary_Order[Date],"&gt;="&amp;DATE(2027,12,1),Primary_Order[Status],$A$1,Primary_Order[Product ID],A36)</f>
        <v>20</v>
      </c>
      <c r="AE36" s="228">
        <f>Current_Stock[[#This Row],[Total Current (Unit)]]-Current_Stock[[#This Row],[Blocked Stock(unit)]]</f>
        <v>13</v>
      </c>
      <c r="AF36" s="228">
        <f>(Current_Stock[[#This Row],[Ageing till Sep''24 (D)]]+($B$1-45566))/30</f>
        <v>8.7761712419278428</v>
      </c>
      <c r="AG36" s="228">
        <v>52.285137257835288</v>
      </c>
      <c r="AH36" t="str">
        <f>VLOOKUP(Current_Stock[[#This Row],[SKU ID]],SKU[],12,0)</f>
        <v>20W40</v>
      </c>
      <c r="AI36" t="str">
        <f>VLOOKUP(Current_Stock[[#This Row],[SKU ID]],SKU[],10,0)</f>
        <v>Mineral</v>
      </c>
      <c r="AJ36" s="195">
        <f>VLOOKUP(Current_Stock[[#This Row],[SKU ID]],SKU[[SKU ID]:[Bottle Size(Ltr)]],6,0)*Current_Stock[[#This Row],[Vobanipur Current units]]</f>
        <v>39.6</v>
      </c>
      <c r="AK36" s="195">
        <f ca="1">VLOOKUP(Current_Stock[[#This Row],[SKU ID]],SKU[[SKU ID]:[Bottle Size(Ltr)]],6,0)*Current_Stock[[#This Row],[Remaining Damage Unit]]</f>
        <v>54</v>
      </c>
      <c r="AL36" s="195">
        <f>VLOOKUP(Current_Stock[[#This Row],[SKU ID]],SKU[[SKU ID]:[Bottle Size(Ltr)]],6,0)*Current_Stock[[#This Row],[Ulukhola Current]]</f>
        <v>0</v>
      </c>
    </row>
    <row r="37" spans="1:38" x14ac:dyDescent="0.5">
      <c r="A37" s="159" t="s">
        <v>32</v>
      </c>
      <c r="B37" s="159" t="s">
        <v>764</v>
      </c>
      <c r="C37" s="228" t="str">
        <f>VLOOKUP(Current_Stock[[#This Row],[SKU ID]],SKU[],9,0)</f>
        <v>MCO</v>
      </c>
      <c r="D37" s="228">
        <f>VLOOKUP(Current_Stock[[#This Row],[SKU ID]],SKU[],14,0)</f>
        <v>438.9</v>
      </c>
      <c r="E37" s="228">
        <f>VLOOKUP(Current_Stock[[#This Row],[SKU ID]],SKU[],15,0)</f>
        <v>650</v>
      </c>
      <c r="F37" s="228">
        <f>VLOOKUP(Current_Stock[[#This Row],[SKU ID]],Stock_year[],((MONTH($B$1)-1)*$C$75)+2+1,0)</f>
        <v>18</v>
      </c>
      <c r="G37" s="228">
        <f>VLOOKUP(Current_Stock[[#This Row],[SKU ID]],Stock_year[],((MONTH($B$1)-1)*$C$75)+2+2,0)</f>
        <v>0</v>
      </c>
      <c r="H37" s="228">
        <f>Current_Stock[[#This Row],[Vobanipur opening units]]+Current_Stock[[#This Row],[Ulukhola opening units]]</f>
        <v>18</v>
      </c>
      <c r="I37" s="267">
        <f>VLOOKUP(Current_Stock[[#This Row],[SKU ID]],SKU[[SKU ID]:[Bottle Size(Ltr)]],6,0)*Current_Stock[[#This Row],[Total Opening Unit]]</f>
        <v>21.599999999999998</v>
      </c>
      <c r="J37" s="228">
        <f>VLOOKUP(Current_Stock[[#This Row],[SKU ID]],Stock_year[],((MONTH($B$1)-1)*$C$75)+2+5,0)</f>
        <v>0</v>
      </c>
      <c r="K37" s="228">
        <f>VLOOKUP(Current_Stock[[#This Row],[SKU ID]],Stock_year[],((MONTH($B$1)-1)*$C$75)+2+6,0)</f>
        <v>0</v>
      </c>
      <c r="L37" s="228">
        <f>VLOOKUP(Current_Stock[[#This Row],[SKU ID]],Stock_year[],((MONTH($B$1)-1)*$C$75)+2+7,0)</f>
        <v>0</v>
      </c>
      <c r="M37" s="228">
        <f>Current_Stock[[#This Row],[Vobanipur opening units]]+Current_Stock[[#This Row],[New Arrival Ulukhola]]+Current_Stock[[#This Row],[Ulukhola to vobanipur transfer]]</f>
        <v>18</v>
      </c>
      <c r="N37" s="228">
        <f>Current_Stock[[#This Row],[Ulukhola opening units]]+Current_Stock[[#This Row],[New Arrival Vobanipur]]-Current_Stock[[#This Row],[Ulukhola to vobanipur transfer]]</f>
        <v>0</v>
      </c>
      <c r="O37" s="228">
        <f>Current_Stock[[#This Row],[Vobaipur total]]+Current_Stock[[#This Row],[Ulukhola Current]]</f>
        <v>18</v>
      </c>
      <c r="P37" s="228">
        <f>SUMIFS(Primary_Order[Total Qty],Primary_Order[Date],"&gt;="&amp;DATE(YEAR($B$1),MONTH($B$1),1),Primary_Order[Date],"&lt;="&amp;$B$1,Primary_Order[Status],$A$1,Primary_Order[Product ID],A37,Primary_Order[Status],"&lt;&gt;DMG-Sold")</f>
        <v>2</v>
      </c>
      <c r="Q37" s="228">
        <f>Current_Stock[[#This Row],[Sold Qty(Unit)]]*Current_Stock[[#This Row],[Cost]]</f>
        <v>877.8</v>
      </c>
      <c r="R37" s="228">
        <f>Current_Stock[[#This Row],[Vobaipur total]]-Current_Stock[[#This Row],[Sold Qty(Unit)]]</f>
        <v>16</v>
      </c>
      <c r="S37" s="267">
        <f>Current_Stock[[#This Row],[Vobanipur Current units]]+Current_Stock[[#This Row],[Ulukhola Current]]</f>
        <v>16</v>
      </c>
      <c r="T37" s="267">
        <f>VLOOKUP(Current_Stock[[#This Row],[SKU ID]],SKU[[SKU ID]:[Bottle Size(Ltr)]],6,0)*Current_Stock[[#This Row],[Total Current (Unit)]]</f>
        <v>19.2</v>
      </c>
      <c r="U37" s="267">
        <f>Current_Stock[[#This Row],[Total Current (Unit)]]*Current_Stock[[#This Row],[Cost]]</f>
        <v>7022.4</v>
      </c>
      <c r="V37" s="267">
        <f>FLOOR(Current_Stock[[#This Row],[Total Current (Unit)]]/VLOOKUP(Current_Stock[[#This Row],[SKU ID]],SKU[],5,0),1)</f>
        <v>0</v>
      </c>
      <c r="W37" s="267">
        <f>MOD(Current_Stock[[#This Row],[Total Current (Unit)]],VLOOKUP(Current_Stock[[#This Row],[SKU ID]],SKU[],5,0))</f>
        <v>16</v>
      </c>
      <c r="X37" s="228">
        <f ca="1">VLOOKUP(Current_Stock[[#This Row],[SKU ID]],Stock_year[],((MONTH($B$1)-1)*$C$75)+17,0)</f>
        <v>181</v>
      </c>
      <c r="Y37" s="228">
        <f>SUMIFS(Primary_Order[Total Qty],Primary_Order[Date],"&gt;="&amp;DATE(YEAR($B$1),MONTH($B$1),1),Primary_Order[Date],"&lt;="&amp;$B$1,Primary_Order[Status],"DMG-Sold",Primary_Order[Product ID],A37)</f>
        <v>0</v>
      </c>
      <c r="Z37" s="228">
        <f ca="1">Current_Stock[[#This Row],[Opening Damage Unit]]-Current_Stock[[#This Row],[Damage Sold unit]]</f>
        <v>181</v>
      </c>
      <c r="AA37" s="228">
        <f>Current_Stock[[#This Row],[DP Price]]*Current_Stock[[#This Row],[Total Current (Unit)]]</f>
        <v>10400</v>
      </c>
      <c r="AB37" s="228">
        <f ca="1">Current_Stock[[#This Row],[Total Current (Unit)]]+Current_Stock[[#This Row],[Remaining Damage Unit]]</f>
        <v>197</v>
      </c>
      <c r="AC37" s="228">
        <f ca="1">Current_Stock[[#This Row],[Total Unit with Damage]]*Current_Stock[[#This Row],[Cost]]</f>
        <v>86463.299999999988</v>
      </c>
      <c r="AD37" s="228">
        <f>SUMIFS(Primary_Order[Total Qty],Primary_Order[Date],"&gt;="&amp;DATE(2027,12,1),Primary_Order[Status],$A$1,Primary_Order[Product ID],A37)</f>
        <v>0</v>
      </c>
      <c r="AE37" s="228">
        <f>Current_Stock[[#This Row],[Total Current (Unit)]]-Current_Stock[[#This Row],[Blocked Stock(unit)]]</f>
        <v>16</v>
      </c>
      <c r="AF37" s="228">
        <f>(Current_Stock[[#This Row],[Ageing till Sep''24 (D)]]+($B$1-45566))/30</f>
        <v>13.033333333333333</v>
      </c>
      <c r="AG37" s="228">
        <v>180</v>
      </c>
      <c r="AH37" t="str">
        <f>VLOOKUP(Current_Stock[[#This Row],[SKU ID]],SKU[],12,0)</f>
        <v>10W30</v>
      </c>
      <c r="AI37" t="str">
        <f>VLOOKUP(Current_Stock[[#This Row],[SKU ID]],SKU[],10,0)</f>
        <v>Mineral</v>
      </c>
      <c r="AJ37" s="195">
        <f>VLOOKUP(Current_Stock[[#This Row],[SKU ID]],SKU[[SKU ID]:[Bottle Size(Ltr)]],6,0)*Current_Stock[[#This Row],[Vobanipur Current units]]</f>
        <v>19.2</v>
      </c>
      <c r="AK37" s="195">
        <f ca="1">VLOOKUP(Current_Stock[[#This Row],[SKU ID]],SKU[[SKU ID]:[Bottle Size(Ltr)]],6,0)*Current_Stock[[#This Row],[Remaining Damage Unit]]</f>
        <v>217.2</v>
      </c>
      <c r="AL37" s="195">
        <f>VLOOKUP(Current_Stock[[#This Row],[SKU ID]],SKU[[SKU ID]:[Bottle Size(Ltr)]],6,0)*Current_Stock[[#This Row],[Ulukhola Current]]</f>
        <v>0</v>
      </c>
    </row>
    <row r="38" spans="1:38" x14ac:dyDescent="0.5">
      <c r="A38" s="159" t="s">
        <v>138</v>
      </c>
      <c r="B38" s="159" t="s">
        <v>829</v>
      </c>
      <c r="C38" s="228" t="str">
        <f>VLOOKUP(Current_Stock[[#This Row],[SKU ID]],SKU[],9,0)</f>
        <v>Agri</v>
      </c>
      <c r="D38" s="228">
        <f>VLOOKUP(Current_Stock[[#This Row],[SKU ID]],SKU[],14,0)</f>
        <v>3787.67</v>
      </c>
      <c r="E38" s="228">
        <f>VLOOKUP(Current_Stock[[#This Row],[SKU ID]],SKU[],15,0)</f>
        <v>6100</v>
      </c>
      <c r="F38" s="228">
        <f>VLOOKUP(Current_Stock[[#This Row],[SKU ID]],Stock_year[],((MONTH($B$1)-1)*$C$75)+2+1,0)</f>
        <v>14</v>
      </c>
      <c r="G38" s="228">
        <f>VLOOKUP(Current_Stock[[#This Row],[SKU ID]],Stock_year[],((MONTH($B$1)-1)*$C$75)+2+2,0)</f>
        <v>131</v>
      </c>
      <c r="H38" s="228">
        <f>Current_Stock[[#This Row],[Vobanipur opening units]]+Current_Stock[[#This Row],[Ulukhola opening units]]</f>
        <v>145</v>
      </c>
      <c r="I38" s="267">
        <f>VLOOKUP(Current_Stock[[#This Row],[SKU ID]],SKU[[SKU ID]:[Bottle Size(Ltr)]],6,0)*Current_Stock[[#This Row],[Total Opening Unit]]</f>
        <v>1450</v>
      </c>
      <c r="J38" s="228">
        <f>VLOOKUP(Current_Stock[[#This Row],[SKU ID]],Stock_year[],((MONTH($B$1)-1)*$C$75)+2+5,0)</f>
        <v>131</v>
      </c>
      <c r="K38" s="228">
        <f>VLOOKUP(Current_Stock[[#This Row],[SKU ID]],Stock_year[],((MONTH($B$1)-1)*$C$75)+2+6,0)</f>
        <v>0</v>
      </c>
      <c r="L38" s="228">
        <f>VLOOKUP(Current_Stock[[#This Row],[SKU ID]],Stock_year[],((MONTH($B$1)-1)*$C$75)+2+7,0)</f>
        <v>0</v>
      </c>
      <c r="M38" s="228">
        <f>Current_Stock[[#This Row],[Vobanipur opening units]]+Current_Stock[[#This Row],[New Arrival Ulukhola]]+Current_Stock[[#This Row],[Ulukhola to vobanipur transfer]]</f>
        <v>145</v>
      </c>
      <c r="N38" s="228">
        <f>Current_Stock[[#This Row],[Ulukhola opening units]]+Current_Stock[[#This Row],[New Arrival Vobanipur]]-Current_Stock[[#This Row],[Ulukhola to vobanipur transfer]]</f>
        <v>0</v>
      </c>
      <c r="O38" s="228">
        <f>Current_Stock[[#This Row],[Vobaipur total]]+Current_Stock[[#This Row],[Ulukhola Current]]</f>
        <v>145</v>
      </c>
      <c r="P38" s="228">
        <f>SUMIFS(Primary_Order[Total Qty],Primary_Order[Date],"&gt;="&amp;DATE(YEAR($B$1),MONTH($B$1),1),Primary_Order[Date],"&lt;="&amp;$B$1,Primary_Order[Status],$A$1,Primary_Order[Product ID],A38,Primary_Order[Status],"&lt;&gt;DMG-Sold")</f>
        <v>144</v>
      </c>
      <c r="Q38" s="228">
        <f>Current_Stock[[#This Row],[Sold Qty(Unit)]]*Current_Stock[[#This Row],[Cost]]</f>
        <v>545424.48</v>
      </c>
      <c r="R38" s="228">
        <f>Current_Stock[[#This Row],[Vobaipur total]]-Current_Stock[[#This Row],[Sold Qty(Unit)]]</f>
        <v>1</v>
      </c>
      <c r="S38" s="267">
        <f>Current_Stock[[#This Row],[Vobanipur Current units]]+Current_Stock[[#This Row],[Ulukhola Current]]</f>
        <v>1</v>
      </c>
      <c r="T38" s="267">
        <f>VLOOKUP(Current_Stock[[#This Row],[SKU ID]],SKU[[SKU ID]:[Bottle Size(Ltr)]],6,0)*Current_Stock[[#This Row],[Total Current (Unit)]]</f>
        <v>10</v>
      </c>
      <c r="U38" s="267">
        <f>Current_Stock[[#This Row],[Total Current (Unit)]]*Current_Stock[[#This Row],[Cost]]</f>
        <v>3787.67</v>
      </c>
      <c r="V38" s="267">
        <f>FLOOR(Current_Stock[[#This Row],[Total Current (Unit)]]/VLOOKUP(Current_Stock[[#This Row],[SKU ID]],SKU[],5,0),1)</f>
        <v>1</v>
      </c>
      <c r="W38" s="267">
        <f>MOD(Current_Stock[[#This Row],[Total Current (Unit)]],VLOOKUP(Current_Stock[[#This Row],[SKU ID]],SKU[],5,0))</f>
        <v>0</v>
      </c>
      <c r="X38" s="228">
        <f ca="1">VLOOKUP(Current_Stock[[#This Row],[SKU ID]],Stock_year[],((MONTH($B$1)-1)*$C$75)+17,0)</f>
        <v>0</v>
      </c>
      <c r="Y38" s="228">
        <f>SUMIFS(Primary_Order[Total Qty],Primary_Order[Date],"&gt;="&amp;DATE(YEAR($B$1),MONTH($B$1),1),Primary_Order[Date],"&lt;="&amp;$B$1,Primary_Order[Status],"DMG-Sold",Primary_Order[Product ID],A38)</f>
        <v>0</v>
      </c>
      <c r="Z38" s="228">
        <f ca="1">Current_Stock[[#This Row],[Opening Damage Unit]]-Current_Stock[[#This Row],[Damage Sold unit]]</f>
        <v>0</v>
      </c>
      <c r="AA38" s="228">
        <f>Current_Stock[[#This Row],[DP Price]]*Current_Stock[[#This Row],[Total Current (Unit)]]</f>
        <v>6100</v>
      </c>
      <c r="AB38" s="228">
        <f ca="1">Current_Stock[[#This Row],[Total Current (Unit)]]+Current_Stock[[#This Row],[Remaining Damage Unit]]</f>
        <v>1</v>
      </c>
      <c r="AC38" s="228">
        <f ca="1">Current_Stock[[#This Row],[Total Unit with Damage]]*Current_Stock[[#This Row],[Cost]]</f>
        <v>3787.67</v>
      </c>
      <c r="AD38" s="228">
        <f>SUMIFS(Primary_Order[Total Qty],Primary_Order[Date],"&gt;="&amp;DATE(2027,12,1),Primary_Order[Status],$A$1,Primary_Order[Product ID],A38)</f>
        <v>0</v>
      </c>
      <c r="AE38" s="228">
        <f>Current_Stock[[#This Row],[Total Current (Unit)]]-Current_Stock[[#This Row],[Blocked Stock(unit)]]</f>
        <v>1</v>
      </c>
      <c r="AF38" s="228">
        <f>(Current_Stock[[#This Row],[Ageing till Sep''24 (D)]]+($B$1-45566))/30</f>
        <v>7.0333333333333332</v>
      </c>
      <c r="AG38" s="228">
        <v>0</v>
      </c>
      <c r="AH38" t="str">
        <f>VLOOKUP(Current_Stock[[#This Row],[SKU ID]],SKU[],12,0)</f>
        <v>15W40</v>
      </c>
      <c r="AI38" t="str">
        <f>VLOOKUP(Current_Stock[[#This Row],[SKU ID]],SKU[],10,0)</f>
        <v>Mineral</v>
      </c>
      <c r="AJ38" s="195">
        <f>VLOOKUP(Current_Stock[[#This Row],[SKU ID]],SKU[[SKU ID]:[Bottle Size(Ltr)]],6,0)*Current_Stock[[#This Row],[Vobanipur Current units]]</f>
        <v>10</v>
      </c>
      <c r="AK38" s="195">
        <f ca="1">VLOOKUP(Current_Stock[[#This Row],[SKU ID]],SKU[[SKU ID]:[Bottle Size(Ltr)]],6,0)*Current_Stock[[#This Row],[Remaining Damage Unit]]</f>
        <v>0</v>
      </c>
      <c r="AL38" s="195">
        <f>VLOOKUP(Current_Stock[[#This Row],[SKU ID]],SKU[[SKU ID]:[Bottle Size(Ltr)]],6,0)*Current_Stock[[#This Row],[Ulukhola Current]]</f>
        <v>0</v>
      </c>
    </row>
    <row r="39" spans="1:38" x14ac:dyDescent="0.5">
      <c r="A39" s="159" t="s">
        <v>137</v>
      </c>
      <c r="B39" s="159" t="s">
        <v>828</v>
      </c>
      <c r="C39" s="228" t="str">
        <f>VLOOKUP(Current_Stock[[#This Row],[SKU ID]],SKU[],9,0)</f>
        <v>Agri</v>
      </c>
      <c r="D39" s="228">
        <f>VLOOKUP(Current_Stock[[#This Row],[SKU ID]],SKU[],14,0)</f>
        <v>2907.76</v>
      </c>
      <c r="E39" s="228">
        <f>VLOOKUP(Current_Stock[[#This Row],[SKU ID]],SKU[],15,0)</f>
        <v>4613</v>
      </c>
      <c r="F39" s="228">
        <f>VLOOKUP(Current_Stock[[#This Row],[SKU ID]],Stock_year[],((MONTH($B$1)-1)*$C$75)+2+1,0)</f>
        <v>37</v>
      </c>
      <c r="G39" s="228">
        <f>VLOOKUP(Current_Stock[[#This Row],[SKU ID]],Stock_year[],((MONTH($B$1)-1)*$C$75)+2+2,0)</f>
        <v>36</v>
      </c>
      <c r="H39" s="228">
        <f>Current_Stock[[#This Row],[Vobanipur opening units]]+Current_Stock[[#This Row],[Ulukhola opening units]]</f>
        <v>73</v>
      </c>
      <c r="I39" s="267">
        <f>VLOOKUP(Current_Stock[[#This Row],[SKU ID]],SKU[[SKU ID]:[Bottle Size(Ltr)]],6,0)*Current_Stock[[#This Row],[Total Opening Unit]]</f>
        <v>547.5</v>
      </c>
      <c r="J39" s="228">
        <f>VLOOKUP(Current_Stock[[#This Row],[SKU ID]],Stock_year[],((MONTH($B$1)-1)*$C$75)+2+5,0)</f>
        <v>36</v>
      </c>
      <c r="K39" s="228">
        <f>VLOOKUP(Current_Stock[[#This Row],[SKU ID]],Stock_year[],((MONTH($B$1)-1)*$C$75)+2+6,0)</f>
        <v>0</v>
      </c>
      <c r="L39" s="228">
        <f>VLOOKUP(Current_Stock[[#This Row],[SKU ID]],Stock_year[],((MONTH($B$1)-1)*$C$75)+2+7,0)</f>
        <v>0</v>
      </c>
      <c r="M39" s="228">
        <f>Current_Stock[[#This Row],[Vobanipur opening units]]+Current_Stock[[#This Row],[New Arrival Ulukhola]]+Current_Stock[[#This Row],[Ulukhola to vobanipur transfer]]</f>
        <v>73</v>
      </c>
      <c r="N39" s="228">
        <f>Current_Stock[[#This Row],[Ulukhola opening units]]+Current_Stock[[#This Row],[New Arrival Vobanipur]]-Current_Stock[[#This Row],[Ulukhola to vobanipur transfer]]</f>
        <v>0</v>
      </c>
      <c r="O39" s="228">
        <f>Current_Stock[[#This Row],[Vobaipur total]]+Current_Stock[[#This Row],[Ulukhola Current]]</f>
        <v>73</v>
      </c>
      <c r="P39" s="228">
        <f>SUMIFS(Primary_Order[Total Qty],Primary_Order[Date],"&gt;="&amp;DATE(YEAR($B$1),MONTH($B$1),1),Primary_Order[Date],"&lt;="&amp;$B$1,Primary_Order[Status],$A$1,Primary_Order[Product ID],A39,Primary_Order[Status],"&lt;&gt;DMG-Sold")</f>
        <v>72</v>
      </c>
      <c r="Q39" s="228">
        <f>Current_Stock[[#This Row],[Sold Qty(Unit)]]*Current_Stock[[#This Row],[Cost]]</f>
        <v>209358.72000000003</v>
      </c>
      <c r="R39" s="228">
        <f>Current_Stock[[#This Row],[Vobaipur total]]-Current_Stock[[#This Row],[Sold Qty(Unit)]]</f>
        <v>1</v>
      </c>
      <c r="S39" s="267">
        <f>Current_Stock[[#This Row],[Vobanipur Current units]]+Current_Stock[[#This Row],[Ulukhola Current]]</f>
        <v>1</v>
      </c>
      <c r="T39" s="267">
        <f>VLOOKUP(Current_Stock[[#This Row],[SKU ID]],SKU[[SKU ID]:[Bottle Size(Ltr)]],6,0)*Current_Stock[[#This Row],[Total Current (Unit)]]</f>
        <v>7.5</v>
      </c>
      <c r="U39" s="267">
        <f>Current_Stock[[#This Row],[Total Current (Unit)]]*Current_Stock[[#This Row],[Cost]]</f>
        <v>2907.76</v>
      </c>
      <c r="V39" s="267">
        <f>FLOOR(Current_Stock[[#This Row],[Total Current (Unit)]]/VLOOKUP(Current_Stock[[#This Row],[SKU ID]],SKU[],5,0),1)</f>
        <v>1</v>
      </c>
      <c r="W39" s="267">
        <f>MOD(Current_Stock[[#This Row],[Total Current (Unit)]],VLOOKUP(Current_Stock[[#This Row],[SKU ID]],SKU[],5,0))</f>
        <v>0</v>
      </c>
      <c r="X39" s="228">
        <f ca="1">VLOOKUP(Current_Stock[[#This Row],[SKU ID]],Stock_year[],((MONTH($B$1)-1)*$C$75)+17,0)</f>
        <v>0</v>
      </c>
      <c r="Y39" s="228">
        <f>SUMIFS(Primary_Order[Total Qty],Primary_Order[Date],"&gt;="&amp;DATE(YEAR($B$1),MONTH($B$1),1),Primary_Order[Date],"&lt;="&amp;$B$1,Primary_Order[Status],"DMG-Sold",Primary_Order[Product ID],A39)</f>
        <v>0</v>
      </c>
      <c r="Z39" s="228">
        <f ca="1">Current_Stock[[#This Row],[Opening Damage Unit]]-Current_Stock[[#This Row],[Damage Sold unit]]</f>
        <v>0</v>
      </c>
      <c r="AA39" s="228">
        <f>Current_Stock[[#This Row],[DP Price]]*Current_Stock[[#This Row],[Total Current (Unit)]]</f>
        <v>4613</v>
      </c>
      <c r="AB39" s="228">
        <f ca="1">Current_Stock[[#This Row],[Total Current (Unit)]]+Current_Stock[[#This Row],[Remaining Damage Unit]]</f>
        <v>1</v>
      </c>
      <c r="AC39" s="228">
        <f ca="1">Current_Stock[[#This Row],[Total Unit with Damage]]*Current_Stock[[#This Row],[Cost]]</f>
        <v>2907.76</v>
      </c>
      <c r="AD39" s="228">
        <f>SUMIFS(Primary_Order[Total Qty],Primary_Order[Date],"&gt;="&amp;DATE(2027,12,1),Primary_Order[Status],$A$1,Primary_Order[Product ID],A39)</f>
        <v>0</v>
      </c>
      <c r="AE39" s="228">
        <f>Current_Stock[[#This Row],[Total Current (Unit)]]-Current_Stock[[#This Row],[Blocked Stock(unit)]]</f>
        <v>1</v>
      </c>
      <c r="AF39" s="228">
        <f>(Current_Stock[[#This Row],[Ageing till Sep''24 (D)]]+($B$1-45566))/30</f>
        <v>7.0333333333333332</v>
      </c>
      <c r="AG39" s="228">
        <v>0</v>
      </c>
      <c r="AH39" t="str">
        <f>VLOOKUP(Current_Stock[[#This Row],[SKU ID]],SKU[],12,0)</f>
        <v>15W40</v>
      </c>
      <c r="AI39" t="str">
        <f>VLOOKUP(Current_Stock[[#This Row],[SKU ID]],SKU[],10,0)</f>
        <v>Mineral</v>
      </c>
      <c r="AJ39" s="195">
        <f>VLOOKUP(Current_Stock[[#This Row],[SKU ID]],SKU[[SKU ID]:[Bottle Size(Ltr)]],6,0)*Current_Stock[[#This Row],[Vobanipur Current units]]</f>
        <v>7.5</v>
      </c>
      <c r="AK39" s="195">
        <f ca="1">VLOOKUP(Current_Stock[[#This Row],[SKU ID]],SKU[[SKU ID]:[Bottle Size(Ltr)]],6,0)*Current_Stock[[#This Row],[Remaining Damage Unit]]</f>
        <v>0</v>
      </c>
      <c r="AL39" s="195">
        <f>VLOOKUP(Current_Stock[[#This Row],[SKU ID]],SKU[[SKU ID]:[Bottle Size(Ltr)]],6,0)*Current_Stock[[#This Row],[Ulukhola Current]]</f>
        <v>0</v>
      </c>
    </row>
    <row r="40" spans="1:38" x14ac:dyDescent="0.5">
      <c r="A40" s="159" t="s">
        <v>43</v>
      </c>
      <c r="B40" s="159" t="s">
        <v>807</v>
      </c>
      <c r="C40" s="228" t="str">
        <f>VLOOKUP(Current_Stock[[#This Row],[SKU ID]],SKU[],9,0)</f>
        <v>MCO</v>
      </c>
      <c r="D40" s="228">
        <f>VLOOKUP(Current_Stock[[#This Row],[SKU ID]],SKU[],14,0)</f>
        <v>777.3</v>
      </c>
      <c r="E40" s="228">
        <f>VLOOKUP(Current_Stock[[#This Row],[SKU ID]],SKU[],15,0)</f>
        <v>1295</v>
      </c>
      <c r="F40" s="228">
        <f>VLOOKUP(Current_Stock[[#This Row],[SKU ID]],Stock_year[],((MONTH($B$1)-1)*$C$75)+2+1,0)</f>
        <v>522</v>
      </c>
      <c r="G40" s="228">
        <f>VLOOKUP(Current_Stock[[#This Row],[SKU ID]],Stock_year[],((MONTH($B$1)-1)*$C$75)+2+2,0)</f>
        <v>0</v>
      </c>
      <c r="H40" s="228">
        <f>Current_Stock[[#This Row],[Vobanipur opening units]]+Current_Stock[[#This Row],[Ulukhola opening units]]</f>
        <v>522</v>
      </c>
      <c r="I40" s="267">
        <f>VLOOKUP(Current_Stock[[#This Row],[SKU ID]],SKU[[SKU ID]:[Bottle Size(Ltr)]],6,0)*Current_Stock[[#This Row],[Total Opening Unit]]</f>
        <v>626.4</v>
      </c>
      <c r="J40" s="228">
        <f>VLOOKUP(Current_Stock[[#This Row],[SKU ID]],Stock_year[],((MONTH($B$1)-1)*$C$75)+2+5,0)</f>
        <v>0</v>
      </c>
      <c r="K40" s="228">
        <f>VLOOKUP(Current_Stock[[#This Row],[SKU ID]],Stock_year[],((MONTH($B$1)-1)*$C$75)+2+6,0)</f>
        <v>0</v>
      </c>
      <c r="L40" s="228">
        <f>VLOOKUP(Current_Stock[[#This Row],[SKU ID]],Stock_year[],((MONTH($B$1)-1)*$C$75)+2+7,0)</f>
        <v>0</v>
      </c>
      <c r="M40" s="228">
        <f>Current_Stock[[#This Row],[Vobanipur opening units]]+Current_Stock[[#This Row],[New Arrival Ulukhola]]+Current_Stock[[#This Row],[Ulukhola to vobanipur transfer]]</f>
        <v>522</v>
      </c>
      <c r="N40" s="228">
        <f>Current_Stock[[#This Row],[Ulukhola opening units]]+Current_Stock[[#This Row],[New Arrival Vobanipur]]-Current_Stock[[#This Row],[Ulukhola to vobanipur transfer]]</f>
        <v>0</v>
      </c>
      <c r="O40" s="228">
        <f>Current_Stock[[#This Row],[Vobaipur total]]+Current_Stock[[#This Row],[Ulukhola Current]]</f>
        <v>522</v>
      </c>
      <c r="P40" s="228">
        <f>SUMIFS(Primary_Order[Total Qty],Primary_Order[Date],"&gt;="&amp;DATE(YEAR($B$1),MONTH($B$1),1),Primary_Order[Date],"&lt;="&amp;$B$1,Primary_Order[Status],$A$1,Primary_Order[Product ID],A40,Primary_Order[Status],"&lt;&gt;DMG-Sold")</f>
        <v>516</v>
      </c>
      <c r="Q40" s="228">
        <f>Current_Stock[[#This Row],[Sold Qty(Unit)]]*Current_Stock[[#This Row],[Cost]]</f>
        <v>401086.8</v>
      </c>
      <c r="R40" s="228">
        <f>Current_Stock[[#This Row],[Vobaipur total]]-Current_Stock[[#This Row],[Sold Qty(Unit)]]</f>
        <v>6</v>
      </c>
      <c r="S40" s="267">
        <f>Current_Stock[[#This Row],[Vobanipur Current units]]+Current_Stock[[#This Row],[Ulukhola Current]]</f>
        <v>6</v>
      </c>
      <c r="T40" s="267">
        <f>VLOOKUP(Current_Stock[[#This Row],[SKU ID]],SKU[[SKU ID]:[Bottle Size(Ltr)]],6,0)*Current_Stock[[#This Row],[Total Current (Unit)]]</f>
        <v>7.1999999999999993</v>
      </c>
      <c r="U40" s="267">
        <f>Current_Stock[[#This Row],[Total Current (Unit)]]*Current_Stock[[#This Row],[Cost]]</f>
        <v>4663.7999999999993</v>
      </c>
      <c r="V40" s="267">
        <f>FLOOR(Current_Stock[[#This Row],[Total Current (Unit)]]/VLOOKUP(Current_Stock[[#This Row],[SKU ID]],SKU[],5,0),1)</f>
        <v>0</v>
      </c>
      <c r="W40" s="267">
        <f>MOD(Current_Stock[[#This Row],[Total Current (Unit)]],VLOOKUP(Current_Stock[[#This Row],[SKU ID]],SKU[],5,0))</f>
        <v>6</v>
      </c>
      <c r="X40" s="228">
        <f ca="1">VLOOKUP(Current_Stock[[#This Row],[SKU ID]],Stock_year[],((MONTH($B$1)-1)*$C$75)+17,0)</f>
        <v>256</v>
      </c>
      <c r="Y40" s="228">
        <f>SUMIFS(Primary_Order[Total Qty],Primary_Order[Date],"&gt;="&amp;DATE(YEAR($B$1),MONTH($B$1),1),Primary_Order[Date],"&lt;="&amp;$B$1,Primary_Order[Status],"DMG-Sold",Primary_Order[Product ID],A40)</f>
        <v>0</v>
      </c>
      <c r="Z40" s="228">
        <f ca="1">Current_Stock[[#This Row],[Opening Damage Unit]]-Current_Stock[[#This Row],[Damage Sold unit]]</f>
        <v>256</v>
      </c>
      <c r="AA40" s="228">
        <f>Current_Stock[[#This Row],[DP Price]]*Current_Stock[[#This Row],[Total Current (Unit)]]</f>
        <v>7770</v>
      </c>
      <c r="AB40" s="228">
        <f ca="1">Current_Stock[[#This Row],[Total Current (Unit)]]+Current_Stock[[#This Row],[Remaining Damage Unit]]</f>
        <v>262</v>
      </c>
      <c r="AC40" s="228">
        <f ca="1">Current_Stock[[#This Row],[Total Unit with Damage]]*Current_Stock[[#This Row],[Cost]]</f>
        <v>203652.59999999998</v>
      </c>
      <c r="AD40" s="228">
        <f>SUMIFS(Primary_Order[Total Qty],Primary_Order[Date],"&gt;="&amp;DATE(2027,12,1),Primary_Order[Status],$A$1,Primary_Order[Product ID],A40)</f>
        <v>0</v>
      </c>
      <c r="AE40" s="228">
        <f>Current_Stock[[#This Row],[Total Current (Unit)]]-Current_Stock[[#This Row],[Blocked Stock(unit)]]</f>
        <v>6</v>
      </c>
      <c r="AF40" s="228">
        <f>(Current_Stock[[#This Row],[Ageing till Sep''24 (D)]]+($B$1-45566))/30</f>
        <v>9.7550947569496813</v>
      </c>
      <c r="AG40" s="228">
        <v>81.652842708490425</v>
      </c>
      <c r="AH40" t="str">
        <f>VLOOKUP(Current_Stock[[#This Row],[SKU ID]],SKU[],12,0)</f>
        <v>10W30</v>
      </c>
      <c r="AI40" t="str">
        <f>VLOOKUP(Current_Stock[[#This Row],[SKU ID]],SKU[],10,0)</f>
        <v>Synthetic</v>
      </c>
      <c r="AJ40" s="195">
        <f>VLOOKUP(Current_Stock[[#This Row],[SKU ID]],SKU[[SKU ID]:[Bottle Size(Ltr)]],6,0)*Current_Stock[[#This Row],[Vobanipur Current units]]</f>
        <v>7.1999999999999993</v>
      </c>
      <c r="AK40" s="195">
        <f ca="1">VLOOKUP(Current_Stock[[#This Row],[SKU ID]],SKU[[SKU ID]:[Bottle Size(Ltr)]],6,0)*Current_Stock[[#This Row],[Remaining Damage Unit]]</f>
        <v>307.2</v>
      </c>
      <c r="AL40" s="195">
        <f>VLOOKUP(Current_Stock[[#This Row],[SKU ID]],SKU[[SKU ID]:[Bottle Size(Ltr)]],6,0)*Current_Stock[[#This Row],[Ulukhola Current]]</f>
        <v>0</v>
      </c>
    </row>
    <row r="41" spans="1:38" x14ac:dyDescent="0.5">
      <c r="A41" s="159" t="s">
        <v>48</v>
      </c>
      <c r="B41" s="159" t="s">
        <v>802</v>
      </c>
      <c r="C41" s="228" t="str">
        <f>VLOOKUP(Current_Stock[[#This Row],[SKU ID]],SKU[],9,0)</f>
        <v>MCO</v>
      </c>
      <c r="D41" s="228">
        <f>VLOOKUP(Current_Stock[[#This Row],[SKU ID]],SKU[],14,0)</f>
        <v>359.57</v>
      </c>
      <c r="E41" s="228">
        <f>VLOOKUP(Current_Stock[[#This Row],[SKU ID]],SKU[],15,0)</f>
        <v>565</v>
      </c>
      <c r="F41" s="228">
        <f>VLOOKUP(Current_Stock[[#This Row],[SKU ID]],Stock_year[],((MONTH($B$1)-1)*$C$75)+2+1,0)</f>
        <v>231</v>
      </c>
      <c r="G41" s="228">
        <f>VLOOKUP(Current_Stock[[#This Row],[SKU ID]],Stock_year[],((MONTH($B$1)-1)*$C$75)+2+2,0)</f>
        <v>0</v>
      </c>
      <c r="H41" s="228">
        <f>Current_Stock[[#This Row],[Vobanipur opening units]]+Current_Stock[[#This Row],[Ulukhola opening units]]</f>
        <v>231</v>
      </c>
      <c r="I41" s="267">
        <f>VLOOKUP(Current_Stock[[#This Row],[SKU ID]],SKU[[SKU ID]:[Bottle Size(Ltr)]],6,0)*Current_Stock[[#This Row],[Total Opening Unit]]</f>
        <v>231</v>
      </c>
      <c r="J41" s="228">
        <f>VLOOKUP(Current_Stock[[#This Row],[SKU ID]],Stock_year[],((MONTH($B$1)-1)*$C$75)+2+5,0)</f>
        <v>0</v>
      </c>
      <c r="K41" s="228">
        <f>VLOOKUP(Current_Stock[[#This Row],[SKU ID]],Stock_year[],((MONTH($B$1)-1)*$C$75)+2+6,0)</f>
        <v>0</v>
      </c>
      <c r="L41" s="228">
        <f>VLOOKUP(Current_Stock[[#This Row],[SKU ID]],Stock_year[],((MONTH($B$1)-1)*$C$75)+2+7,0)</f>
        <v>0</v>
      </c>
      <c r="M41" s="228">
        <f>Current_Stock[[#This Row],[Vobanipur opening units]]+Current_Stock[[#This Row],[New Arrival Ulukhola]]+Current_Stock[[#This Row],[Ulukhola to vobanipur transfer]]</f>
        <v>231</v>
      </c>
      <c r="N41" s="228">
        <f>Current_Stock[[#This Row],[Ulukhola opening units]]+Current_Stock[[#This Row],[New Arrival Vobanipur]]-Current_Stock[[#This Row],[Ulukhola to vobanipur transfer]]</f>
        <v>0</v>
      </c>
      <c r="O41" s="228">
        <f>Current_Stock[[#This Row],[Vobaipur total]]+Current_Stock[[#This Row],[Ulukhola Current]]</f>
        <v>231</v>
      </c>
      <c r="P41" s="228">
        <f>SUMIFS(Primary_Order[Total Qty],Primary_Order[Date],"&gt;="&amp;DATE(YEAR($B$1),MONTH($B$1),1),Primary_Order[Date],"&lt;="&amp;$B$1,Primary_Order[Status],$A$1,Primary_Order[Product ID],A41,Primary_Order[Status],"&lt;&gt;DMG-Sold")</f>
        <v>230</v>
      </c>
      <c r="Q41" s="228">
        <f>Current_Stock[[#This Row],[Sold Qty(Unit)]]*Current_Stock[[#This Row],[Cost]]</f>
        <v>82701.099999999991</v>
      </c>
      <c r="R41" s="228">
        <f>Current_Stock[[#This Row],[Vobaipur total]]-Current_Stock[[#This Row],[Sold Qty(Unit)]]</f>
        <v>1</v>
      </c>
      <c r="S41" s="267">
        <f>Current_Stock[[#This Row],[Vobanipur Current units]]+Current_Stock[[#This Row],[Ulukhola Current]]</f>
        <v>1</v>
      </c>
      <c r="T41" s="267">
        <f>VLOOKUP(Current_Stock[[#This Row],[SKU ID]],SKU[[SKU ID]:[Bottle Size(Ltr)]],6,0)*Current_Stock[[#This Row],[Total Current (Unit)]]</f>
        <v>1</v>
      </c>
      <c r="U41" s="267">
        <f>Current_Stock[[#This Row],[Total Current (Unit)]]*Current_Stock[[#This Row],[Cost]]</f>
        <v>359.57</v>
      </c>
      <c r="V41" s="267">
        <f>FLOOR(Current_Stock[[#This Row],[Total Current (Unit)]]/VLOOKUP(Current_Stock[[#This Row],[SKU ID]],SKU[],5,0),1)</f>
        <v>0</v>
      </c>
      <c r="W41" s="267">
        <f>MOD(Current_Stock[[#This Row],[Total Current (Unit)]],VLOOKUP(Current_Stock[[#This Row],[SKU ID]],SKU[],5,0))</f>
        <v>1</v>
      </c>
      <c r="X41" s="228">
        <f ca="1">VLOOKUP(Current_Stock[[#This Row],[SKU ID]],Stock_year[],((MONTH($B$1)-1)*$C$75)+17,0)</f>
        <v>265</v>
      </c>
      <c r="Y41" s="228">
        <f>SUMIFS(Primary_Order[Total Qty],Primary_Order[Date],"&gt;="&amp;DATE(YEAR($B$1),MONTH($B$1),1),Primary_Order[Date],"&lt;="&amp;$B$1,Primary_Order[Status],"DMG-Sold",Primary_Order[Product ID],A41)</f>
        <v>0</v>
      </c>
      <c r="Z41" s="228">
        <f ca="1">Current_Stock[[#This Row],[Opening Damage Unit]]-Current_Stock[[#This Row],[Damage Sold unit]]</f>
        <v>265</v>
      </c>
      <c r="AA41" s="228">
        <f>Current_Stock[[#This Row],[DP Price]]*Current_Stock[[#This Row],[Total Current (Unit)]]</f>
        <v>565</v>
      </c>
      <c r="AB41" s="228">
        <f ca="1">Current_Stock[[#This Row],[Total Current (Unit)]]+Current_Stock[[#This Row],[Remaining Damage Unit]]</f>
        <v>266</v>
      </c>
      <c r="AC41" s="228">
        <f ca="1">Current_Stock[[#This Row],[Total Unit with Damage]]*Current_Stock[[#This Row],[Cost]]</f>
        <v>95645.62</v>
      </c>
      <c r="AD41" s="228">
        <f>SUMIFS(Primary_Order[Total Qty],Primary_Order[Date],"&gt;="&amp;DATE(2027,12,1),Primary_Order[Status],$A$1,Primary_Order[Product ID],A41)</f>
        <v>0</v>
      </c>
      <c r="AE41" s="228">
        <f>Current_Stock[[#This Row],[Total Current (Unit)]]-Current_Stock[[#This Row],[Blocked Stock(unit)]]</f>
        <v>1</v>
      </c>
      <c r="AF41" s="228">
        <f>(Current_Stock[[#This Row],[Ageing till Sep''24 (D)]]+($B$1-45566))/30</f>
        <v>13.033333333333333</v>
      </c>
      <c r="AG41" s="228">
        <v>180</v>
      </c>
      <c r="AH41" t="str">
        <f>VLOOKUP(Current_Stock[[#This Row],[SKU ID]],SKU[],12,0)</f>
        <v>20W40</v>
      </c>
      <c r="AI41" t="str">
        <f>VLOOKUP(Current_Stock[[#This Row],[SKU ID]],SKU[],10,0)</f>
        <v>Mineral</v>
      </c>
      <c r="AJ41" s="195">
        <f>VLOOKUP(Current_Stock[[#This Row],[SKU ID]],SKU[[SKU ID]:[Bottle Size(Ltr)]],6,0)*Current_Stock[[#This Row],[Vobanipur Current units]]</f>
        <v>1</v>
      </c>
      <c r="AK41" s="195">
        <f ca="1">VLOOKUP(Current_Stock[[#This Row],[SKU ID]],SKU[[SKU ID]:[Bottle Size(Ltr)]],6,0)*Current_Stock[[#This Row],[Remaining Damage Unit]]</f>
        <v>265</v>
      </c>
      <c r="AL41" s="195">
        <f>VLOOKUP(Current_Stock[[#This Row],[SKU ID]],SKU[[SKU ID]:[Bottle Size(Ltr)]],6,0)*Current_Stock[[#This Row],[Ulukhola Current]]</f>
        <v>0</v>
      </c>
    </row>
    <row r="42" spans="1:38" x14ac:dyDescent="0.5">
      <c r="A42" s="159" t="s">
        <v>372</v>
      </c>
      <c r="B42" s="159" t="s">
        <v>831</v>
      </c>
      <c r="C42" s="228" t="str">
        <f>VLOOKUP(Current_Stock[[#This Row],[SKU ID]],SKU[],9,0)</f>
        <v>Care Products</v>
      </c>
      <c r="D42" s="228">
        <f>VLOOKUP(Current_Stock[[#This Row],[SKU ID]],SKU[],14,0)</f>
        <v>423.95</v>
      </c>
      <c r="E42" s="228">
        <f>VLOOKUP(Current_Stock[[#This Row],[SKU ID]],SKU[],15,0)</f>
        <v>552.5</v>
      </c>
      <c r="F42" s="228">
        <f>VLOOKUP(Current_Stock[[#This Row],[SKU ID]],Stock_year[],((MONTH($B$1)-1)*$C$75)+2+1,0)</f>
        <v>2</v>
      </c>
      <c r="G42" s="228">
        <f>VLOOKUP(Current_Stock[[#This Row],[SKU ID]],Stock_year[],((MONTH($B$1)-1)*$C$75)+2+2,0)</f>
        <v>0</v>
      </c>
      <c r="H42" s="228">
        <f>Current_Stock[[#This Row],[Vobanipur opening units]]+Current_Stock[[#This Row],[Ulukhola opening units]]</f>
        <v>2</v>
      </c>
      <c r="I42" s="267">
        <f>VLOOKUP(Current_Stock[[#This Row],[SKU ID]],SKU[[SKU ID]:[Bottle Size(Ltr)]],6,0)*Current_Stock[[#This Row],[Total Opening Unit]]</f>
        <v>0.8</v>
      </c>
      <c r="J42" s="228">
        <f>VLOOKUP(Current_Stock[[#This Row],[SKU ID]],Stock_year[],((MONTH($B$1)-1)*$C$75)+2+5,0)</f>
        <v>0</v>
      </c>
      <c r="K42" s="228">
        <f>VLOOKUP(Current_Stock[[#This Row],[SKU ID]],Stock_year[],((MONTH($B$1)-1)*$C$75)+2+6,0)</f>
        <v>0</v>
      </c>
      <c r="L42" s="228">
        <f>VLOOKUP(Current_Stock[[#This Row],[SKU ID]],Stock_year[],((MONTH($B$1)-1)*$C$75)+2+7,0)</f>
        <v>0</v>
      </c>
      <c r="M42" s="228">
        <f>Current_Stock[[#This Row],[Vobanipur opening units]]+Current_Stock[[#This Row],[New Arrival Ulukhola]]+Current_Stock[[#This Row],[Ulukhola to vobanipur transfer]]</f>
        <v>2</v>
      </c>
      <c r="N42" s="228">
        <f>Current_Stock[[#This Row],[Ulukhola opening units]]+Current_Stock[[#This Row],[New Arrival Vobanipur]]-Current_Stock[[#This Row],[Ulukhola to vobanipur transfer]]</f>
        <v>0</v>
      </c>
      <c r="O42" s="228">
        <f>Current_Stock[[#This Row],[Vobaipur total]]+Current_Stock[[#This Row],[Ulukhola Current]]</f>
        <v>2</v>
      </c>
      <c r="P42" s="228">
        <f>SUMIFS(Primary_Order[Total Qty],Primary_Order[Date],"&gt;="&amp;DATE(YEAR($B$1),MONTH($B$1),1),Primary_Order[Date],"&lt;="&amp;$B$1,Primary_Order[Status],$A$1,Primary_Order[Product ID],A42,Primary_Order[Status],"&lt;&gt;DMG-Sold")</f>
        <v>0</v>
      </c>
      <c r="Q42" s="228">
        <f>Current_Stock[[#This Row],[Sold Qty(Unit)]]*Current_Stock[[#This Row],[Cost]]</f>
        <v>0</v>
      </c>
      <c r="R42" s="228">
        <f>Current_Stock[[#This Row],[Vobaipur total]]-Current_Stock[[#This Row],[Sold Qty(Unit)]]</f>
        <v>2</v>
      </c>
      <c r="S42" s="267">
        <f>Current_Stock[[#This Row],[Vobanipur Current units]]+Current_Stock[[#This Row],[Ulukhola Current]]</f>
        <v>2</v>
      </c>
      <c r="T42" s="267">
        <f>VLOOKUP(Current_Stock[[#This Row],[SKU ID]],SKU[[SKU ID]:[Bottle Size(Ltr)]],6,0)*Current_Stock[[#This Row],[Total Current (Unit)]]</f>
        <v>0.8</v>
      </c>
      <c r="U42" s="267">
        <f>Current_Stock[[#This Row],[Total Current (Unit)]]*Current_Stock[[#This Row],[Cost]]</f>
        <v>847.9</v>
      </c>
      <c r="V42" s="267">
        <f>FLOOR(Current_Stock[[#This Row],[Total Current (Unit)]]/VLOOKUP(Current_Stock[[#This Row],[SKU ID]],SKU[],5,0),1)</f>
        <v>0</v>
      </c>
      <c r="W42" s="267">
        <f>MOD(Current_Stock[[#This Row],[Total Current (Unit)]],VLOOKUP(Current_Stock[[#This Row],[SKU ID]],SKU[],5,0))</f>
        <v>2</v>
      </c>
      <c r="X42" s="228">
        <f ca="1">VLOOKUP(Current_Stock[[#This Row],[SKU ID]],Stock_year[],((MONTH($B$1)-1)*$C$75)+17,0)</f>
        <v>0</v>
      </c>
      <c r="Y42" s="228">
        <f>SUMIFS(Primary_Order[Total Qty],Primary_Order[Date],"&gt;="&amp;DATE(YEAR($B$1),MONTH($B$1),1),Primary_Order[Date],"&lt;="&amp;$B$1,Primary_Order[Status],"DMG-Sold",Primary_Order[Product ID],A42)</f>
        <v>0</v>
      </c>
      <c r="Z42" s="228">
        <f ca="1">Current_Stock[[#This Row],[Opening Damage Unit]]-Current_Stock[[#This Row],[Damage Sold unit]]</f>
        <v>0</v>
      </c>
      <c r="AA42" s="228">
        <f>Current_Stock[[#This Row],[DP Price]]*Current_Stock[[#This Row],[Total Current (Unit)]]</f>
        <v>1105</v>
      </c>
      <c r="AB42" s="228">
        <f ca="1">Current_Stock[[#This Row],[Total Current (Unit)]]+Current_Stock[[#This Row],[Remaining Damage Unit]]</f>
        <v>2</v>
      </c>
      <c r="AC42" s="228">
        <f ca="1">Current_Stock[[#This Row],[Total Unit with Damage]]*Current_Stock[[#This Row],[Cost]]</f>
        <v>847.9</v>
      </c>
      <c r="AD42" s="228">
        <f>SUMIFS(Primary_Order[Total Qty],Primary_Order[Date],"&gt;="&amp;DATE(2027,12,1),Primary_Order[Status],$A$1,Primary_Order[Product ID],A42)</f>
        <v>0</v>
      </c>
      <c r="AE42" s="228">
        <f>Current_Stock[[#This Row],[Total Current (Unit)]]-Current_Stock[[#This Row],[Blocked Stock(unit)]]</f>
        <v>2</v>
      </c>
      <c r="AF42" s="228">
        <f>(Current_Stock[[#This Row],[Ageing till Sep''24 (D)]]+($B$1-45566))/30</f>
        <v>7.0333333333333332</v>
      </c>
      <c r="AG42" s="228">
        <v>0</v>
      </c>
      <c r="AH42" t="str">
        <f>VLOOKUP(Current_Stock[[#This Row],[SKU ID]],SKU[],12,0)</f>
        <v>Care Products</v>
      </c>
      <c r="AI42" t="str">
        <f>VLOOKUP(Current_Stock[[#This Row],[SKU ID]],SKU[],10,0)</f>
        <v>Care Products</v>
      </c>
      <c r="AJ42" s="195">
        <f>VLOOKUP(Current_Stock[[#This Row],[SKU ID]],SKU[[SKU ID]:[Bottle Size(Ltr)]],6,0)*Current_Stock[[#This Row],[Vobanipur Current units]]</f>
        <v>0.8</v>
      </c>
      <c r="AK42" s="195">
        <f ca="1">VLOOKUP(Current_Stock[[#This Row],[SKU ID]],SKU[[SKU ID]:[Bottle Size(Ltr)]],6,0)*Current_Stock[[#This Row],[Remaining Damage Unit]]</f>
        <v>0</v>
      </c>
      <c r="AL42" s="195">
        <f>VLOOKUP(Current_Stock[[#This Row],[SKU ID]],SKU[[SKU ID]:[Bottle Size(Ltr)]],6,0)*Current_Stock[[#This Row],[Ulukhola Current]]</f>
        <v>0</v>
      </c>
    </row>
    <row r="43" spans="1:38" x14ac:dyDescent="0.5">
      <c r="A43" s="159" t="s">
        <v>369</v>
      </c>
      <c r="B43" s="159" t="s">
        <v>830</v>
      </c>
      <c r="C43" s="228" t="str">
        <f>VLOOKUP(Current_Stock[[#This Row],[SKU ID]],SKU[],9,0)</f>
        <v>Care Products</v>
      </c>
      <c r="D43" s="228">
        <f>VLOOKUP(Current_Stock[[#This Row],[SKU ID]],SKU[],14,0)</f>
        <v>132.27000000000001</v>
      </c>
      <c r="E43" s="228">
        <f>VLOOKUP(Current_Stock[[#This Row],[SKU ID]],SKU[],15,0)</f>
        <v>170</v>
      </c>
      <c r="F43" s="228">
        <f>VLOOKUP(Current_Stock[[#This Row],[SKU ID]],Stock_year[],((MONTH($B$1)-1)*$C$75)+2+1,0)</f>
        <v>2</v>
      </c>
      <c r="G43" s="228">
        <f>VLOOKUP(Current_Stock[[#This Row],[SKU ID]],Stock_year[],((MONTH($B$1)-1)*$C$75)+2+2,0)</f>
        <v>0</v>
      </c>
      <c r="H43" s="228">
        <f>Current_Stock[[#This Row],[Vobanipur opening units]]+Current_Stock[[#This Row],[Ulukhola opening units]]</f>
        <v>2</v>
      </c>
      <c r="I43" s="267">
        <f>VLOOKUP(Current_Stock[[#This Row],[SKU ID]],SKU[[SKU ID]:[Bottle Size(Ltr)]],6,0)*Current_Stock[[#This Row],[Total Opening Unit]]</f>
        <v>0.15</v>
      </c>
      <c r="J43" s="228">
        <f>VLOOKUP(Current_Stock[[#This Row],[SKU ID]],Stock_year[],((MONTH($B$1)-1)*$C$75)+2+5,0)</f>
        <v>0</v>
      </c>
      <c r="K43" s="228">
        <f>VLOOKUP(Current_Stock[[#This Row],[SKU ID]],Stock_year[],((MONTH($B$1)-1)*$C$75)+2+6,0)</f>
        <v>0</v>
      </c>
      <c r="L43" s="228">
        <f>VLOOKUP(Current_Stock[[#This Row],[SKU ID]],Stock_year[],((MONTH($B$1)-1)*$C$75)+2+7,0)</f>
        <v>0</v>
      </c>
      <c r="M43" s="228">
        <f>Current_Stock[[#This Row],[Vobanipur opening units]]+Current_Stock[[#This Row],[New Arrival Ulukhola]]+Current_Stock[[#This Row],[Ulukhola to vobanipur transfer]]</f>
        <v>2</v>
      </c>
      <c r="N43" s="228">
        <f>Current_Stock[[#This Row],[Ulukhola opening units]]+Current_Stock[[#This Row],[New Arrival Vobanipur]]-Current_Stock[[#This Row],[Ulukhola to vobanipur transfer]]</f>
        <v>0</v>
      </c>
      <c r="O43" s="228">
        <f>Current_Stock[[#This Row],[Vobaipur total]]+Current_Stock[[#This Row],[Ulukhola Current]]</f>
        <v>2</v>
      </c>
      <c r="P43" s="228">
        <f>SUMIFS(Primary_Order[Total Qty],Primary_Order[Date],"&gt;="&amp;DATE(YEAR($B$1),MONTH($B$1),1),Primary_Order[Date],"&lt;="&amp;$B$1,Primary_Order[Status],$A$1,Primary_Order[Product ID],A43,Primary_Order[Status],"&lt;&gt;DMG-Sold")</f>
        <v>0</v>
      </c>
      <c r="Q43" s="228">
        <f>Current_Stock[[#This Row],[Sold Qty(Unit)]]*Current_Stock[[#This Row],[Cost]]</f>
        <v>0</v>
      </c>
      <c r="R43" s="228">
        <f>Current_Stock[[#This Row],[Vobaipur total]]-Current_Stock[[#This Row],[Sold Qty(Unit)]]</f>
        <v>2</v>
      </c>
      <c r="S43" s="267">
        <f>Current_Stock[[#This Row],[Vobanipur Current units]]+Current_Stock[[#This Row],[Ulukhola Current]]</f>
        <v>2</v>
      </c>
      <c r="T43" s="267">
        <f>VLOOKUP(Current_Stock[[#This Row],[SKU ID]],SKU[[SKU ID]:[Bottle Size(Ltr)]],6,0)*Current_Stock[[#This Row],[Total Current (Unit)]]</f>
        <v>0.15</v>
      </c>
      <c r="U43" s="267">
        <f>Current_Stock[[#This Row],[Total Current (Unit)]]*Current_Stock[[#This Row],[Cost]]</f>
        <v>264.54000000000002</v>
      </c>
      <c r="V43" s="267">
        <f>FLOOR(Current_Stock[[#This Row],[Total Current (Unit)]]/VLOOKUP(Current_Stock[[#This Row],[SKU ID]],SKU[],5,0),1)</f>
        <v>0</v>
      </c>
      <c r="W43" s="267">
        <f>MOD(Current_Stock[[#This Row],[Total Current (Unit)]],VLOOKUP(Current_Stock[[#This Row],[SKU ID]],SKU[],5,0))</f>
        <v>2</v>
      </c>
      <c r="X43" s="228">
        <f ca="1">VLOOKUP(Current_Stock[[#This Row],[SKU ID]],Stock_year[],((MONTH($B$1)-1)*$C$75)+17,0)</f>
        <v>0</v>
      </c>
      <c r="Y43" s="228">
        <f>SUMIFS(Primary_Order[Total Qty],Primary_Order[Date],"&gt;="&amp;DATE(YEAR($B$1),MONTH($B$1),1),Primary_Order[Date],"&lt;="&amp;$B$1,Primary_Order[Status],"DMG-Sold",Primary_Order[Product ID],A43)</f>
        <v>0</v>
      </c>
      <c r="Z43" s="228">
        <f ca="1">Current_Stock[[#This Row],[Opening Damage Unit]]-Current_Stock[[#This Row],[Damage Sold unit]]</f>
        <v>0</v>
      </c>
      <c r="AA43" s="228">
        <f>Current_Stock[[#This Row],[DP Price]]*Current_Stock[[#This Row],[Total Current (Unit)]]</f>
        <v>340</v>
      </c>
      <c r="AB43" s="228">
        <f ca="1">Current_Stock[[#This Row],[Total Current (Unit)]]+Current_Stock[[#This Row],[Remaining Damage Unit]]</f>
        <v>2</v>
      </c>
      <c r="AC43" s="228">
        <f ca="1">Current_Stock[[#This Row],[Total Unit with Damage]]*Current_Stock[[#This Row],[Cost]]</f>
        <v>264.54000000000002</v>
      </c>
      <c r="AD43" s="228">
        <f>SUMIFS(Primary_Order[Total Qty],Primary_Order[Date],"&gt;="&amp;DATE(2027,12,1),Primary_Order[Status],$A$1,Primary_Order[Product ID],A43)</f>
        <v>0</v>
      </c>
      <c r="AE43" s="228">
        <f>Current_Stock[[#This Row],[Total Current (Unit)]]-Current_Stock[[#This Row],[Blocked Stock(unit)]]</f>
        <v>2</v>
      </c>
      <c r="AF43" s="228">
        <f>(Current_Stock[[#This Row],[Ageing till Sep''24 (D)]]+($B$1-45566))/30</f>
        <v>7.0333333333333332</v>
      </c>
      <c r="AG43" s="228">
        <v>0</v>
      </c>
      <c r="AH43" t="str">
        <f>VLOOKUP(Current_Stock[[#This Row],[SKU ID]],SKU[],12,0)</f>
        <v>Care Products</v>
      </c>
      <c r="AI43" t="str">
        <f>VLOOKUP(Current_Stock[[#This Row],[SKU ID]],SKU[],10,0)</f>
        <v>Care Products</v>
      </c>
      <c r="AJ43" s="195">
        <f>VLOOKUP(Current_Stock[[#This Row],[SKU ID]],SKU[[SKU ID]:[Bottle Size(Ltr)]],6,0)*Current_Stock[[#This Row],[Vobanipur Current units]]</f>
        <v>0.15</v>
      </c>
      <c r="AK43" s="195">
        <f ca="1">VLOOKUP(Current_Stock[[#This Row],[SKU ID]],SKU[[SKU ID]:[Bottle Size(Ltr)]],6,0)*Current_Stock[[#This Row],[Remaining Damage Unit]]</f>
        <v>0</v>
      </c>
      <c r="AL43" s="195">
        <f>VLOOKUP(Current_Stock[[#This Row],[SKU ID]],SKU[[SKU ID]:[Bottle Size(Ltr)]],6,0)*Current_Stock[[#This Row],[Ulukhola Current]]</f>
        <v>0</v>
      </c>
    </row>
    <row r="44" spans="1:38" x14ac:dyDescent="0.5">
      <c r="A44" s="159" t="s">
        <v>345</v>
      </c>
      <c r="B44" s="159" t="s">
        <v>769</v>
      </c>
      <c r="C44" s="228" t="str">
        <f>VLOOKUP(Current_Stock[[#This Row],[SKU ID]],SKU[],9,0)</f>
        <v>PCMO</v>
      </c>
      <c r="D44" s="228">
        <f>VLOOKUP(Current_Stock[[#This Row],[SKU ID]],SKU[],14,0)</f>
        <v>1187.99</v>
      </c>
      <c r="E44" s="228">
        <f>VLOOKUP(Current_Stock[[#This Row],[SKU ID]],SKU[],15,0)</f>
        <v>0</v>
      </c>
      <c r="F44" s="228">
        <f>VLOOKUP(Current_Stock[[#This Row],[SKU ID]],Stock_year[],((MONTH($B$1)-1)*$C$75)+2+1,0)</f>
        <v>0</v>
      </c>
      <c r="G44" s="228">
        <f>VLOOKUP(Current_Stock[[#This Row],[SKU ID]],Stock_year[],((MONTH($B$1)-1)*$C$75)+2+2,0)</f>
        <v>0</v>
      </c>
      <c r="H44" s="228">
        <f>Current_Stock[[#This Row],[Vobanipur opening units]]+Current_Stock[[#This Row],[Ulukhola opening units]]</f>
        <v>0</v>
      </c>
      <c r="I44" s="267">
        <f>VLOOKUP(Current_Stock[[#This Row],[SKU ID]],SKU[[SKU ID]:[Bottle Size(Ltr)]],6,0)*Current_Stock[[#This Row],[Total Opening Unit]]</f>
        <v>0</v>
      </c>
      <c r="J44" s="228">
        <f>VLOOKUP(Current_Stock[[#This Row],[SKU ID]],Stock_year[],((MONTH($B$1)-1)*$C$75)+2+5,0)</f>
        <v>0</v>
      </c>
      <c r="K44" s="228">
        <f>VLOOKUP(Current_Stock[[#This Row],[SKU ID]],Stock_year[],((MONTH($B$1)-1)*$C$75)+2+6,0)</f>
        <v>0</v>
      </c>
      <c r="L44" s="228">
        <f>VLOOKUP(Current_Stock[[#This Row],[SKU ID]],Stock_year[],((MONTH($B$1)-1)*$C$75)+2+7,0)</f>
        <v>0</v>
      </c>
      <c r="M44" s="228">
        <f>Current_Stock[[#This Row],[Vobanipur opening units]]+Current_Stock[[#This Row],[New Arrival Ulukhola]]+Current_Stock[[#This Row],[Ulukhola to vobanipur transfer]]</f>
        <v>0</v>
      </c>
      <c r="N44" s="228">
        <f>Current_Stock[[#This Row],[Ulukhola opening units]]+Current_Stock[[#This Row],[New Arrival Vobanipur]]-Current_Stock[[#This Row],[Ulukhola to vobanipur transfer]]</f>
        <v>0</v>
      </c>
      <c r="O44" s="228">
        <f>Current_Stock[[#This Row],[Vobaipur total]]+Current_Stock[[#This Row],[Ulukhola Current]]</f>
        <v>0</v>
      </c>
      <c r="P44" s="228">
        <f>SUMIFS(Primary_Order[Total Qty],Primary_Order[Date],"&gt;="&amp;DATE(YEAR($B$1),MONTH($B$1),1),Primary_Order[Date],"&lt;="&amp;$B$1,Primary_Order[Status],$A$1,Primary_Order[Product ID],A44,Primary_Order[Status],"&lt;&gt;DMG-Sold")</f>
        <v>0</v>
      </c>
      <c r="Q44" s="228">
        <f>Current_Stock[[#This Row],[Sold Qty(Unit)]]*Current_Stock[[#This Row],[Cost]]</f>
        <v>0</v>
      </c>
      <c r="R44" s="228">
        <f>Current_Stock[[#This Row],[Vobaipur total]]-Current_Stock[[#This Row],[Sold Qty(Unit)]]</f>
        <v>0</v>
      </c>
      <c r="S44" s="267">
        <f>Current_Stock[[#This Row],[Vobanipur Current units]]+Current_Stock[[#This Row],[Ulukhola Current]]</f>
        <v>0</v>
      </c>
      <c r="T44" s="267">
        <f>VLOOKUP(Current_Stock[[#This Row],[SKU ID]],SKU[[SKU ID]:[Bottle Size(Ltr)]],6,0)*Current_Stock[[#This Row],[Total Current (Unit)]]</f>
        <v>0</v>
      </c>
      <c r="U44" s="267">
        <f>Current_Stock[[#This Row],[Total Current (Unit)]]*Current_Stock[[#This Row],[Cost]]</f>
        <v>0</v>
      </c>
      <c r="V44" s="267">
        <f>FLOOR(Current_Stock[[#This Row],[Total Current (Unit)]]/VLOOKUP(Current_Stock[[#This Row],[SKU ID]],SKU[],5,0),1)</f>
        <v>0</v>
      </c>
      <c r="W44" s="267">
        <f>MOD(Current_Stock[[#This Row],[Total Current (Unit)]],VLOOKUP(Current_Stock[[#This Row],[SKU ID]],SKU[],5,0))</f>
        <v>0</v>
      </c>
      <c r="X44" s="228">
        <f ca="1">VLOOKUP(Current_Stock[[#This Row],[SKU ID]],Stock_year[],((MONTH($B$1)-1)*$C$75)+17,0)</f>
        <v>9</v>
      </c>
      <c r="Y44" s="228">
        <f>SUMIFS(Primary_Order[Total Qty],Primary_Order[Date],"&gt;="&amp;DATE(YEAR($B$1),MONTH($B$1),1),Primary_Order[Date],"&lt;="&amp;$B$1,Primary_Order[Status],"DMG-Sold",Primary_Order[Product ID],A44)</f>
        <v>0</v>
      </c>
      <c r="Z44" s="228">
        <f ca="1">Current_Stock[[#This Row],[Opening Damage Unit]]-Current_Stock[[#This Row],[Damage Sold unit]]</f>
        <v>9</v>
      </c>
      <c r="AA44" s="228">
        <f>Current_Stock[[#This Row],[DP Price]]*Current_Stock[[#This Row],[Total Current (Unit)]]</f>
        <v>0</v>
      </c>
      <c r="AB44" s="228">
        <f ca="1">Current_Stock[[#This Row],[Total Current (Unit)]]+Current_Stock[[#This Row],[Remaining Damage Unit]]</f>
        <v>9</v>
      </c>
      <c r="AC44" s="228">
        <f ca="1">Current_Stock[[#This Row],[Total Unit with Damage]]*Current_Stock[[#This Row],[Cost]]</f>
        <v>10691.91</v>
      </c>
      <c r="AD44" s="228">
        <f>SUMIFS(Primary_Order[Total Qty],Primary_Order[Date],"&gt;="&amp;DATE(2027,12,1),Primary_Order[Status],$A$1,Primary_Order[Product ID],A44)</f>
        <v>0</v>
      </c>
      <c r="AE44" s="228">
        <f>Current_Stock[[#This Row],[Total Current (Unit)]]-Current_Stock[[#This Row],[Blocked Stock(unit)]]</f>
        <v>0</v>
      </c>
      <c r="AF44" s="228">
        <f>(Current_Stock[[#This Row],[Ageing till Sep''24 (D)]]+($B$1-45566))/30</f>
        <v>7.0333333333333332</v>
      </c>
      <c r="AG44" s="228">
        <v>0</v>
      </c>
      <c r="AH44" t="str">
        <f>VLOOKUP(Current_Stock[[#This Row],[SKU ID]],SKU[],12,0)</f>
        <v>5W30</v>
      </c>
      <c r="AI44" t="str">
        <f>VLOOKUP(Current_Stock[[#This Row],[SKU ID]],SKU[],10,0)</f>
        <v>Mineral</v>
      </c>
      <c r="AJ44" s="195">
        <f>VLOOKUP(Current_Stock[[#This Row],[SKU ID]],SKU[[SKU ID]:[Bottle Size(Ltr)]],6,0)*Current_Stock[[#This Row],[Vobanipur Current units]]</f>
        <v>0</v>
      </c>
      <c r="AK44" s="195">
        <f ca="1">VLOOKUP(Current_Stock[[#This Row],[SKU ID]],SKU[[SKU ID]:[Bottle Size(Ltr)]],6,0)*Current_Stock[[#This Row],[Remaining Damage Unit]]</f>
        <v>31.5</v>
      </c>
      <c r="AL44" s="195">
        <f>VLOOKUP(Current_Stock[[#This Row],[SKU ID]],SKU[[SKU ID]:[Bottle Size(Ltr)]],6,0)*Current_Stock[[#This Row],[Ulukhola Current]]</f>
        <v>0</v>
      </c>
    </row>
    <row r="45" spans="1:38" x14ac:dyDescent="0.5">
      <c r="A45" s="159" t="s">
        <v>57</v>
      </c>
      <c r="B45" s="159" t="s">
        <v>773</v>
      </c>
      <c r="C45" s="228" t="str">
        <f>VLOOKUP(Current_Stock[[#This Row],[SKU ID]],SKU[],9,0)</f>
        <v>MCO</v>
      </c>
      <c r="D45" s="228">
        <f>VLOOKUP(Current_Stock[[#This Row],[SKU ID]],SKU[],14,0)</f>
        <v>693.99</v>
      </c>
      <c r="E45" s="228">
        <f>VLOOKUP(Current_Stock[[#This Row],[SKU ID]],SKU[],15,0)</f>
        <v>1070</v>
      </c>
      <c r="F45" s="228">
        <f>VLOOKUP(Current_Stock[[#This Row],[SKU ID]],Stock_year[],((MONTH($B$1)-1)*$C$75)+2+1,0)</f>
        <v>0</v>
      </c>
      <c r="G45" s="228">
        <f>VLOOKUP(Current_Stock[[#This Row],[SKU ID]],Stock_year[],((MONTH($B$1)-1)*$C$75)+2+2,0)</f>
        <v>0</v>
      </c>
      <c r="H45" s="228">
        <f>Current_Stock[[#This Row],[Vobanipur opening units]]+Current_Stock[[#This Row],[Ulukhola opening units]]</f>
        <v>0</v>
      </c>
      <c r="I45" s="267">
        <f>VLOOKUP(Current_Stock[[#This Row],[SKU ID]],SKU[[SKU ID]:[Bottle Size(Ltr)]],6,0)*Current_Stock[[#This Row],[Total Opening Unit]]</f>
        <v>0</v>
      </c>
      <c r="J45" s="228">
        <f>VLOOKUP(Current_Stock[[#This Row],[SKU ID]],Stock_year[],((MONTH($B$1)-1)*$C$75)+2+5,0)</f>
        <v>0</v>
      </c>
      <c r="K45" s="228">
        <f>VLOOKUP(Current_Stock[[#This Row],[SKU ID]],Stock_year[],((MONTH($B$1)-1)*$C$75)+2+6,0)</f>
        <v>0</v>
      </c>
      <c r="L45" s="228">
        <f>VLOOKUP(Current_Stock[[#This Row],[SKU ID]],Stock_year[],((MONTH($B$1)-1)*$C$75)+2+7,0)</f>
        <v>0</v>
      </c>
      <c r="M45" s="228">
        <f>Current_Stock[[#This Row],[Vobanipur opening units]]+Current_Stock[[#This Row],[New Arrival Ulukhola]]+Current_Stock[[#This Row],[Ulukhola to vobanipur transfer]]</f>
        <v>0</v>
      </c>
      <c r="N45" s="228">
        <f>Current_Stock[[#This Row],[Ulukhola opening units]]+Current_Stock[[#This Row],[New Arrival Vobanipur]]-Current_Stock[[#This Row],[Ulukhola to vobanipur transfer]]</f>
        <v>0</v>
      </c>
      <c r="O45" s="228">
        <f>Current_Stock[[#This Row],[Vobaipur total]]+Current_Stock[[#This Row],[Ulukhola Current]]</f>
        <v>0</v>
      </c>
      <c r="P45" s="228">
        <f>SUMIFS(Primary_Order[Total Qty],Primary_Order[Date],"&gt;="&amp;DATE(YEAR($B$1),MONTH($B$1),1),Primary_Order[Date],"&lt;="&amp;$B$1,Primary_Order[Status],$A$1,Primary_Order[Product ID],A45,Primary_Order[Status],"&lt;&gt;DMG-Sold")</f>
        <v>0</v>
      </c>
      <c r="Q45" s="228">
        <f>Current_Stock[[#This Row],[Sold Qty(Unit)]]*Current_Stock[[#This Row],[Cost]]</f>
        <v>0</v>
      </c>
      <c r="R45" s="228">
        <f>Current_Stock[[#This Row],[Vobaipur total]]-Current_Stock[[#This Row],[Sold Qty(Unit)]]</f>
        <v>0</v>
      </c>
      <c r="S45" s="267">
        <f>Current_Stock[[#This Row],[Vobanipur Current units]]+Current_Stock[[#This Row],[Ulukhola Current]]</f>
        <v>0</v>
      </c>
      <c r="T45" s="267">
        <f>VLOOKUP(Current_Stock[[#This Row],[SKU ID]],SKU[[SKU ID]:[Bottle Size(Ltr)]],6,0)*Current_Stock[[#This Row],[Total Current (Unit)]]</f>
        <v>0</v>
      </c>
      <c r="U45" s="267">
        <f>Current_Stock[[#This Row],[Total Current (Unit)]]*Current_Stock[[#This Row],[Cost]]</f>
        <v>0</v>
      </c>
      <c r="V45" s="267">
        <f>FLOOR(Current_Stock[[#This Row],[Total Current (Unit)]]/VLOOKUP(Current_Stock[[#This Row],[SKU ID]],SKU[],5,0),1)</f>
        <v>0</v>
      </c>
      <c r="W45" s="267">
        <f>MOD(Current_Stock[[#This Row],[Total Current (Unit)]],VLOOKUP(Current_Stock[[#This Row],[SKU ID]],SKU[],5,0))</f>
        <v>0</v>
      </c>
      <c r="X45" s="228">
        <f ca="1">VLOOKUP(Current_Stock[[#This Row],[SKU ID]],Stock_year[],((MONTH($B$1)-1)*$C$75)+17,0)</f>
        <v>112</v>
      </c>
      <c r="Y45" s="228">
        <f>SUMIFS(Primary_Order[Total Qty],Primary_Order[Date],"&gt;="&amp;DATE(YEAR($B$1),MONTH($B$1),1),Primary_Order[Date],"&lt;="&amp;$B$1,Primary_Order[Status],"DMG-Sold",Primary_Order[Product ID],A45)</f>
        <v>0</v>
      </c>
      <c r="Z45" s="228">
        <f ca="1">Current_Stock[[#This Row],[Opening Damage Unit]]-Current_Stock[[#This Row],[Damage Sold unit]]</f>
        <v>112</v>
      </c>
      <c r="AA45" s="228">
        <f>Current_Stock[[#This Row],[DP Price]]*Current_Stock[[#This Row],[Total Current (Unit)]]</f>
        <v>0</v>
      </c>
      <c r="AB45" s="228">
        <f ca="1">Current_Stock[[#This Row],[Total Current (Unit)]]+Current_Stock[[#This Row],[Remaining Damage Unit]]</f>
        <v>112</v>
      </c>
      <c r="AC45" s="228">
        <f ca="1">Current_Stock[[#This Row],[Total Unit with Damage]]*Current_Stock[[#This Row],[Cost]]</f>
        <v>77726.880000000005</v>
      </c>
      <c r="AD45" s="228">
        <f>SUMIFS(Primary_Order[Total Qty],Primary_Order[Date],"&gt;="&amp;DATE(2027,12,1),Primary_Order[Status],$A$1,Primary_Order[Product ID],A45)</f>
        <v>506</v>
      </c>
      <c r="AE45" s="228">
        <f>Current_Stock[[#This Row],[Total Current (Unit)]]-Current_Stock[[#This Row],[Blocked Stock(unit)]]</f>
        <v>-506</v>
      </c>
      <c r="AF45" s="228">
        <f>(Current_Stock[[#This Row],[Ageing till Sep''24 (D)]]+($B$1-45566))/30</f>
        <v>8.3164876493879998</v>
      </c>
      <c r="AG45" s="228">
        <v>38.494629481640004</v>
      </c>
      <c r="AH45" t="str">
        <f>VLOOKUP(Current_Stock[[#This Row],[SKU ID]],SKU[],12,0)</f>
        <v>10W40</v>
      </c>
      <c r="AI45" t="str">
        <f>VLOOKUP(Current_Stock[[#This Row],[SKU ID]],SKU[],10,0)</f>
        <v>Synthetic</v>
      </c>
      <c r="AJ45" s="195">
        <f>VLOOKUP(Current_Stock[[#This Row],[SKU ID]],SKU[[SKU ID]:[Bottle Size(Ltr)]],6,0)*Current_Stock[[#This Row],[Vobanipur Current units]]</f>
        <v>0</v>
      </c>
      <c r="AK45" s="195">
        <f ca="1">VLOOKUP(Current_Stock[[#This Row],[SKU ID]],SKU[[SKU ID]:[Bottle Size(Ltr)]],6,0)*Current_Stock[[#This Row],[Remaining Damage Unit]]</f>
        <v>112</v>
      </c>
      <c r="AL45" s="195">
        <f>VLOOKUP(Current_Stock[[#This Row],[SKU ID]],SKU[[SKU ID]:[Bottle Size(Ltr)]],6,0)*Current_Stock[[#This Row],[Ulukhola Current]]</f>
        <v>0</v>
      </c>
    </row>
    <row r="46" spans="1:38" x14ac:dyDescent="0.5">
      <c r="A46" s="159" t="s">
        <v>349</v>
      </c>
      <c r="B46" s="159" t="s">
        <v>775</v>
      </c>
      <c r="C46" s="228" t="str">
        <f>VLOOKUP(Current_Stock[[#This Row],[SKU ID]],SKU[],9,0)</f>
        <v>PCMO</v>
      </c>
      <c r="D46" s="228">
        <f>VLOOKUP(Current_Stock[[#This Row],[SKU ID]],SKU[],14,0)</f>
        <v>0</v>
      </c>
      <c r="E46" s="228">
        <f>VLOOKUP(Current_Stock[[#This Row],[SKU ID]],SKU[],15,0)</f>
        <v>0</v>
      </c>
      <c r="F46" s="228">
        <f>VLOOKUP(Current_Stock[[#This Row],[SKU ID]],Stock_year[],((MONTH($B$1)-1)*$C$75)+2+1,0)</f>
        <v>0</v>
      </c>
      <c r="G46" s="228">
        <f>VLOOKUP(Current_Stock[[#This Row],[SKU ID]],Stock_year[],((MONTH($B$1)-1)*$C$75)+2+2,0)</f>
        <v>0</v>
      </c>
      <c r="H46" s="228">
        <f>Current_Stock[[#This Row],[Vobanipur opening units]]+Current_Stock[[#This Row],[Ulukhola opening units]]</f>
        <v>0</v>
      </c>
      <c r="I46" s="267">
        <f>VLOOKUP(Current_Stock[[#This Row],[SKU ID]],SKU[[SKU ID]:[Bottle Size(Ltr)]],6,0)*Current_Stock[[#This Row],[Total Opening Unit]]</f>
        <v>0</v>
      </c>
      <c r="J46" s="228">
        <f>VLOOKUP(Current_Stock[[#This Row],[SKU ID]],Stock_year[],((MONTH($B$1)-1)*$C$75)+2+5,0)</f>
        <v>0</v>
      </c>
      <c r="K46" s="228">
        <f>VLOOKUP(Current_Stock[[#This Row],[SKU ID]],Stock_year[],((MONTH($B$1)-1)*$C$75)+2+6,0)</f>
        <v>0</v>
      </c>
      <c r="L46" s="228">
        <f>VLOOKUP(Current_Stock[[#This Row],[SKU ID]],Stock_year[],((MONTH($B$1)-1)*$C$75)+2+7,0)</f>
        <v>0</v>
      </c>
      <c r="M46" s="228">
        <f>Current_Stock[[#This Row],[Vobanipur opening units]]+Current_Stock[[#This Row],[New Arrival Ulukhola]]+Current_Stock[[#This Row],[Ulukhola to vobanipur transfer]]</f>
        <v>0</v>
      </c>
      <c r="N46" s="228">
        <f>Current_Stock[[#This Row],[Ulukhola opening units]]+Current_Stock[[#This Row],[New Arrival Vobanipur]]-Current_Stock[[#This Row],[Ulukhola to vobanipur transfer]]</f>
        <v>0</v>
      </c>
      <c r="O46" s="228">
        <f>Current_Stock[[#This Row],[Vobaipur total]]+Current_Stock[[#This Row],[Ulukhola Current]]</f>
        <v>0</v>
      </c>
      <c r="P46" s="228">
        <f>SUMIFS(Primary_Order[Total Qty],Primary_Order[Date],"&gt;="&amp;DATE(YEAR($B$1),MONTH($B$1),1),Primary_Order[Date],"&lt;="&amp;$B$1,Primary_Order[Status],$A$1,Primary_Order[Product ID],A46,Primary_Order[Status],"&lt;&gt;DMG-Sold")</f>
        <v>0</v>
      </c>
      <c r="Q46" s="228">
        <f>Current_Stock[[#This Row],[Sold Qty(Unit)]]*Current_Stock[[#This Row],[Cost]]</f>
        <v>0</v>
      </c>
      <c r="R46" s="228">
        <f>Current_Stock[[#This Row],[Vobaipur total]]-Current_Stock[[#This Row],[Sold Qty(Unit)]]</f>
        <v>0</v>
      </c>
      <c r="S46" s="267">
        <f>Current_Stock[[#This Row],[Vobanipur Current units]]+Current_Stock[[#This Row],[Ulukhola Current]]</f>
        <v>0</v>
      </c>
      <c r="T46" s="267">
        <f>VLOOKUP(Current_Stock[[#This Row],[SKU ID]],SKU[[SKU ID]:[Bottle Size(Ltr)]],6,0)*Current_Stock[[#This Row],[Total Current (Unit)]]</f>
        <v>0</v>
      </c>
      <c r="U46" s="267">
        <f>Current_Stock[[#This Row],[Total Current (Unit)]]*Current_Stock[[#This Row],[Cost]]</f>
        <v>0</v>
      </c>
      <c r="V46" s="267">
        <f>FLOOR(Current_Stock[[#This Row],[Total Current (Unit)]]/VLOOKUP(Current_Stock[[#This Row],[SKU ID]],SKU[],5,0),1)</f>
        <v>0</v>
      </c>
      <c r="W46" s="267">
        <f>MOD(Current_Stock[[#This Row],[Total Current (Unit)]],VLOOKUP(Current_Stock[[#This Row],[SKU ID]],SKU[],5,0))</f>
        <v>0</v>
      </c>
      <c r="X46" s="228">
        <f ca="1">VLOOKUP(Current_Stock[[#This Row],[SKU ID]],Stock_year[],((MONTH($B$1)-1)*$C$75)+17,0)</f>
        <v>0</v>
      </c>
      <c r="Y46" s="228">
        <f>SUMIFS(Primary_Order[Total Qty],Primary_Order[Date],"&gt;="&amp;DATE(YEAR($B$1),MONTH($B$1),1),Primary_Order[Date],"&lt;="&amp;$B$1,Primary_Order[Status],"DMG-Sold",Primary_Order[Product ID],A46)</f>
        <v>0</v>
      </c>
      <c r="Z46" s="228">
        <f ca="1">Current_Stock[[#This Row],[Opening Damage Unit]]-Current_Stock[[#This Row],[Damage Sold unit]]</f>
        <v>0</v>
      </c>
      <c r="AA46" s="228">
        <f>Current_Stock[[#This Row],[DP Price]]*Current_Stock[[#This Row],[Total Current (Unit)]]</f>
        <v>0</v>
      </c>
      <c r="AB46" s="228">
        <f ca="1">Current_Stock[[#This Row],[Total Current (Unit)]]+Current_Stock[[#This Row],[Remaining Damage Unit]]</f>
        <v>0</v>
      </c>
      <c r="AC46" s="228">
        <f ca="1">Current_Stock[[#This Row],[Total Unit with Damage]]*Current_Stock[[#This Row],[Cost]]</f>
        <v>0</v>
      </c>
      <c r="AD46" s="228">
        <f>SUMIFS(Primary_Order[Total Qty],Primary_Order[Date],"&gt;="&amp;DATE(2027,12,1),Primary_Order[Status],$A$1,Primary_Order[Product ID],A46)</f>
        <v>0</v>
      </c>
      <c r="AE46" s="228">
        <f>Current_Stock[[#This Row],[Total Current (Unit)]]-Current_Stock[[#This Row],[Blocked Stock(unit)]]</f>
        <v>0</v>
      </c>
      <c r="AF46" s="228">
        <f>(Current_Stock[[#This Row],[Ageing till Sep''24 (D)]]+($B$1-45566))/30</f>
        <v>7.0333333333333332</v>
      </c>
      <c r="AG46" s="228">
        <v>0</v>
      </c>
      <c r="AH46" t="str">
        <f>VLOOKUP(Current_Stock[[#This Row],[SKU ID]],SKU[],12,0)</f>
        <v>5W40</v>
      </c>
      <c r="AI46" t="str">
        <f>VLOOKUP(Current_Stock[[#This Row],[SKU ID]],SKU[],10,0)</f>
        <v>Care Products</v>
      </c>
      <c r="AJ46" s="195">
        <f>VLOOKUP(Current_Stock[[#This Row],[SKU ID]],SKU[[SKU ID]:[Bottle Size(Ltr)]],6,0)*Current_Stock[[#This Row],[Vobanipur Current units]]</f>
        <v>0</v>
      </c>
      <c r="AK46" s="195">
        <f ca="1">VLOOKUP(Current_Stock[[#This Row],[SKU ID]],SKU[[SKU ID]:[Bottle Size(Ltr)]],6,0)*Current_Stock[[#This Row],[Remaining Damage Unit]]</f>
        <v>0</v>
      </c>
      <c r="AL46" s="195">
        <f>VLOOKUP(Current_Stock[[#This Row],[SKU ID]],SKU[[SKU ID]:[Bottle Size(Ltr)]],6,0)*Current_Stock[[#This Row],[Ulukhola Current]]</f>
        <v>0</v>
      </c>
    </row>
    <row r="47" spans="1:38" x14ac:dyDescent="0.5">
      <c r="A47" s="159" t="s">
        <v>353</v>
      </c>
      <c r="B47" s="159" t="s">
        <v>777</v>
      </c>
      <c r="C47" s="228" t="str">
        <f>VLOOKUP(Current_Stock[[#This Row],[SKU ID]],SKU[],9,0)</f>
        <v>Care Products</v>
      </c>
      <c r="D47" s="228">
        <f>VLOOKUP(Current_Stock[[#This Row],[SKU ID]],SKU[],14,0)</f>
        <v>197.84</v>
      </c>
      <c r="E47" s="228">
        <f>VLOOKUP(Current_Stock[[#This Row],[SKU ID]],SKU[],15,0)</f>
        <v>0</v>
      </c>
      <c r="F47" s="228">
        <f>VLOOKUP(Current_Stock[[#This Row],[SKU ID]],Stock_year[],((MONTH($B$1)-1)*$C$75)+2+1,0)</f>
        <v>0</v>
      </c>
      <c r="G47" s="228">
        <f>VLOOKUP(Current_Stock[[#This Row],[SKU ID]],Stock_year[],((MONTH($B$1)-1)*$C$75)+2+2,0)</f>
        <v>0</v>
      </c>
      <c r="H47" s="228">
        <f>Current_Stock[[#This Row],[Vobanipur opening units]]+Current_Stock[[#This Row],[Ulukhola opening units]]</f>
        <v>0</v>
      </c>
      <c r="I47" s="267">
        <f>VLOOKUP(Current_Stock[[#This Row],[SKU ID]],SKU[[SKU ID]:[Bottle Size(Ltr)]],6,0)*Current_Stock[[#This Row],[Total Opening Unit]]</f>
        <v>0</v>
      </c>
      <c r="J47" s="228">
        <f>VLOOKUP(Current_Stock[[#This Row],[SKU ID]],Stock_year[],((MONTH($B$1)-1)*$C$75)+2+5,0)</f>
        <v>0</v>
      </c>
      <c r="K47" s="228">
        <f>VLOOKUP(Current_Stock[[#This Row],[SKU ID]],Stock_year[],((MONTH($B$1)-1)*$C$75)+2+6,0)</f>
        <v>0</v>
      </c>
      <c r="L47" s="228">
        <f>VLOOKUP(Current_Stock[[#This Row],[SKU ID]],Stock_year[],((MONTH($B$1)-1)*$C$75)+2+7,0)</f>
        <v>0</v>
      </c>
      <c r="M47" s="228">
        <f>Current_Stock[[#This Row],[Vobanipur opening units]]+Current_Stock[[#This Row],[New Arrival Ulukhola]]+Current_Stock[[#This Row],[Ulukhola to vobanipur transfer]]</f>
        <v>0</v>
      </c>
      <c r="N47" s="228">
        <f>Current_Stock[[#This Row],[Ulukhola opening units]]+Current_Stock[[#This Row],[New Arrival Vobanipur]]-Current_Stock[[#This Row],[Ulukhola to vobanipur transfer]]</f>
        <v>0</v>
      </c>
      <c r="O47" s="228">
        <f>Current_Stock[[#This Row],[Vobaipur total]]+Current_Stock[[#This Row],[Ulukhola Current]]</f>
        <v>0</v>
      </c>
      <c r="P47" s="228">
        <f>SUMIFS(Primary_Order[Total Qty],Primary_Order[Date],"&gt;="&amp;DATE(YEAR($B$1),MONTH($B$1),1),Primary_Order[Date],"&lt;="&amp;$B$1,Primary_Order[Status],$A$1,Primary_Order[Product ID],A47,Primary_Order[Status],"&lt;&gt;DMG-Sold")</f>
        <v>0</v>
      </c>
      <c r="Q47" s="228">
        <f>Current_Stock[[#This Row],[Sold Qty(Unit)]]*Current_Stock[[#This Row],[Cost]]</f>
        <v>0</v>
      </c>
      <c r="R47" s="228">
        <f>Current_Stock[[#This Row],[Vobaipur total]]-Current_Stock[[#This Row],[Sold Qty(Unit)]]</f>
        <v>0</v>
      </c>
      <c r="S47" s="267">
        <f>Current_Stock[[#This Row],[Vobanipur Current units]]+Current_Stock[[#This Row],[Ulukhola Current]]</f>
        <v>0</v>
      </c>
      <c r="T47" s="267">
        <f>VLOOKUP(Current_Stock[[#This Row],[SKU ID]],SKU[[SKU ID]:[Bottle Size(Ltr)]],6,0)*Current_Stock[[#This Row],[Total Current (Unit)]]</f>
        <v>0</v>
      </c>
      <c r="U47" s="267">
        <f>Current_Stock[[#This Row],[Total Current (Unit)]]*Current_Stock[[#This Row],[Cost]]</f>
        <v>0</v>
      </c>
      <c r="V47" s="267">
        <f>FLOOR(Current_Stock[[#This Row],[Total Current (Unit)]]/VLOOKUP(Current_Stock[[#This Row],[SKU ID]],SKU[],5,0),1)</f>
        <v>0</v>
      </c>
      <c r="W47" s="267">
        <f>MOD(Current_Stock[[#This Row],[Total Current (Unit)]],VLOOKUP(Current_Stock[[#This Row],[SKU ID]],SKU[],5,0))</f>
        <v>0</v>
      </c>
      <c r="X47" s="228">
        <f ca="1">VLOOKUP(Current_Stock[[#This Row],[SKU ID]],Stock_year[],((MONTH($B$1)-1)*$C$75)+17,0)</f>
        <v>0</v>
      </c>
      <c r="Y47" s="228">
        <f>SUMIFS(Primary_Order[Total Qty],Primary_Order[Date],"&gt;="&amp;DATE(YEAR($B$1),MONTH($B$1),1),Primary_Order[Date],"&lt;="&amp;$B$1,Primary_Order[Status],"DMG-Sold",Primary_Order[Product ID],A47)</f>
        <v>0</v>
      </c>
      <c r="Z47" s="228">
        <f ca="1">Current_Stock[[#This Row],[Opening Damage Unit]]-Current_Stock[[#This Row],[Damage Sold unit]]</f>
        <v>0</v>
      </c>
      <c r="AA47" s="228">
        <f>Current_Stock[[#This Row],[DP Price]]*Current_Stock[[#This Row],[Total Current (Unit)]]</f>
        <v>0</v>
      </c>
      <c r="AB47" s="228">
        <f ca="1">Current_Stock[[#This Row],[Total Current (Unit)]]+Current_Stock[[#This Row],[Remaining Damage Unit]]</f>
        <v>0</v>
      </c>
      <c r="AC47" s="228">
        <f ca="1">Current_Stock[[#This Row],[Total Unit with Damage]]*Current_Stock[[#This Row],[Cost]]</f>
        <v>0</v>
      </c>
      <c r="AD47" s="228">
        <f>SUMIFS(Primary_Order[Total Qty],Primary_Order[Date],"&gt;="&amp;DATE(2027,12,1),Primary_Order[Status],$A$1,Primary_Order[Product ID],A47)</f>
        <v>0</v>
      </c>
      <c r="AE47" s="228">
        <f>Current_Stock[[#This Row],[Total Current (Unit)]]-Current_Stock[[#This Row],[Blocked Stock(unit)]]</f>
        <v>0</v>
      </c>
      <c r="AF47" s="228">
        <f>(Current_Stock[[#This Row],[Ageing till Sep''24 (D)]]+($B$1-45566))/30</f>
        <v>7.0333333333333332</v>
      </c>
      <c r="AG47" s="228">
        <v>0</v>
      </c>
      <c r="AH47" t="str">
        <f>VLOOKUP(Current_Stock[[#This Row],[SKU ID]],SKU[],12,0)</f>
        <v>Care Products</v>
      </c>
      <c r="AI47" t="str">
        <f>VLOOKUP(Current_Stock[[#This Row],[SKU ID]],SKU[],10,0)</f>
        <v>Care Products</v>
      </c>
      <c r="AJ47" s="195">
        <f>VLOOKUP(Current_Stock[[#This Row],[SKU ID]],SKU[[SKU ID]:[Bottle Size(Ltr)]],6,0)*Current_Stock[[#This Row],[Vobanipur Current units]]</f>
        <v>0</v>
      </c>
      <c r="AK47" s="195">
        <f ca="1">VLOOKUP(Current_Stock[[#This Row],[SKU ID]],SKU[[SKU ID]:[Bottle Size(Ltr)]],6,0)*Current_Stock[[#This Row],[Remaining Damage Unit]]</f>
        <v>0</v>
      </c>
      <c r="AL47" s="195">
        <f>VLOOKUP(Current_Stock[[#This Row],[SKU ID]],SKU[[SKU ID]:[Bottle Size(Ltr)]],6,0)*Current_Stock[[#This Row],[Ulukhola Current]]</f>
        <v>0</v>
      </c>
    </row>
    <row r="48" spans="1:38" x14ac:dyDescent="0.5">
      <c r="A48" s="159" t="s">
        <v>145</v>
      </c>
      <c r="B48" s="159" t="s">
        <v>778</v>
      </c>
      <c r="C48" s="228" t="str">
        <f>VLOOKUP(Current_Stock[[#This Row],[SKU ID]],SKU[],9,0)</f>
        <v>Care Products</v>
      </c>
      <c r="D48" s="228">
        <f>VLOOKUP(Current_Stock[[#This Row],[SKU ID]],SKU[],14,0)</f>
        <v>164.71</v>
      </c>
      <c r="E48" s="228">
        <f>VLOOKUP(Current_Stock[[#This Row],[SKU ID]],SKU[],15,0)</f>
        <v>255</v>
      </c>
      <c r="F48" s="228">
        <f>VLOOKUP(Current_Stock[[#This Row],[SKU ID]],Stock_year[],((MONTH($B$1)-1)*$C$75)+2+1,0)</f>
        <v>0</v>
      </c>
      <c r="G48" s="228">
        <f>VLOOKUP(Current_Stock[[#This Row],[SKU ID]],Stock_year[],((MONTH($B$1)-1)*$C$75)+2+2,0)</f>
        <v>0</v>
      </c>
      <c r="H48" s="228">
        <f>Current_Stock[[#This Row],[Vobanipur opening units]]+Current_Stock[[#This Row],[Ulukhola opening units]]</f>
        <v>0</v>
      </c>
      <c r="I48" s="267">
        <f>VLOOKUP(Current_Stock[[#This Row],[SKU ID]],SKU[[SKU ID]:[Bottle Size(Ltr)]],6,0)*Current_Stock[[#This Row],[Total Opening Unit]]</f>
        <v>0</v>
      </c>
      <c r="J48" s="228">
        <f>VLOOKUP(Current_Stock[[#This Row],[SKU ID]],Stock_year[],((MONTH($B$1)-1)*$C$75)+2+5,0)</f>
        <v>0</v>
      </c>
      <c r="K48" s="228">
        <f>VLOOKUP(Current_Stock[[#This Row],[SKU ID]],Stock_year[],((MONTH($B$1)-1)*$C$75)+2+6,0)</f>
        <v>0</v>
      </c>
      <c r="L48" s="228">
        <f>VLOOKUP(Current_Stock[[#This Row],[SKU ID]],Stock_year[],((MONTH($B$1)-1)*$C$75)+2+7,0)</f>
        <v>0</v>
      </c>
      <c r="M48" s="228">
        <f>Current_Stock[[#This Row],[Vobanipur opening units]]+Current_Stock[[#This Row],[New Arrival Ulukhola]]+Current_Stock[[#This Row],[Ulukhola to vobanipur transfer]]</f>
        <v>0</v>
      </c>
      <c r="N48" s="228">
        <f>Current_Stock[[#This Row],[Ulukhola opening units]]+Current_Stock[[#This Row],[New Arrival Vobanipur]]-Current_Stock[[#This Row],[Ulukhola to vobanipur transfer]]</f>
        <v>0</v>
      </c>
      <c r="O48" s="228">
        <f>Current_Stock[[#This Row],[Vobaipur total]]+Current_Stock[[#This Row],[Ulukhola Current]]</f>
        <v>0</v>
      </c>
      <c r="P48" s="228">
        <f>SUMIFS(Primary_Order[Total Qty],Primary_Order[Date],"&gt;="&amp;DATE(YEAR($B$1),MONTH($B$1),1),Primary_Order[Date],"&lt;="&amp;$B$1,Primary_Order[Status],$A$1,Primary_Order[Product ID],A48,Primary_Order[Status],"&lt;&gt;DMG-Sold")</f>
        <v>0</v>
      </c>
      <c r="Q48" s="228">
        <f>Current_Stock[[#This Row],[Sold Qty(Unit)]]*Current_Stock[[#This Row],[Cost]]</f>
        <v>0</v>
      </c>
      <c r="R48" s="228">
        <f>Current_Stock[[#This Row],[Vobaipur total]]-Current_Stock[[#This Row],[Sold Qty(Unit)]]</f>
        <v>0</v>
      </c>
      <c r="S48" s="267">
        <f>Current_Stock[[#This Row],[Vobanipur Current units]]+Current_Stock[[#This Row],[Ulukhola Current]]</f>
        <v>0</v>
      </c>
      <c r="T48" s="267">
        <f>VLOOKUP(Current_Stock[[#This Row],[SKU ID]],SKU[[SKU ID]:[Bottle Size(Ltr)]],6,0)*Current_Stock[[#This Row],[Total Current (Unit)]]</f>
        <v>0</v>
      </c>
      <c r="U48" s="267">
        <f>Current_Stock[[#This Row],[Total Current (Unit)]]*Current_Stock[[#This Row],[Cost]]</f>
        <v>0</v>
      </c>
      <c r="V48" s="267">
        <f>FLOOR(Current_Stock[[#This Row],[Total Current (Unit)]]/VLOOKUP(Current_Stock[[#This Row],[SKU ID]],SKU[],5,0),1)</f>
        <v>0</v>
      </c>
      <c r="W48" s="267">
        <f>MOD(Current_Stock[[#This Row],[Total Current (Unit)]],VLOOKUP(Current_Stock[[#This Row],[SKU ID]],SKU[],5,0))</f>
        <v>0</v>
      </c>
      <c r="X48" s="228">
        <f ca="1">VLOOKUP(Current_Stock[[#This Row],[SKU ID]],Stock_year[],((MONTH($B$1)-1)*$C$75)+17,0)</f>
        <v>57</v>
      </c>
      <c r="Y48" s="228">
        <f>SUMIFS(Primary_Order[Total Qty],Primary_Order[Date],"&gt;="&amp;DATE(YEAR($B$1),MONTH($B$1),1),Primary_Order[Date],"&lt;="&amp;$B$1,Primary_Order[Status],"DMG-Sold",Primary_Order[Product ID],A48)</f>
        <v>0</v>
      </c>
      <c r="Z48" s="228">
        <f ca="1">Current_Stock[[#This Row],[Opening Damage Unit]]-Current_Stock[[#This Row],[Damage Sold unit]]</f>
        <v>57</v>
      </c>
      <c r="AA48" s="228">
        <f>Current_Stock[[#This Row],[DP Price]]*Current_Stock[[#This Row],[Total Current (Unit)]]</f>
        <v>0</v>
      </c>
      <c r="AB48" s="228">
        <f ca="1">Current_Stock[[#This Row],[Total Current (Unit)]]+Current_Stock[[#This Row],[Remaining Damage Unit]]</f>
        <v>57</v>
      </c>
      <c r="AC48" s="228">
        <f ca="1">Current_Stock[[#This Row],[Total Unit with Damage]]*Current_Stock[[#This Row],[Cost]]</f>
        <v>9388.4700000000012</v>
      </c>
      <c r="AD48" s="228">
        <f>SUMIFS(Primary_Order[Total Qty],Primary_Order[Date],"&gt;="&amp;DATE(2027,12,1),Primary_Order[Status],$A$1,Primary_Order[Product ID],A48)</f>
        <v>100</v>
      </c>
      <c r="AE48" s="228">
        <f>Current_Stock[[#This Row],[Total Current (Unit)]]-Current_Stock[[#This Row],[Blocked Stock(unit)]]</f>
        <v>-100</v>
      </c>
      <c r="AF48" s="228">
        <f>(Current_Stock[[#This Row],[Ageing till Sep''24 (D)]]+($B$1-45566))/30</f>
        <v>7.6897705204999864</v>
      </c>
      <c r="AG48" s="228">
        <v>19.693115614999591</v>
      </c>
      <c r="AH48" t="str">
        <f>VLOOKUP(Current_Stock[[#This Row],[SKU ID]],SKU[],12,0)</f>
        <v>Care Products</v>
      </c>
      <c r="AI48" t="str">
        <f>VLOOKUP(Current_Stock[[#This Row],[SKU ID]],SKU[],10,0)</f>
        <v>Care Products</v>
      </c>
      <c r="AJ48" s="195">
        <f>VLOOKUP(Current_Stock[[#This Row],[SKU ID]],SKU[[SKU ID]:[Bottle Size(Ltr)]],6,0)*Current_Stock[[#This Row],[Vobanipur Current units]]</f>
        <v>0</v>
      </c>
      <c r="AK48" s="195">
        <f ca="1">VLOOKUP(Current_Stock[[#This Row],[SKU ID]],SKU[[SKU ID]:[Bottle Size(Ltr)]],6,0)*Current_Stock[[#This Row],[Remaining Damage Unit]]</f>
        <v>19.95</v>
      </c>
      <c r="AL48" s="195">
        <f>VLOOKUP(Current_Stock[[#This Row],[SKU ID]],SKU[[SKU ID]:[Bottle Size(Ltr)]],6,0)*Current_Stock[[#This Row],[Ulukhola Current]]</f>
        <v>0</v>
      </c>
    </row>
    <row r="49" spans="1:38" x14ac:dyDescent="0.5">
      <c r="A49" s="159" t="s">
        <v>117</v>
      </c>
      <c r="B49" s="159" t="s">
        <v>779</v>
      </c>
      <c r="C49" s="228" t="str">
        <f>VLOOKUP(Current_Stock[[#This Row],[SKU ID]],SKU[],9,0)</f>
        <v>Care Products</v>
      </c>
      <c r="D49" s="228">
        <f>VLOOKUP(Current_Stock[[#This Row],[SKU ID]],SKU[],14,0)</f>
        <v>82.75</v>
      </c>
      <c r="E49" s="228">
        <f>VLOOKUP(Current_Stock[[#This Row],[SKU ID]],SKU[],15,0)</f>
        <v>144.5</v>
      </c>
      <c r="F49" s="228">
        <f>VLOOKUP(Current_Stock[[#This Row],[SKU ID]],Stock_year[],((MONTH($B$1)-1)*$C$75)+2+1,0)</f>
        <v>0</v>
      </c>
      <c r="G49" s="228">
        <f>VLOOKUP(Current_Stock[[#This Row],[SKU ID]],Stock_year[],((MONTH($B$1)-1)*$C$75)+2+2,0)</f>
        <v>0</v>
      </c>
      <c r="H49" s="228">
        <f>Current_Stock[[#This Row],[Vobanipur opening units]]+Current_Stock[[#This Row],[Ulukhola opening units]]</f>
        <v>0</v>
      </c>
      <c r="I49" s="267">
        <f>VLOOKUP(Current_Stock[[#This Row],[SKU ID]],SKU[[SKU ID]:[Bottle Size(Ltr)]],6,0)*Current_Stock[[#This Row],[Total Opening Unit]]</f>
        <v>0</v>
      </c>
      <c r="J49" s="228">
        <f>VLOOKUP(Current_Stock[[#This Row],[SKU ID]],Stock_year[],((MONTH($B$1)-1)*$C$75)+2+5,0)</f>
        <v>0</v>
      </c>
      <c r="K49" s="228">
        <f>VLOOKUP(Current_Stock[[#This Row],[SKU ID]],Stock_year[],((MONTH($B$1)-1)*$C$75)+2+6,0)</f>
        <v>0</v>
      </c>
      <c r="L49" s="228">
        <f>VLOOKUP(Current_Stock[[#This Row],[SKU ID]],Stock_year[],((MONTH($B$1)-1)*$C$75)+2+7,0)</f>
        <v>0</v>
      </c>
      <c r="M49" s="228">
        <f>Current_Stock[[#This Row],[Vobanipur opening units]]+Current_Stock[[#This Row],[New Arrival Ulukhola]]+Current_Stock[[#This Row],[Ulukhola to vobanipur transfer]]</f>
        <v>0</v>
      </c>
      <c r="N49" s="228">
        <f>Current_Stock[[#This Row],[Ulukhola opening units]]+Current_Stock[[#This Row],[New Arrival Vobanipur]]-Current_Stock[[#This Row],[Ulukhola to vobanipur transfer]]</f>
        <v>0</v>
      </c>
      <c r="O49" s="228">
        <f>Current_Stock[[#This Row],[Vobaipur total]]+Current_Stock[[#This Row],[Ulukhola Current]]</f>
        <v>0</v>
      </c>
      <c r="P49" s="228">
        <f>SUMIFS(Primary_Order[Total Qty],Primary_Order[Date],"&gt;="&amp;DATE(YEAR($B$1),MONTH($B$1),1),Primary_Order[Date],"&lt;="&amp;$B$1,Primary_Order[Status],$A$1,Primary_Order[Product ID],A49,Primary_Order[Status],"&lt;&gt;DMG-Sold")</f>
        <v>0</v>
      </c>
      <c r="Q49" s="228">
        <f>Current_Stock[[#This Row],[Sold Qty(Unit)]]*Current_Stock[[#This Row],[Cost]]</f>
        <v>0</v>
      </c>
      <c r="R49" s="228">
        <f>Current_Stock[[#This Row],[Vobaipur total]]-Current_Stock[[#This Row],[Sold Qty(Unit)]]</f>
        <v>0</v>
      </c>
      <c r="S49" s="267">
        <f>Current_Stock[[#This Row],[Vobanipur Current units]]+Current_Stock[[#This Row],[Ulukhola Current]]</f>
        <v>0</v>
      </c>
      <c r="T49" s="267">
        <f>VLOOKUP(Current_Stock[[#This Row],[SKU ID]],SKU[[SKU ID]:[Bottle Size(Ltr)]],6,0)*Current_Stock[[#This Row],[Total Current (Unit)]]</f>
        <v>0</v>
      </c>
      <c r="U49" s="267">
        <f>Current_Stock[[#This Row],[Total Current (Unit)]]*Current_Stock[[#This Row],[Cost]]</f>
        <v>0</v>
      </c>
      <c r="V49" s="267">
        <f>FLOOR(Current_Stock[[#This Row],[Total Current (Unit)]]/VLOOKUP(Current_Stock[[#This Row],[SKU ID]],SKU[],5,0),1)</f>
        <v>0</v>
      </c>
      <c r="W49" s="267">
        <f>MOD(Current_Stock[[#This Row],[Total Current (Unit)]],VLOOKUP(Current_Stock[[#This Row],[SKU ID]],SKU[],5,0))</f>
        <v>0</v>
      </c>
      <c r="X49" s="228">
        <f ca="1">VLOOKUP(Current_Stock[[#This Row],[SKU ID]],Stock_year[],((MONTH($B$1)-1)*$C$75)+17,0)</f>
        <v>39</v>
      </c>
      <c r="Y49" s="228">
        <f>SUMIFS(Primary_Order[Total Qty],Primary_Order[Date],"&gt;="&amp;DATE(YEAR($B$1),MONTH($B$1),1),Primary_Order[Date],"&lt;="&amp;$B$1,Primary_Order[Status],"DMG-Sold",Primary_Order[Product ID],A49)</f>
        <v>0</v>
      </c>
      <c r="Z49" s="228">
        <f ca="1">Current_Stock[[#This Row],[Opening Damage Unit]]-Current_Stock[[#This Row],[Damage Sold unit]]</f>
        <v>39</v>
      </c>
      <c r="AA49" s="228">
        <f>Current_Stock[[#This Row],[DP Price]]*Current_Stock[[#This Row],[Total Current (Unit)]]</f>
        <v>0</v>
      </c>
      <c r="AB49" s="228">
        <f ca="1">Current_Stock[[#This Row],[Total Current (Unit)]]+Current_Stock[[#This Row],[Remaining Damage Unit]]</f>
        <v>39</v>
      </c>
      <c r="AC49" s="228">
        <f ca="1">Current_Stock[[#This Row],[Total Unit with Damage]]*Current_Stock[[#This Row],[Cost]]</f>
        <v>3227.25</v>
      </c>
      <c r="AD49" s="228">
        <f>SUMIFS(Primary_Order[Total Qty],Primary_Order[Date],"&gt;="&amp;DATE(2027,12,1),Primary_Order[Status],$A$1,Primary_Order[Product ID],A49)</f>
        <v>0</v>
      </c>
      <c r="AE49" s="228">
        <f>Current_Stock[[#This Row],[Total Current (Unit)]]-Current_Stock[[#This Row],[Blocked Stock(unit)]]</f>
        <v>0</v>
      </c>
      <c r="AF49" s="228">
        <f>(Current_Stock[[#This Row],[Ageing till Sep''24 (D)]]+($B$1-45566))/30</f>
        <v>7.3002135041366421</v>
      </c>
      <c r="AG49" s="228">
        <v>8.0064051240992793</v>
      </c>
      <c r="AH49" t="str">
        <f>VLOOKUP(Current_Stock[[#This Row],[SKU ID]],SKU[],12,0)</f>
        <v>Care Products</v>
      </c>
      <c r="AI49" t="str">
        <f>VLOOKUP(Current_Stock[[#This Row],[SKU ID]],SKU[],10,0)</f>
        <v>Care Products</v>
      </c>
      <c r="AJ49" s="195">
        <f>VLOOKUP(Current_Stock[[#This Row],[SKU ID]],SKU[[SKU ID]:[Bottle Size(Ltr)]],6,0)*Current_Stock[[#This Row],[Vobanipur Current units]]</f>
        <v>0</v>
      </c>
      <c r="AK49" s="195">
        <f ca="1">VLOOKUP(Current_Stock[[#This Row],[SKU ID]],SKU[[SKU ID]:[Bottle Size(Ltr)]],6,0)*Current_Stock[[#This Row],[Remaining Damage Unit]]</f>
        <v>6.8249999999999993</v>
      </c>
      <c r="AL49" s="195">
        <f>VLOOKUP(Current_Stock[[#This Row],[SKU ID]],SKU[[SKU ID]:[Bottle Size(Ltr)]],6,0)*Current_Stock[[#This Row],[Ulukhola Current]]</f>
        <v>0</v>
      </c>
    </row>
    <row r="50" spans="1:38" x14ac:dyDescent="0.5">
      <c r="A50" s="159" t="s">
        <v>357</v>
      </c>
      <c r="B50" s="159" t="s">
        <v>780</v>
      </c>
      <c r="C50" s="228" t="str">
        <f>VLOOKUP(Current_Stock[[#This Row],[SKU ID]],SKU[],9,0)</f>
        <v>Care Products</v>
      </c>
      <c r="D50" s="228">
        <f>VLOOKUP(Current_Stock[[#This Row],[SKU ID]],SKU[],14,0)</f>
        <v>423.2</v>
      </c>
      <c r="E50" s="228">
        <f>VLOOKUP(Current_Stock[[#This Row],[SKU ID]],SKU[],15,0)</f>
        <v>0</v>
      </c>
      <c r="F50" s="228">
        <f>VLOOKUP(Current_Stock[[#This Row],[SKU ID]],Stock_year[],((MONTH($B$1)-1)*$C$75)+2+1,0)</f>
        <v>0</v>
      </c>
      <c r="G50" s="228">
        <f>VLOOKUP(Current_Stock[[#This Row],[SKU ID]],Stock_year[],((MONTH($B$1)-1)*$C$75)+2+2,0)</f>
        <v>0</v>
      </c>
      <c r="H50" s="228">
        <f>Current_Stock[[#This Row],[Vobanipur opening units]]+Current_Stock[[#This Row],[Ulukhola opening units]]</f>
        <v>0</v>
      </c>
      <c r="I50" s="267">
        <f>VLOOKUP(Current_Stock[[#This Row],[SKU ID]],SKU[[SKU ID]:[Bottle Size(Ltr)]],6,0)*Current_Stock[[#This Row],[Total Opening Unit]]</f>
        <v>0</v>
      </c>
      <c r="J50" s="228">
        <f>VLOOKUP(Current_Stock[[#This Row],[SKU ID]],Stock_year[],((MONTH($B$1)-1)*$C$75)+2+5,0)</f>
        <v>0</v>
      </c>
      <c r="K50" s="228">
        <f>VLOOKUP(Current_Stock[[#This Row],[SKU ID]],Stock_year[],((MONTH($B$1)-1)*$C$75)+2+6,0)</f>
        <v>0</v>
      </c>
      <c r="L50" s="228">
        <f>VLOOKUP(Current_Stock[[#This Row],[SKU ID]],Stock_year[],((MONTH($B$1)-1)*$C$75)+2+7,0)</f>
        <v>0</v>
      </c>
      <c r="M50" s="228">
        <f>Current_Stock[[#This Row],[Vobanipur opening units]]+Current_Stock[[#This Row],[New Arrival Ulukhola]]+Current_Stock[[#This Row],[Ulukhola to vobanipur transfer]]</f>
        <v>0</v>
      </c>
      <c r="N50" s="228">
        <f>Current_Stock[[#This Row],[Ulukhola opening units]]+Current_Stock[[#This Row],[New Arrival Vobanipur]]-Current_Stock[[#This Row],[Ulukhola to vobanipur transfer]]</f>
        <v>0</v>
      </c>
      <c r="O50" s="228">
        <f>Current_Stock[[#This Row],[Vobaipur total]]+Current_Stock[[#This Row],[Ulukhola Current]]</f>
        <v>0</v>
      </c>
      <c r="P50" s="228">
        <f>SUMIFS(Primary_Order[Total Qty],Primary_Order[Date],"&gt;="&amp;DATE(YEAR($B$1),MONTH($B$1),1),Primary_Order[Date],"&lt;="&amp;$B$1,Primary_Order[Status],$A$1,Primary_Order[Product ID],A50,Primary_Order[Status],"&lt;&gt;DMG-Sold")</f>
        <v>0</v>
      </c>
      <c r="Q50" s="228">
        <f>Current_Stock[[#This Row],[Sold Qty(Unit)]]*Current_Stock[[#This Row],[Cost]]</f>
        <v>0</v>
      </c>
      <c r="R50" s="228">
        <f>Current_Stock[[#This Row],[Vobaipur total]]-Current_Stock[[#This Row],[Sold Qty(Unit)]]</f>
        <v>0</v>
      </c>
      <c r="S50" s="267">
        <f>Current_Stock[[#This Row],[Vobanipur Current units]]+Current_Stock[[#This Row],[Ulukhola Current]]</f>
        <v>0</v>
      </c>
      <c r="T50" s="267">
        <f>VLOOKUP(Current_Stock[[#This Row],[SKU ID]],SKU[[SKU ID]:[Bottle Size(Ltr)]],6,0)*Current_Stock[[#This Row],[Total Current (Unit)]]</f>
        <v>0</v>
      </c>
      <c r="U50" s="267">
        <f>Current_Stock[[#This Row],[Total Current (Unit)]]*Current_Stock[[#This Row],[Cost]]</f>
        <v>0</v>
      </c>
      <c r="V50" s="267">
        <f>FLOOR(Current_Stock[[#This Row],[Total Current (Unit)]]/VLOOKUP(Current_Stock[[#This Row],[SKU ID]],SKU[],5,0),1)</f>
        <v>0</v>
      </c>
      <c r="W50" s="267">
        <f>MOD(Current_Stock[[#This Row],[Total Current (Unit)]],VLOOKUP(Current_Stock[[#This Row],[SKU ID]],SKU[],5,0))</f>
        <v>0</v>
      </c>
      <c r="X50" s="228">
        <f ca="1">VLOOKUP(Current_Stock[[#This Row],[SKU ID]],Stock_year[],((MONTH($B$1)-1)*$C$75)+17,0)</f>
        <v>0</v>
      </c>
      <c r="Y50" s="228">
        <f>SUMIFS(Primary_Order[Total Qty],Primary_Order[Date],"&gt;="&amp;DATE(YEAR($B$1),MONTH($B$1),1),Primary_Order[Date],"&lt;="&amp;$B$1,Primary_Order[Status],"DMG-Sold",Primary_Order[Product ID],A50)</f>
        <v>0</v>
      </c>
      <c r="Z50" s="228">
        <f ca="1">Current_Stock[[#This Row],[Opening Damage Unit]]-Current_Stock[[#This Row],[Damage Sold unit]]</f>
        <v>0</v>
      </c>
      <c r="AA50" s="228">
        <f>Current_Stock[[#This Row],[DP Price]]*Current_Stock[[#This Row],[Total Current (Unit)]]</f>
        <v>0</v>
      </c>
      <c r="AB50" s="228">
        <f ca="1">Current_Stock[[#This Row],[Total Current (Unit)]]+Current_Stock[[#This Row],[Remaining Damage Unit]]</f>
        <v>0</v>
      </c>
      <c r="AC50" s="228">
        <f ca="1">Current_Stock[[#This Row],[Total Unit with Damage]]*Current_Stock[[#This Row],[Cost]]</f>
        <v>0</v>
      </c>
      <c r="AD50" s="228">
        <f>SUMIFS(Primary_Order[Total Qty],Primary_Order[Date],"&gt;="&amp;DATE(2027,12,1),Primary_Order[Status],$A$1,Primary_Order[Product ID],A50)</f>
        <v>0</v>
      </c>
      <c r="AE50" s="228">
        <f>Current_Stock[[#This Row],[Total Current (Unit)]]-Current_Stock[[#This Row],[Blocked Stock(unit)]]</f>
        <v>0</v>
      </c>
      <c r="AF50" s="228">
        <f>(Current_Stock[[#This Row],[Ageing till Sep''24 (D)]]+($B$1-45566))/30</f>
        <v>7.0333333333333332</v>
      </c>
      <c r="AG50" s="228">
        <v>0</v>
      </c>
      <c r="AH50" t="str">
        <f>VLOOKUP(Current_Stock[[#This Row],[SKU ID]],SKU[],12,0)</f>
        <v>Care Products</v>
      </c>
      <c r="AI50" t="str">
        <f>VLOOKUP(Current_Stock[[#This Row],[SKU ID]],SKU[],10,0)</f>
        <v>Care Products</v>
      </c>
      <c r="AJ50" s="195">
        <f>VLOOKUP(Current_Stock[[#This Row],[SKU ID]],SKU[[SKU ID]:[Bottle Size(Ltr)]],6,0)*Current_Stock[[#This Row],[Vobanipur Current units]]</f>
        <v>0</v>
      </c>
      <c r="AK50" s="195">
        <f ca="1">VLOOKUP(Current_Stock[[#This Row],[SKU ID]],SKU[[SKU ID]:[Bottle Size(Ltr)]],6,0)*Current_Stock[[#This Row],[Remaining Damage Unit]]</f>
        <v>0</v>
      </c>
      <c r="AL50" s="195">
        <f>VLOOKUP(Current_Stock[[#This Row],[SKU ID]],SKU[[SKU ID]:[Bottle Size(Ltr)]],6,0)*Current_Stock[[#This Row],[Ulukhola Current]]</f>
        <v>0</v>
      </c>
    </row>
    <row r="51" spans="1:38" x14ac:dyDescent="0.5">
      <c r="A51" s="159" t="s">
        <v>106</v>
      </c>
      <c r="B51" s="159" t="s">
        <v>781</v>
      </c>
      <c r="C51" s="228" t="str">
        <f>VLOOKUP(Current_Stock[[#This Row],[SKU ID]],SKU[],9,0)</f>
        <v>MCO</v>
      </c>
      <c r="D51" s="228">
        <f>VLOOKUP(Current_Stock[[#This Row],[SKU ID]],SKU[],14,0)</f>
        <v>1214.3</v>
      </c>
      <c r="E51" s="228">
        <f>VLOOKUP(Current_Stock[[#This Row],[SKU ID]],SKU[],15,0)</f>
        <v>1750</v>
      </c>
      <c r="F51" s="228">
        <f>VLOOKUP(Current_Stock[[#This Row],[SKU ID]],Stock_year[],((MONTH($B$1)-1)*$C$75)+2+1,0)</f>
        <v>0</v>
      </c>
      <c r="G51" s="228">
        <f>VLOOKUP(Current_Stock[[#This Row],[SKU ID]],Stock_year[],((MONTH($B$1)-1)*$C$75)+2+2,0)</f>
        <v>0</v>
      </c>
      <c r="H51" s="228">
        <f>Current_Stock[[#This Row],[Vobanipur opening units]]+Current_Stock[[#This Row],[Ulukhola opening units]]</f>
        <v>0</v>
      </c>
      <c r="I51" s="267">
        <f>VLOOKUP(Current_Stock[[#This Row],[SKU ID]],SKU[[SKU ID]:[Bottle Size(Ltr)]],6,0)*Current_Stock[[#This Row],[Total Opening Unit]]</f>
        <v>0</v>
      </c>
      <c r="J51" s="228">
        <f>VLOOKUP(Current_Stock[[#This Row],[SKU ID]],Stock_year[],((MONTH($B$1)-1)*$C$75)+2+5,0)</f>
        <v>0</v>
      </c>
      <c r="K51" s="228">
        <f>VLOOKUP(Current_Stock[[#This Row],[SKU ID]],Stock_year[],((MONTH($B$1)-1)*$C$75)+2+6,0)</f>
        <v>0</v>
      </c>
      <c r="L51" s="228">
        <f>VLOOKUP(Current_Stock[[#This Row],[SKU ID]],Stock_year[],((MONTH($B$1)-1)*$C$75)+2+7,0)</f>
        <v>0</v>
      </c>
      <c r="M51" s="228">
        <f>Current_Stock[[#This Row],[Vobanipur opening units]]+Current_Stock[[#This Row],[New Arrival Ulukhola]]+Current_Stock[[#This Row],[Ulukhola to vobanipur transfer]]</f>
        <v>0</v>
      </c>
      <c r="N51" s="228">
        <f>Current_Stock[[#This Row],[Ulukhola opening units]]+Current_Stock[[#This Row],[New Arrival Vobanipur]]-Current_Stock[[#This Row],[Ulukhola to vobanipur transfer]]</f>
        <v>0</v>
      </c>
      <c r="O51" s="228">
        <f>Current_Stock[[#This Row],[Vobaipur total]]+Current_Stock[[#This Row],[Ulukhola Current]]</f>
        <v>0</v>
      </c>
      <c r="P51" s="228">
        <f>SUMIFS(Primary_Order[Total Qty],Primary_Order[Date],"&gt;="&amp;DATE(YEAR($B$1),MONTH($B$1),1),Primary_Order[Date],"&lt;="&amp;$B$1,Primary_Order[Status],$A$1,Primary_Order[Product ID],A51,Primary_Order[Status],"&lt;&gt;DMG-Sold")</f>
        <v>0</v>
      </c>
      <c r="Q51" s="228">
        <f>Current_Stock[[#This Row],[Sold Qty(Unit)]]*Current_Stock[[#This Row],[Cost]]</f>
        <v>0</v>
      </c>
      <c r="R51" s="228">
        <f>Current_Stock[[#This Row],[Vobaipur total]]-Current_Stock[[#This Row],[Sold Qty(Unit)]]</f>
        <v>0</v>
      </c>
      <c r="S51" s="267">
        <f>Current_Stock[[#This Row],[Vobanipur Current units]]+Current_Stock[[#This Row],[Ulukhola Current]]</f>
        <v>0</v>
      </c>
      <c r="T51" s="267">
        <f>VLOOKUP(Current_Stock[[#This Row],[SKU ID]],SKU[[SKU ID]:[Bottle Size(Ltr)]],6,0)*Current_Stock[[#This Row],[Total Current (Unit)]]</f>
        <v>0</v>
      </c>
      <c r="U51" s="267">
        <f>Current_Stock[[#This Row],[Total Current (Unit)]]*Current_Stock[[#This Row],[Cost]]</f>
        <v>0</v>
      </c>
      <c r="V51" s="267">
        <f>FLOOR(Current_Stock[[#This Row],[Total Current (Unit)]]/VLOOKUP(Current_Stock[[#This Row],[SKU ID]],SKU[],5,0),1)</f>
        <v>0</v>
      </c>
      <c r="W51" s="267">
        <f>MOD(Current_Stock[[#This Row],[Total Current (Unit)]],VLOOKUP(Current_Stock[[#This Row],[SKU ID]],SKU[],5,0))</f>
        <v>0</v>
      </c>
      <c r="X51" s="228">
        <f ca="1">VLOOKUP(Current_Stock[[#This Row],[SKU ID]],Stock_year[],((MONTH($B$1)-1)*$C$75)+17,0)</f>
        <v>52</v>
      </c>
      <c r="Y51" s="228">
        <f>SUMIFS(Primary_Order[Total Qty],Primary_Order[Date],"&gt;="&amp;DATE(YEAR($B$1),MONTH($B$1),1),Primary_Order[Date],"&lt;="&amp;$B$1,Primary_Order[Status],"DMG-Sold",Primary_Order[Product ID],A51)</f>
        <v>0</v>
      </c>
      <c r="Z51" s="228">
        <f ca="1">Current_Stock[[#This Row],[Opening Damage Unit]]-Current_Stock[[#This Row],[Damage Sold unit]]</f>
        <v>52</v>
      </c>
      <c r="AA51" s="228">
        <f>Current_Stock[[#This Row],[DP Price]]*Current_Stock[[#This Row],[Total Current (Unit)]]</f>
        <v>0</v>
      </c>
      <c r="AB51" s="228">
        <f ca="1">Current_Stock[[#This Row],[Total Current (Unit)]]+Current_Stock[[#This Row],[Remaining Damage Unit]]</f>
        <v>52</v>
      </c>
      <c r="AC51" s="228">
        <f ca="1">Current_Stock[[#This Row],[Total Unit with Damage]]*Current_Stock[[#This Row],[Cost]]</f>
        <v>63143.6</v>
      </c>
      <c r="AD51" s="228">
        <f>SUMIFS(Primary_Order[Total Qty],Primary_Order[Date],"&gt;="&amp;DATE(2027,12,1),Primary_Order[Status],$A$1,Primary_Order[Product ID],A51)</f>
        <v>0</v>
      </c>
      <c r="AE51" s="228">
        <f>Current_Stock[[#This Row],[Total Current (Unit)]]-Current_Stock[[#This Row],[Blocked Stock(unit)]]</f>
        <v>0</v>
      </c>
      <c r="AF51" s="228">
        <f>(Current_Stock[[#This Row],[Ageing till Sep''24 (D)]]+($B$1-45566))/30</f>
        <v>8.0074581430745813</v>
      </c>
      <c r="AG51" s="228">
        <v>29.223744292237441</v>
      </c>
      <c r="AH51" t="str">
        <f>VLOOKUP(Current_Stock[[#This Row],[SKU ID]],SKU[],12,0)</f>
        <v>10W40</v>
      </c>
      <c r="AI51" t="str">
        <f>VLOOKUP(Current_Stock[[#This Row],[SKU ID]],SKU[],10,0)</f>
        <v>Synthetic</v>
      </c>
      <c r="AJ51" s="195">
        <f>VLOOKUP(Current_Stock[[#This Row],[SKU ID]],SKU[[SKU ID]:[Bottle Size(Ltr)]],6,0)*Current_Stock[[#This Row],[Vobanipur Current units]]</f>
        <v>0</v>
      </c>
      <c r="AK51" s="195">
        <f ca="1">VLOOKUP(Current_Stock[[#This Row],[SKU ID]],SKU[[SKU ID]:[Bottle Size(Ltr)]],6,0)*Current_Stock[[#This Row],[Remaining Damage Unit]]</f>
        <v>52</v>
      </c>
      <c r="AL51" s="195">
        <f>VLOOKUP(Current_Stock[[#This Row],[SKU ID]],SKU[[SKU ID]:[Bottle Size(Ltr)]],6,0)*Current_Stock[[#This Row],[Ulukhola Current]]</f>
        <v>0</v>
      </c>
    </row>
    <row r="52" spans="1:38" x14ac:dyDescent="0.5">
      <c r="A52" s="159" t="s">
        <v>147</v>
      </c>
      <c r="B52" s="159" t="s">
        <v>785</v>
      </c>
      <c r="C52" s="228" t="str">
        <f>VLOOKUP(Current_Stock[[#This Row],[SKU ID]],SKU[],9,0)</f>
        <v>Care Products</v>
      </c>
      <c r="D52" s="228">
        <f>VLOOKUP(Current_Stock[[#This Row],[SKU ID]],SKU[],14,0)</f>
        <v>673.80179297597044</v>
      </c>
      <c r="E52" s="228">
        <f>VLOOKUP(Current_Stock[[#This Row],[SKU ID]],SKU[],15,0)</f>
        <v>998.75</v>
      </c>
      <c r="F52" s="228">
        <f>VLOOKUP(Current_Stock[[#This Row],[SKU ID]],Stock_year[],((MONTH($B$1)-1)*$C$75)+2+1,0)</f>
        <v>0</v>
      </c>
      <c r="G52" s="228">
        <f>VLOOKUP(Current_Stock[[#This Row],[SKU ID]],Stock_year[],((MONTH($B$1)-1)*$C$75)+2+2,0)</f>
        <v>0</v>
      </c>
      <c r="H52" s="228">
        <f>Current_Stock[[#This Row],[Vobanipur opening units]]+Current_Stock[[#This Row],[Ulukhola opening units]]</f>
        <v>0</v>
      </c>
      <c r="I52" s="267">
        <f>VLOOKUP(Current_Stock[[#This Row],[SKU ID]],SKU[[SKU ID]:[Bottle Size(Ltr)]],6,0)*Current_Stock[[#This Row],[Total Opening Unit]]</f>
        <v>0</v>
      </c>
      <c r="J52" s="228">
        <f>VLOOKUP(Current_Stock[[#This Row],[SKU ID]],Stock_year[],((MONTH($B$1)-1)*$C$75)+2+5,0)</f>
        <v>0</v>
      </c>
      <c r="K52" s="228">
        <f>VLOOKUP(Current_Stock[[#This Row],[SKU ID]],Stock_year[],((MONTH($B$1)-1)*$C$75)+2+6,0)</f>
        <v>0</v>
      </c>
      <c r="L52" s="228">
        <f>VLOOKUP(Current_Stock[[#This Row],[SKU ID]],Stock_year[],((MONTH($B$1)-1)*$C$75)+2+7,0)</f>
        <v>0</v>
      </c>
      <c r="M52" s="228">
        <f>Current_Stock[[#This Row],[Vobanipur opening units]]+Current_Stock[[#This Row],[New Arrival Ulukhola]]+Current_Stock[[#This Row],[Ulukhola to vobanipur transfer]]</f>
        <v>0</v>
      </c>
      <c r="N52" s="228">
        <f>Current_Stock[[#This Row],[Ulukhola opening units]]+Current_Stock[[#This Row],[New Arrival Vobanipur]]-Current_Stock[[#This Row],[Ulukhola to vobanipur transfer]]</f>
        <v>0</v>
      </c>
      <c r="O52" s="228">
        <f>Current_Stock[[#This Row],[Vobaipur total]]+Current_Stock[[#This Row],[Ulukhola Current]]</f>
        <v>0</v>
      </c>
      <c r="P52" s="228">
        <f>SUMIFS(Primary_Order[Total Qty],Primary_Order[Date],"&gt;="&amp;DATE(YEAR($B$1),MONTH($B$1),1),Primary_Order[Date],"&lt;="&amp;$B$1,Primary_Order[Status],$A$1,Primary_Order[Product ID],A52,Primary_Order[Status],"&lt;&gt;DMG-Sold")</f>
        <v>0</v>
      </c>
      <c r="Q52" s="228">
        <f>Current_Stock[[#This Row],[Sold Qty(Unit)]]*Current_Stock[[#This Row],[Cost]]</f>
        <v>0</v>
      </c>
      <c r="R52" s="228">
        <f>Current_Stock[[#This Row],[Vobaipur total]]-Current_Stock[[#This Row],[Sold Qty(Unit)]]</f>
        <v>0</v>
      </c>
      <c r="S52" s="267">
        <f>Current_Stock[[#This Row],[Vobanipur Current units]]+Current_Stock[[#This Row],[Ulukhola Current]]</f>
        <v>0</v>
      </c>
      <c r="T52" s="267">
        <f>VLOOKUP(Current_Stock[[#This Row],[SKU ID]],SKU[[SKU ID]:[Bottle Size(Ltr)]],6,0)*Current_Stock[[#This Row],[Total Current (Unit)]]</f>
        <v>0</v>
      </c>
      <c r="U52" s="267">
        <f>Current_Stock[[#This Row],[Total Current (Unit)]]*Current_Stock[[#This Row],[Cost]]</f>
        <v>0</v>
      </c>
      <c r="V52" s="267">
        <f>FLOOR(Current_Stock[[#This Row],[Total Current (Unit)]]/VLOOKUP(Current_Stock[[#This Row],[SKU ID]],SKU[],5,0),1)</f>
        <v>0</v>
      </c>
      <c r="W52" s="267">
        <f>MOD(Current_Stock[[#This Row],[Total Current (Unit)]],VLOOKUP(Current_Stock[[#This Row],[SKU ID]],SKU[],5,0))</f>
        <v>0</v>
      </c>
      <c r="X52" s="228">
        <f ca="1">VLOOKUP(Current_Stock[[#This Row],[SKU ID]],Stock_year[],((MONTH($B$1)-1)*$C$75)+17,0)</f>
        <v>5</v>
      </c>
      <c r="Y52" s="228">
        <f>SUMIFS(Primary_Order[Total Qty],Primary_Order[Date],"&gt;="&amp;DATE(YEAR($B$1),MONTH($B$1),1),Primary_Order[Date],"&lt;="&amp;$B$1,Primary_Order[Status],"DMG-Sold",Primary_Order[Product ID],A52)</f>
        <v>0</v>
      </c>
      <c r="Z52" s="228">
        <f ca="1">Current_Stock[[#This Row],[Opening Damage Unit]]-Current_Stock[[#This Row],[Damage Sold unit]]</f>
        <v>5</v>
      </c>
      <c r="AA52" s="228">
        <f>Current_Stock[[#This Row],[DP Price]]*Current_Stock[[#This Row],[Total Current (Unit)]]</f>
        <v>0</v>
      </c>
      <c r="AB52" s="228">
        <f ca="1">Current_Stock[[#This Row],[Total Current (Unit)]]+Current_Stock[[#This Row],[Remaining Damage Unit]]</f>
        <v>5</v>
      </c>
      <c r="AC52" s="228">
        <f ca="1">Current_Stock[[#This Row],[Total Unit with Damage]]*Current_Stock[[#This Row],[Cost]]</f>
        <v>3369.0089648798521</v>
      </c>
      <c r="AD52" s="228">
        <f>SUMIFS(Primary_Order[Total Qty],Primary_Order[Date],"&gt;="&amp;DATE(2027,12,1),Primary_Order[Status],$A$1,Primary_Order[Product ID],A52)</f>
        <v>0</v>
      </c>
      <c r="AE52" s="228">
        <f>Current_Stock[[#This Row],[Total Current (Unit)]]-Current_Stock[[#This Row],[Blocked Stock(unit)]]</f>
        <v>0</v>
      </c>
      <c r="AF52" s="228">
        <f>(Current_Stock[[#This Row],[Ageing till Sep''24 (D)]]+($B$1-45566))/30</f>
        <v>18.033333333333335</v>
      </c>
      <c r="AG52" s="228">
        <v>330</v>
      </c>
      <c r="AH52" t="str">
        <f>VLOOKUP(Current_Stock[[#This Row],[SKU ID]],SKU[],12,0)</f>
        <v>Care Products</v>
      </c>
      <c r="AI52" t="str">
        <f>VLOOKUP(Current_Stock[[#This Row],[SKU ID]],SKU[],10,0)</f>
        <v>Care Products</v>
      </c>
      <c r="AJ52" s="195">
        <f>VLOOKUP(Current_Stock[[#This Row],[SKU ID]],SKU[[SKU ID]:[Bottle Size(Ltr)]],6,0)*Current_Stock[[#This Row],[Vobanipur Current units]]</f>
        <v>0</v>
      </c>
      <c r="AK52" s="195">
        <f ca="1">VLOOKUP(Current_Stock[[#This Row],[SKU ID]],SKU[[SKU ID]:[Bottle Size(Ltr)]],6,0)*Current_Stock[[#This Row],[Remaining Damage Unit]]</f>
        <v>2</v>
      </c>
      <c r="AL52" s="195">
        <f>VLOOKUP(Current_Stock[[#This Row],[SKU ID]],SKU[[SKU ID]:[Bottle Size(Ltr)]],6,0)*Current_Stock[[#This Row],[Ulukhola Current]]</f>
        <v>0</v>
      </c>
    </row>
    <row r="53" spans="1:38" x14ac:dyDescent="0.5">
      <c r="A53" s="159" t="s">
        <v>126</v>
      </c>
      <c r="B53" s="159" t="s">
        <v>786</v>
      </c>
      <c r="C53" s="228" t="str">
        <f>VLOOKUP(Current_Stock[[#This Row],[SKU ID]],SKU[],9,0)</f>
        <v>Care Products</v>
      </c>
      <c r="D53" s="228">
        <f>VLOOKUP(Current_Stock[[#This Row],[SKU ID]],SKU[],14,0)</f>
        <v>357.09268115942029</v>
      </c>
      <c r="E53" s="228">
        <f>VLOOKUP(Current_Stock[[#This Row],[SKU ID]],SKU[],15,0)</f>
        <v>510</v>
      </c>
      <c r="F53" s="228">
        <f>VLOOKUP(Current_Stock[[#This Row],[SKU ID]],Stock_year[],((MONTH($B$1)-1)*$C$75)+2+1,0)</f>
        <v>0</v>
      </c>
      <c r="G53" s="228">
        <f>VLOOKUP(Current_Stock[[#This Row],[SKU ID]],Stock_year[],((MONTH($B$1)-1)*$C$75)+2+2,0)</f>
        <v>0</v>
      </c>
      <c r="H53" s="228">
        <f>Current_Stock[[#This Row],[Vobanipur opening units]]+Current_Stock[[#This Row],[Ulukhola opening units]]</f>
        <v>0</v>
      </c>
      <c r="I53" s="267">
        <f>VLOOKUP(Current_Stock[[#This Row],[SKU ID]],SKU[[SKU ID]:[Bottle Size(Ltr)]],6,0)*Current_Stock[[#This Row],[Total Opening Unit]]</f>
        <v>0</v>
      </c>
      <c r="J53" s="228">
        <f>VLOOKUP(Current_Stock[[#This Row],[SKU ID]],Stock_year[],((MONTH($B$1)-1)*$C$75)+2+5,0)</f>
        <v>0</v>
      </c>
      <c r="K53" s="228">
        <f>VLOOKUP(Current_Stock[[#This Row],[SKU ID]],Stock_year[],((MONTH($B$1)-1)*$C$75)+2+6,0)</f>
        <v>0</v>
      </c>
      <c r="L53" s="228">
        <f>VLOOKUP(Current_Stock[[#This Row],[SKU ID]],Stock_year[],((MONTH($B$1)-1)*$C$75)+2+7,0)</f>
        <v>0</v>
      </c>
      <c r="M53" s="228">
        <f>Current_Stock[[#This Row],[Vobanipur opening units]]+Current_Stock[[#This Row],[New Arrival Ulukhola]]+Current_Stock[[#This Row],[Ulukhola to vobanipur transfer]]</f>
        <v>0</v>
      </c>
      <c r="N53" s="228">
        <f>Current_Stock[[#This Row],[Ulukhola opening units]]+Current_Stock[[#This Row],[New Arrival Vobanipur]]-Current_Stock[[#This Row],[Ulukhola to vobanipur transfer]]</f>
        <v>0</v>
      </c>
      <c r="O53" s="228">
        <f>Current_Stock[[#This Row],[Vobaipur total]]+Current_Stock[[#This Row],[Ulukhola Current]]</f>
        <v>0</v>
      </c>
      <c r="P53" s="228">
        <f>SUMIFS(Primary_Order[Total Qty],Primary_Order[Date],"&gt;="&amp;DATE(YEAR($B$1),MONTH($B$1),1),Primary_Order[Date],"&lt;="&amp;$B$1,Primary_Order[Status],$A$1,Primary_Order[Product ID],A53,Primary_Order[Status],"&lt;&gt;DMG-Sold")</f>
        <v>0</v>
      </c>
      <c r="Q53" s="228">
        <f>Current_Stock[[#This Row],[Sold Qty(Unit)]]*Current_Stock[[#This Row],[Cost]]</f>
        <v>0</v>
      </c>
      <c r="R53" s="228">
        <f>Current_Stock[[#This Row],[Vobaipur total]]-Current_Stock[[#This Row],[Sold Qty(Unit)]]</f>
        <v>0</v>
      </c>
      <c r="S53" s="267">
        <f>Current_Stock[[#This Row],[Vobanipur Current units]]+Current_Stock[[#This Row],[Ulukhola Current]]</f>
        <v>0</v>
      </c>
      <c r="T53" s="267">
        <f>VLOOKUP(Current_Stock[[#This Row],[SKU ID]],SKU[[SKU ID]:[Bottle Size(Ltr)]],6,0)*Current_Stock[[#This Row],[Total Current (Unit)]]</f>
        <v>0</v>
      </c>
      <c r="U53" s="267">
        <f>Current_Stock[[#This Row],[Total Current (Unit)]]*Current_Stock[[#This Row],[Cost]]</f>
        <v>0</v>
      </c>
      <c r="V53" s="267">
        <f>FLOOR(Current_Stock[[#This Row],[Total Current (Unit)]]/VLOOKUP(Current_Stock[[#This Row],[SKU ID]],SKU[],5,0),1)</f>
        <v>0</v>
      </c>
      <c r="W53" s="267">
        <f>MOD(Current_Stock[[#This Row],[Total Current (Unit)]],VLOOKUP(Current_Stock[[#This Row],[SKU ID]],SKU[],5,0))</f>
        <v>0</v>
      </c>
      <c r="X53" s="228">
        <f ca="1">VLOOKUP(Current_Stock[[#This Row],[SKU ID]],Stock_year[],((MONTH($B$1)-1)*$C$75)+17,0)</f>
        <v>8</v>
      </c>
      <c r="Y53" s="228">
        <f>SUMIFS(Primary_Order[Total Qty],Primary_Order[Date],"&gt;="&amp;DATE(YEAR($B$1),MONTH($B$1),1),Primary_Order[Date],"&lt;="&amp;$B$1,Primary_Order[Status],"DMG-Sold",Primary_Order[Product ID],A53)</f>
        <v>0</v>
      </c>
      <c r="Z53" s="228">
        <f ca="1">Current_Stock[[#This Row],[Opening Damage Unit]]-Current_Stock[[#This Row],[Damage Sold unit]]</f>
        <v>8</v>
      </c>
      <c r="AA53" s="228">
        <f>Current_Stock[[#This Row],[DP Price]]*Current_Stock[[#This Row],[Total Current (Unit)]]</f>
        <v>0</v>
      </c>
      <c r="AB53" s="228">
        <f ca="1">Current_Stock[[#This Row],[Total Current (Unit)]]+Current_Stock[[#This Row],[Remaining Damage Unit]]</f>
        <v>8</v>
      </c>
      <c r="AC53" s="228">
        <f ca="1">Current_Stock[[#This Row],[Total Unit with Damage]]*Current_Stock[[#This Row],[Cost]]</f>
        <v>2856.7414492753624</v>
      </c>
      <c r="AD53" s="228">
        <f>SUMIFS(Primary_Order[Total Qty],Primary_Order[Date],"&gt;="&amp;DATE(2027,12,1),Primary_Order[Status],$A$1,Primary_Order[Product ID],A53)</f>
        <v>0</v>
      </c>
      <c r="AE53" s="228">
        <f>Current_Stock[[#This Row],[Total Current (Unit)]]-Current_Stock[[#This Row],[Blocked Stock(unit)]]</f>
        <v>0</v>
      </c>
      <c r="AF53" s="228">
        <f>(Current_Stock[[#This Row],[Ageing till Sep''24 (D)]]+($B$1-45566))/30</f>
        <v>18.033333333333335</v>
      </c>
      <c r="AG53" s="228">
        <v>330</v>
      </c>
      <c r="AH53" t="str">
        <f>VLOOKUP(Current_Stock[[#This Row],[SKU ID]],SKU[],12,0)</f>
        <v>Care Products</v>
      </c>
      <c r="AI53" t="str">
        <f>VLOOKUP(Current_Stock[[#This Row],[SKU ID]],SKU[],10,0)</f>
        <v>Care Products</v>
      </c>
      <c r="AJ53" s="195">
        <f>VLOOKUP(Current_Stock[[#This Row],[SKU ID]],SKU[[SKU ID]:[Bottle Size(Ltr)]],6,0)*Current_Stock[[#This Row],[Vobanipur Current units]]</f>
        <v>0</v>
      </c>
      <c r="AK53" s="195">
        <f ca="1">VLOOKUP(Current_Stock[[#This Row],[SKU ID]],SKU[[SKU ID]:[Bottle Size(Ltr)]],6,0)*Current_Stock[[#This Row],[Remaining Damage Unit]]</f>
        <v>1.2</v>
      </c>
      <c r="AL53" s="195">
        <f>VLOOKUP(Current_Stock[[#This Row],[SKU ID]],SKU[[SKU ID]:[Bottle Size(Ltr)]],6,0)*Current_Stock[[#This Row],[Ulukhola Current]]</f>
        <v>0</v>
      </c>
    </row>
    <row r="54" spans="1:38" x14ac:dyDescent="0.5">
      <c r="A54" s="159" t="s">
        <v>148</v>
      </c>
      <c r="B54" s="159" t="s">
        <v>787</v>
      </c>
      <c r="C54" s="228" t="str">
        <f>VLOOKUP(Current_Stock[[#This Row],[SKU ID]],SKU[],9,0)</f>
        <v>Care Products</v>
      </c>
      <c r="D54" s="228">
        <f>VLOOKUP(Current_Stock[[#This Row],[SKU ID]],SKU[],14,0)</f>
        <v>706.42901098901098</v>
      </c>
      <c r="E54" s="228">
        <f>VLOOKUP(Current_Stock[[#This Row],[SKU ID]],SKU[],15,0)</f>
        <v>1062.5</v>
      </c>
      <c r="F54" s="228">
        <f>VLOOKUP(Current_Stock[[#This Row],[SKU ID]],Stock_year[],((MONTH($B$1)-1)*$C$75)+2+1,0)</f>
        <v>0</v>
      </c>
      <c r="G54" s="228">
        <f>VLOOKUP(Current_Stock[[#This Row],[SKU ID]],Stock_year[],((MONTH($B$1)-1)*$C$75)+2+2,0)</f>
        <v>0</v>
      </c>
      <c r="H54" s="228">
        <f>Current_Stock[[#This Row],[Vobanipur opening units]]+Current_Stock[[#This Row],[Ulukhola opening units]]</f>
        <v>0</v>
      </c>
      <c r="I54" s="267">
        <f>VLOOKUP(Current_Stock[[#This Row],[SKU ID]],SKU[[SKU ID]:[Bottle Size(Ltr)]],6,0)*Current_Stock[[#This Row],[Total Opening Unit]]</f>
        <v>0</v>
      </c>
      <c r="J54" s="228">
        <f>VLOOKUP(Current_Stock[[#This Row],[SKU ID]],Stock_year[],((MONTH($B$1)-1)*$C$75)+2+5,0)</f>
        <v>0</v>
      </c>
      <c r="K54" s="228">
        <f>VLOOKUP(Current_Stock[[#This Row],[SKU ID]],Stock_year[],((MONTH($B$1)-1)*$C$75)+2+6,0)</f>
        <v>0</v>
      </c>
      <c r="L54" s="228">
        <f>VLOOKUP(Current_Stock[[#This Row],[SKU ID]],Stock_year[],((MONTH($B$1)-1)*$C$75)+2+7,0)</f>
        <v>0</v>
      </c>
      <c r="M54" s="228">
        <f>Current_Stock[[#This Row],[Vobanipur opening units]]+Current_Stock[[#This Row],[New Arrival Ulukhola]]+Current_Stock[[#This Row],[Ulukhola to vobanipur transfer]]</f>
        <v>0</v>
      </c>
      <c r="N54" s="228">
        <f>Current_Stock[[#This Row],[Ulukhola opening units]]+Current_Stock[[#This Row],[New Arrival Vobanipur]]-Current_Stock[[#This Row],[Ulukhola to vobanipur transfer]]</f>
        <v>0</v>
      </c>
      <c r="O54" s="228">
        <f>Current_Stock[[#This Row],[Vobaipur total]]+Current_Stock[[#This Row],[Ulukhola Current]]</f>
        <v>0</v>
      </c>
      <c r="P54" s="228">
        <f>SUMIFS(Primary_Order[Total Qty],Primary_Order[Date],"&gt;="&amp;DATE(YEAR($B$1),MONTH($B$1),1),Primary_Order[Date],"&lt;="&amp;$B$1,Primary_Order[Status],$A$1,Primary_Order[Product ID],A54,Primary_Order[Status],"&lt;&gt;DMG-Sold")</f>
        <v>0</v>
      </c>
      <c r="Q54" s="228">
        <f>Current_Stock[[#This Row],[Sold Qty(Unit)]]*Current_Stock[[#This Row],[Cost]]</f>
        <v>0</v>
      </c>
      <c r="R54" s="228">
        <f>Current_Stock[[#This Row],[Vobaipur total]]-Current_Stock[[#This Row],[Sold Qty(Unit)]]</f>
        <v>0</v>
      </c>
      <c r="S54" s="267">
        <f>Current_Stock[[#This Row],[Vobanipur Current units]]+Current_Stock[[#This Row],[Ulukhola Current]]</f>
        <v>0</v>
      </c>
      <c r="T54" s="267">
        <f>VLOOKUP(Current_Stock[[#This Row],[SKU ID]],SKU[[SKU ID]:[Bottle Size(Ltr)]],6,0)*Current_Stock[[#This Row],[Total Current (Unit)]]</f>
        <v>0</v>
      </c>
      <c r="U54" s="267">
        <f>Current_Stock[[#This Row],[Total Current (Unit)]]*Current_Stock[[#This Row],[Cost]]</f>
        <v>0</v>
      </c>
      <c r="V54" s="267">
        <f>FLOOR(Current_Stock[[#This Row],[Total Current (Unit)]]/VLOOKUP(Current_Stock[[#This Row],[SKU ID]],SKU[],5,0),1)</f>
        <v>0</v>
      </c>
      <c r="W54" s="267">
        <f>MOD(Current_Stock[[#This Row],[Total Current (Unit)]],VLOOKUP(Current_Stock[[#This Row],[SKU ID]],SKU[],5,0))</f>
        <v>0</v>
      </c>
      <c r="X54" s="228">
        <f ca="1">VLOOKUP(Current_Stock[[#This Row],[SKU ID]],Stock_year[],((MONTH($B$1)-1)*$C$75)+17,0)</f>
        <v>13</v>
      </c>
      <c r="Y54" s="228">
        <f>SUMIFS(Primary_Order[Total Qty],Primary_Order[Date],"&gt;="&amp;DATE(YEAR($B$1),MONTH($B$1),1),Primary_Order[Date],"&lt;="&amp;$B$1,Primary_Order[Status],"DMG-Sold",Primary_Order[Product ID],A54)</f>
        <v>0</v>
      </c>
      <c r="Z54" s="228">
        <f ca="1">Current_Stock[[#This Row],[Opening Damage Unit]]-Current_Stock[[#This Row],[Damage Sold unit]]</f>
        <v>13</v>
      </c>
      <c r="AA54" s="228">
        <f>Current_Stock[[#This Row],[DP Price]]*Current_Stock[[#This Row],[Total Current (Unit)]]</f>
        <v>0</v>
      </c>
      <c r="AB54" s="228">
        <f ca="1">Current_Stock[[#This Row],[Total Current (Unit)]]+Current_Stock[[#This Row],[Remaining Damage Unit]]</f>
        <v>13</v>
      </c>
      <c r="AC54" s="228">
        <f ca="1">Current_Stock[[#This Row],[Total Unit with Damage]]*Current_Stock[[#This Row],[Cost]]</f>
        <v>9183.5771428571425</v>
      </c>
      <c r="AD54" s="228">
        <f>SUMIFS(Primary_Order[Total Qty],Primary_Order[Date],"&gt;="&amp;DATE(2027,12,1),Primary_Order[Status],$A$1,Primary_Order[Product ID],A54)</f>
        <v>0</v>
      </c>
      <c r="AE54" s="228">
        <f>Current_Stock[[#This Row],[Total Current (Unit)]]-Current_Stock[[#This Row],[Blocked Stock(unit)]]</f>
        <v>0</v>
      </c>
      <c r="AF54" s="228">
        <f>(Current_Stock[[#This Row],[Ageing till Sep''24 (D)]]+($B$1-45566))/30</f>
        <v>18.033333333333335</v>
      </c>
      <c r="AG54" s="228">
        <v>330</v>
      </c>
      <c r="AH54" t="str">
        <f>VLOOKUP(Current_Stock[[#This Row],[SKU ID]],SKU[],12,0)</f>
        <v>Care Products</v>
      </c>
      <c r="AI54" t="str">
        <f>VLOOKUP(Current_Stock[[#This Row],[SKU ID]],SKU[],10,0)</f>
        <v>Care Products</v>
      </c>
      <c r="AJ54" s="195">
        <f>VLOOKUP(Current_Stock[[#This Row],[SKU ID]],SKU[[SKU ID]:[Bottle Size(Ltr)]],6,0)*Current_Stock[[#This Row],[Vobanipur Current units]]</f>
        <v>0</v>
      </c>
      <c r="AK54" s="195">
        <f ca="1">VLOOKUP(Current_Stock[[#This Row],[SKU ID]],SKU[[SKU ID]:[Bottle Size(Ltr)]],6,0)*Current_Stock[[#This Row],[Remaining Damage Unit]]</f>
        <v>5.2</v>
      </c>
      <c r="AL54" s="195">
        <f>VLOOKUP(Current_Stock[[#This Row],[SKU ID]],SKU[[SKU ID]:[Bottle Size(Ltr)]],6,0)*Current_Stock[[#This Row],[Ulukhola Current]]</f>
        <v>0</v>
      </c>
    </row>
    <row r="55" spans="1:38" x14ac:dyDescent="0.5">
      <c r="A55" s="159" t="s">
        <v>37</v>
      </c>
      <c r="B55" s="159" t="s">
        <v>788</v>
      </c>
      <c r="C55" s="228" t="str">
        <f>VLOOKUP(Current_Stock[[#This Row],[SKU ID]],SKU[],9,0)</f>
        <v>Care Products</v>
      </c>
      <c r="D55" s="228">
        <f>VLOOKUP(Current_Stock[[#This Row],[SKU ID]],SKU[],14,0)</f>
        <v>358.22666666666669</v>
      </c>
      <c r="E55" s="228">
        <f>VLOOKUP(Current_Stock[[#This Row],[SKU ID]],SKU[],15,0)</f>
        <v>548.25</v>
      </c>
      <c r="F55" s="228">
        <f>VLOOKUP(Current_Stock[[#This Row],[SKU ID]],Stock_year[],((MONTH($B$1)-1)*$C$75)+2+1,0)</f>
        <v>0</v>
      </c>
      <c r="G55" s="228">
        <f>VLOOKUP(Current_Stock[[#This Row],[SKU ID]],Stock_year[],((MONTH($B$1)-1)*$C$75)+2+2,0)</f>
        <v>0</v>
      </c>
      <c r="H55" s="228">
        <f>Current_Stock[[#This Row],[Vobanipur opening units]]+Current_Stock[[#This Row],[Ulukhola opening units]]</f>
        <v>0</v>
      </c>
      <c r="I55" s="267">
        <f>VLOOKUP(Current_Stock[[#This Row],[SKU ID]],SKU[[SKU ID]:[Bottle Size(Ltr)]],6,0)*Current_Stock[[#This Row],[Total Opening Unit]]</f>
        <v>0</v>
      </c>
      <c r="J55" s="228">
        <f>VLOOKUP(Current_Stock[[#This Row],[SKU ID]],Stock_year[],((MONTH($B$1)-1)*$C$75)+2+5,0)</f>
        <v>0</v>
      </c>
      <c r="K55" s="228">
        <f>VLOOKUP(Current_Stock[[#This Row],[SKU ID]],Stock_year[],((MONTH($B$1)-1)*$C$75)+2+6,0)</f>
        <v>0</v>
      </c>
      <c r="L55" s="228">
        <f>VLOOKUP(Current_Stock[[#This Row],[SKU ID]],Stock_year[],((MONTH($B$1)-1)*$C$75)+2+7,0)</f>
        <v>0</v>
      </c>
      <c r="M55" s="228">
        <f>Current_Stock[[#This Row],[Vobanipur opening units]]+Current_Stock[[#This Row],[New Arrival Ulukhola]]+Current_Stock[[#This Row],[Ulukhola to vobanipur transfer]]</f>
        <v>0</v>
      </c>
      <c r="N55" s="228">
        <f>Current_Stock[[#This Row],[Ulukhola opening units]]+Current_Stock[[#This Row],[New Arrival Vobanipur]]-Current_Stock[[#This Row],[Ulukhola to vobanipur transfer]]</f>
        <v>0</v>
      </c>
      <c r="O55" s="228">
        <f>Current_Stock[[#This Row],[Vobaipur total]]+Current_Stock[[#This Row],[Ulukhola Current]]</f>
        <v>0</v>
      </c>
      <c r="P55" s="228">
        <f>SUMIFS(Primary_Order[Total Qty],Primary_Order[Date],"&gt;="&amp;DATE(YEAR($B$1),MONTH($B$1),1),Primary_Order[Date],"&lt;="&amp;$B$1,Primary_Order[Status],$A$1,Primary_Order[Product ID],A55,Primary_Order[Status],"&lt;&gt;DMG-Sold")</f>
        <v>0</v>
      </c>
      <c r="Q55" s="228">
        <f>Current_Stock[[#This Row],[Sold Qty(Unit)]]*Current_Stock[[#This Row],[Cost]]</f>
        <v>0</v>
      </c>
      <c r="R55" s="228">
        <f>Current_Stock[[#This Row],[Vobaipur total]]-Current_Stock[[#This Row],[Sold Qty(Unit)]]</f>
        <v>0</v>
      </c>
      <c r="S55" s="267">
        <f>Current_Stock[[#This Row],[Vobanipur Current units]]+Current_Stock[[#This Row],[Ulukhola Current]]</f>
        <v>0</v>
      </c>
      <c r="T55" s="267">
        <f>VLOOKUP(Current_Stock[[#This Row],[SKU ID]],SKU[[SKU ID]:[Bottle Size(Ltr)]],6,0)*Current_Stock[[#This Row],[Total Current (Unit)]]</f>
        <v>0</v>
      </c>
      <c r="U55" s="267">
        <f>Current_Stock[[#This Row],[Total Current (Unit)]]*Current_Stock[[#This Row],[Cost]]</f>
        <v>0</v>
      </c>
      <c r="V55" s="267">
        <f>FLOOR(Current_Stock[[#This Row],[Total Current (Unit)]]/VLOOKUP(Current_Stock[[#This Row],[SKU ID]],SKU[],5,0),1)</f>
        <v>0</v>
      </c>
      <c r="W55" s="267">
        <f>MOD(Current_Stock[[#This Row],[Total Current (Unit)]],VLOOKUP(Current_Stock[[#This Row],[SKU ID]],SKU[],5,0))</f>
        <v>0</v>
      </c>
      <c r="X55" s="228">
        <f ca="1">VLOOKUP(Current_Stock[[#This Row],[SKU ID]],Stock_year[],((MONTH($B$1)-1)*$C$75)+17,0)</f>
        <v>7</v>
      </c>
      <c r="Y55" s="228">
        <f>SUMIFS(Primary_Order[Total Qty],Primary_Order[Date],"&gt;="&amp;DATE(YEAR($B$1),MONTH($B$1),1),Primary_Order[Date],"&lt;="&amp;$B$1,Primary_Order[Status],"DMG-Sold",Primary_Order[Product ID],A55)</f>
        <v>0</v>
      </c>
      <c r="Z55" s="228">
        <f ca="1">Current_Stock[[#This Row],[Opening Damage Unit]]-Current_Stock[[#This Row],[Damage Sold unit]]</f>
        <v>7</v>
      </c>
      <c r="AA55" s="228">
        <f>Current_Stock[[#This Row],[DP Price]]*Current_Stock[[#This Row],[Total Current (Unit)]]</f>
        <v>0</v>
      </c>
      <c r="AB55" s="228">
        <f ca="1">Current_Stock[[#This Row],[Total Current (Unit)]]+Current_Stock[[#This Row],[Remaining Damage Unit]]</f>
        <v>7</v>
      </c>
      <c r="AC55" s="228">
        <f ca="1">Current_Stock[[#This Row],[Total Unit with Damage]]*Current_Stock[[#This Row],[Cost]]</f>
        <v>2507.586666666667</v>
      </c>
      <c r="AD55" s="228">
        <f>SUMIFS(Primary_Order[Total Qty],Primary_Order[Date],"&gt;="&amp;DATE(2027,12,1),Primary_Order[Status],$A$1,Primary_Order[Product ID],A55)</f>
        <v>0</v>
      </c>
      <c r="AE55" s="228">
        <f>Current_Stock[[#This Row],[Total Current (Unit)]]-Current_Stock[[#This Row],[Blocked Stock(unit)]]</f>
        <v>0</v>
      </c>
      <c r="AF55" s="228">
        <f>(Current_Stock[[#This Row],[Ageing till Sep''24 (D)]]+($B$1-45566))/30</f>
        <v>18.033333333333335</v>
      </c>
      <c r="AG55" s="228">
        <v>330</v>
      </c>
      <c r="AH55" t="str">
        <f>VLOOKUP(Current_Stock[[#This Row],[SKU ID]],SKU[],12,0)</f>
        <v>Care Products</v>
      </c>
      <c r="AI55" t="str">
        <f>VLOOKUP(Current_Stock[[#This Row],[SKU ID]],SKU[],10,0)</f>
        <v>Care Products</v>
      </c>
      <c r="AJ55" s="195">
        <f>VLOOKUP(Current_Stock[[#This Row],[SKU ID]],SKU[[SKU ID]:[Bottle Size(Ltr)]],6,0)*Current_Stock[[#This Row],[Vobanipur Current units]]</f>
        <v>0</v>
      </c>
      <c r="AK55" s="195">
        <f ca="1">VLOOKUP(Current_Stock[[#This Row],[SKU ID]],SKU[[SKU ID]:[Bottle Size(Ltr)]],6,0)*Current_Stock[[#This Row],[Remaining Damage Unit]]</f>
        <v>1.05</v>
      </c>
      <c r="AL55" s="195">
        <f>VLOOKUP(Current_Stock[[#This Row],[SKU ID]],SKU[[SKU ID]:[Bottle Size(Ltr)]],6,0)*Current_Stock[[#This Row],[Ulukhola Current]]</f>
        <v>0</v>
      </c>
    </row>
    <row r="56" spans="1:38" x14ac:dyDescent="0.5">
      <c r="A56" s="159" t="s">
        <v>361</v>
      </c>
      <c r="B56" s="159" t="s">
        <v>789</v>
      </c>
      <c r="C56" s="228" t="str">
        <f>VLOOKUP(Current_Stock[[#This Row],[SKU ID]],SKU[],9,0)</f>
        <v>PCMO</v>
      </c>
      <c r="D56" s="228">
        <f>VLOOKUP(Current_Stock[[#This Row],[SKU ID]],SKU[],14,0)</f>
        <v>0</v>
      </c>
      <c r="E56" s="228">
        <f>VLOOKUP(Current_Stock[[#This Row],[SKU ID]],SKU[],15,0)</f>
        <v>0</v>
      </c>
      <c r="F56" s="228">
        <f>VLOOKUP(Current_Stock[[#This Row],[SKU ID]],Stock_year[],((MONTH($B$1)-1)*$C$75)+2+1,0)</f>
        <v>0</v>
      </c>
      <c r="G56" s="228">
        <f>VLOOKUP(Current_Stock[[#This Row],[SKU ID]],Stock_year[],((MONTH($B$1)-1)*$C$75)+2+2,0)</f>
        <v>0</v>
      </c>
      <c r="H56" s="228">
        <f>Current_Stock[[#This Row],[Vobanipur opening units]]+Current_Stock[[#This Row],[Ulukhola opening units]]</f>
        <v>0</v>
      </c>
      <c r="I56" s="267">
        <f>VLOOKUP(Current_Stock[[#This Row],[SKU ID]],SKU[[SKU ID]:[Bottle Size(Ltr)]],6,0)*Current_Stock[[#This Row],[Total Opening Unit]]</f>
        <v>0</v>
      </c>
      <c r="J56" s="228">
        <f>VLOOKUP(Current_Stock[[#This Row],[SKU ID]],Stock_year[],((MONTH($B$1)-1)*$C$75)+2+5,0)</f>
        <v>0</v>
      </c>
      <c r="K56" s="228">
        <f>VLOOKUP(Current_Stock[[#This Row],[SKU ID]],Stock_year[],((MONTH($B$1)-1)*$C$75)+2+6,0)</f>
        <v>0</v>
      </c>
      <c r="L56" s="228">
        <f>VLOOKUP(Current_Stock[[#This Row],[SKU ID]],Stock_year[],((MONTH($B$1)-1)*$C$75)+2+7,0)</f>
        <v>0</v>
      </c>
      <c r="M56" s="228">
        <f>Current_Stock[[#This Row],[Vobanipur opening units]]+Current_Stock[[#This Row],[New Arrival Ulukhola]]+Current_Stock[[#This Row],[Ulukhola to vobanipur transfer]]</f>
        <v>0</v>
      </c>
      <c r="N56" s="228">
        <f>Current_Stock[[#This Row],[Ulukhola opening units]]+Current_Stock[[#This Row],[New Arrival Vobanipur]]-Current_Stock[[#This Row],[Ulukhola to vobanipur transfer]]</f>
        <v>0</v>
      </c>
      <c r="O56" s="228">
        <f>Current_Stock[[#This Row],[Vobaipur total]]+Current_Stock[[#This Row],[Ulukhola Current]]</f>
        <v>0</v>
      </c>
      <c r="P56" s="228">
        <f>SUMIFS(Primary_Order[Total Qty],Primary_Order[Date],"&gt;="&amp;DATE(YEAR($B$1),MONTH($B$1),1),Primary_Order[Date],"&lt;="&amp;$B$1,Primary_Order[Status],$A$1,Primary_Order[Product ID],A56,Primary_Order[Status],"&lt;&gt;DMG-Sold")</f>
        <v>0</v>
      </c>
      <c r="Q56" s="228">
        <f>Current_Stock[[#This Row],[Sold Qty(Unit)]]*Current_Stock[[#This Row],[Cost]]</f>
        <v>0</v>
      </c>
      <c r="R56" s="228">
        <f>Current_Stock[[#This Row],[Vobaipur total]]-Current_Stock[[#This Row],[Sold Qty(Unit)]]</f>
        <v>0</v>
      </c>
      <c r="S56" s="267">
        <f>Current_Stock[[#This Row],[Vobanipur Current units]]+Current_Stock[[#This Row],[Ulukhola Current]]</f>
        <v>0</v>
      </c>
      <c r="T56" s="267">
        <f>VLOOKUP(Current_Stock[[#This Row],[SKU ID]],SKU[[SKU ID]:[Bottle Size(Ltr)]],6,0)*Current_Stock[[#This Row],[Total Current (Unit)]]</f>
        <v>0</v>
      </c>
      <c r="U56" s="267">
        <f>Current_Stock[[#This Row],[Total Current (Unit)]]*Current_Stock[[#This Row],[Cost]]</f>
        <v>0</v>
      </c>
      <c r="V56" s="267">
        <f>FLOOR(Current_Stock[[#This Row],[Total Current (Unit)]]/VLOOKUP(Current_Stock[[#This Row],[SKU ID]],SKU[],5,0),1)</f>
        <v>0</v>
      </c>
      <c r="W56" s="267">
        <f>MOD(Current_Stock[[#This Row],[Total Current (Unit)]],VLOOKUP(Current_Stock[[#This Row],[SKU ID]],SKU[],5,0))</f>
        <v>0</v>
      </c>
      <c r="X56" s="228">
        <f ca="1">VLOOKUP(Current_Stock[[#This Row],[SKU ID]],Stock_year[],((MONTH($B$1)-1)*$C$75)+17,0)</f>
        <v>0</v>
      </c>
      <c r="Y56" s="228">
        <f>SUMIFS(Primary_Order[Total Qty],Primary_Order[Date],"&gt;="&amp;DATE(YEAR($B$1),MONTH($B$1),1),Primary_Order[Date],"&lt;="&amp;$B$1,Primary_Order[Status],"DMG-Sold",Primary_Order[Product ID],A56)</f>
        <v>0</v>
      </c>
      <c r="Z56" s="228">
        <f ca="1">Current_Stock[[#This Row],[Opening Damage Unit]]-Current_Stock[[#This Row],[Damage Sold unit]]</f>
        <v>0</v>
      </c>
      <c r="AA56" s="228">
        <f>Current_Stock[[#This Row],[DP Price]]*Current_Stock[[#This Row],[Total Current (Unit)]]</f>
        <v>0</v>
      </c>
      <c r="AB56" s="228">
        <f ca="1">Current_Stock[[#This Row],[Total Current (Unit)]]+Current_Stock[[#This Row],[Remaining Damage Unit]]</f>
        <v>0</v>
      </c>
      <c r="AC56" s="228">
        <f ca="1">Current_Stock[[#This Row],[Total Unit with Damage]]*Current_Stock[[#This Row],[Cost]]</f>
        <v>0</v>
      </c>
      <c r="AD56" s="228">
        <f>SUMIFS(Primary_Order[Total Qty],Primary_Order[Date],"&gt;="&amp;DATE(2027,12,1),Primary_Order[Status],$A$1,Primary_Order[Product ID],A56)</f>
        <v>0</v>
      </c>
      <c r="AE56" s="228">
        <f>Current_Stock[[#This Row],[Total Current (Unit)]]-Current_Stock[[#This Row],[Blocked Stock(unit)]]</f>
        <v>0</v>
      </c>
      <c r="AF56" s="228">
        <f>(Current_Stock[[#This Row],[Ageing till Sep''24 (D)]]+($B$1-45566))/30</f>
        <v>7.0333333333333332</v>
      </c>
      <c r="AG56" s="228">
        <v>0</v>
      </c>
      <c r="AH56" t="str">
        <f>VLOOKUP(Current_Stock[[#This Row],[SKU ID]],SKU[],12,0)</f>
        <v>15W40</v>
      </c>
      <c r="AI56" t="str">
        <f>VLOOKUP(Current_Stock[[#This Row],[SKU ID]],SKU[],10,0)</f>
        <v>Mineral</v>
      </c>
      <c r="AJ56" s="195">
        <f>VLOOKUP(Current_Stock[[#This Row],[SKU ID]],SKU[[SKU ID]:[Bottle Size(Ltr)]],6,0)*Current_Stock[[#This Row],[Vobanipur Current units]]</f>
        <v>0</v>
      </c>
      <c r="AK56" s="195">
        <f ca="1">VLOOKUP(Current_Stock[[#This Row],[SKU ID]],SKU[[SKU ID]:[Bottle Size(Ltr)]],6,0)*Current_Stock[[#This Row],[Remaining Damage Unit]]</f>
        <v>0</v>
      </c>
      <c r="AL56" s="195">
        <f>VLOOKUP(Current_Stock[[#This Row],[SKU ID]],SKU[[SKU ID]:[Bottle Size(Ltr)]],6,0)*Current_Stock[[#This Row],[Ulukhola Current]]</f>
        <v>0</v>
      </c>
    </row>
    <row r="57" spans="1:38" x14ac:dyDescent="0.5">
      <c r="A57" s="159" t="s">
        <v>363</v>
      </c>
      <c r="B57" s="159" t="s">
        <v>790</v>
      </c>
      <c r="C57" s="228" t="str">
        <f>VLOOKUP(Current_Stock[[#This Row],[SKU ID]],SKU[],9,0)</f>
        <v>PCMO</v>
      </c>
      <c r="D57" s="228">
        <f>VLOOKUP(Current_Stock[[#This Row],[SKU ID]],SKU[],14,0)</f>
        <v>0</v>
      </c>
      <c r="E57" s="228">
        <f>VLOOKUP(Current_Stock[[#This Row],[SKU ID]],SKU[],15,0)</f>
        <v>0</v>
      </c>
      <c r="F57" s="228">
        <f>VLOOKUP(Current_Stock[[#This Row],[SKU ID]],Stock_year[],((MONTH($B$1)-1)*$C$75)+2+1,0)</f>
        <v>0</v>
      </c>
      <c r="G57" s="228">
        <f>VLOOKUP(Current_Stock[[#This Row],[SKU ID]],Stock_year[],((MONTH($B$1)-1)*$C$75)+2+2,0)</f>
        <v>0</v>
      </c>
      <c r="H57" s="228">
        <f>Current_Stock[[#This Row],[Vobanipur opening units]]+Current_Stock[[#This Row],[Ulukhola opening units]]</f>
        <v>0</v>
      </c>
      <c r="I57" s="267">
        <f>VLOOKUP(Current_Stock[[#This Row],[SKU ID]],SKU[[SKU ID]:[Bottle Size(Ltr)]],6,0)*Current_Stock[[#This Row],[Total Opening Unit]]</f>
        <v>0</v>
      </c>
      <c r="J57" s="228">
        <f>VLOOKUP(Current_Stock[[#This Row],[SKU ID]],Stock_year[],((MONTH($B$1)-1)*$C$75)+2+5,0)</f>
        <v>0</v>
      </c>
      <c r="K57" s="228">
        <f>VLOOKUP(Current_Stock[[#This Row],[SKU ID]],Stock_year[],((MONTH($B$1)-1)*$C$75)+2+6,0)</f>
        <v>0</v>
      </c>
      <c r="L57" s="228">
        <f>VLOOKUP(Current_Stock[[#This Row],[SKU ID]],Stock_year[],((MONTH($B$1)-1)*$C$75)+2+7,0)</f>
        <v>0</v>
      </c>
      <c r="M57" s="228">
        <f>Current_Stock[[#This Row],[Vobanipur opening units]]+Current_Stock[[#This Row],[New Arrival Ulukhola]]+Current_Stock[[#This Row],[Ulukhola to vobanipur transfer]]</f>
        <v>0</v>
      </c>
      <c r="N57" s="228">
        <f>Current_Stock[[#This Row],[Ulukhola opening units]]+Current_Stock[[#This Row],[New Arrival Vobanipur]]-Current_Stock[[#This Row],[Ulukhola to vobanipur transfer]]</f>
        <v>0</v>
      </c>
      <c r="O57" s="228">
        <f>Current_Stock[[#This Row],[Vobaipur total]]+Current_Stock[[#This Row],[Ulukhola Current]]</f>
        <v>0</v>
      </c>
      <c r="P57" s="228">
        <f>SUMIFS(Primary_Order[Total Qty],Primary_Order[Date],"&gt;="&amp;DATE(YEAR($B$1),MONTH($B$1),1),Primary_Order[Date],"&lt;="&amp;$B$1,Primary_Order[Status],$A$1,Primary_Order[Product ID],A57,Primary_Order[Status],"&lt;&gt;DMG-Sold")</f>
        <v>0</v>
      </c>
      <c r="Q57" s="228">
        <f>Current_Stock[[#This Row],[Sold Qty(Unit)]]*Current_Stock[[#This Row],[Cost]]</f>
        <v>0</v>
      </c>
      <c r="R57" s="228">
        <f>Current_Stock[[#This Row],[Vobaipur total]]-Current_Stock[[#This Row],[Sold Qty(Unit)]]</f>
        <v>0</v>
      </c>
      <c r="S57" s="267">
        <f>Current_Stock[[#This Row],[Vobanipur Current units]]+Current_Stock[[#This Row],[Ulukhola Current]]</f>
        <v>0</v>
      </c>
      <c r="T57" s="267">
        <f>VLOOKUP(Current_Stock[[#This Row],[SKU ID]],SKU[[SKU ID]:[Bottle Size(Ltr)]],6,0)*Current_Stock[[#This Row],[Total Current (Unit)]]</f>
        <v>0</v>
      </c>
      <c r="U57" s="267">
        <f>Current_Stock[[#This Row],[Total Current (Unit)]]*Current_Stock[[#This Row],[Cost]]</f>
        <v>0</v>
      </c>
      <c r="V57" s="267">
        <f>FLOOR(Current_Stock[[#This Row],[Total Current (Unit)]]/VLOOKUP(Current_Stock[[#This Row],[SKU ID]],SKU[],5,0),1)</f>
        <v>0</v>
      </c>
      <c r="W57" s="267">
        <f>MOD(Current_Stock[[#This Row],[Total Current (Unit)]],VLOOKUP(Current_Stock[[#This Row],[SKU ID]],SKU[],5,0))</f>
        <v>0</v>
      </c>
      <c r="X57" s="228">
        <f ca="1">VLOOKUP(Current_Stock[[#This Row],[SKU ID]],Stock_year[],((MONTH($B$1)-1)*$C$75)+17,0)</f>
        <v>0</v>
      </c>
      <c r="Y57" s="228">
        <f>SUMIFS(Primary_Order[Total Qty],Primary_Order[Date],"&gt;="&amp;DATE(YEAR($B$1),MONTH($B$1),1),Primary_Order[Date],"&lt;="&amp;$B$1,Primary_Order[Status],"DMG-Sold",Primary_Order[Product ID],A57)</f>
        <v>0</v>
      </c>
      <c r="Z57" s="228">
        <f ca="1">Current_Stock[[#This Row],[Opening Damage Unit]]-Current_Stock[[#This Row],[Damage Sold unit]]</f>
        <v>0</v>
      </c>
      <c r="AA57" s="228">
        <f>Current_Stock[[#This Row],[DP Price]]*Current_Stock[[#This Row],[Total Current (Unit)]]</f>
        <v>0</v>
      </c>
      <c r="AB57" s="228">
        <f ca="1">Current_Stock[[#This Row],[Total Current (Unit)]]+Current_Stock[[#This Row],[Remaining Damage Unit]]</f>
        <v>0</v>
      </c>
      <c r="AC57" s="228">
        <f ca="1">Current_Stock[[#This Row],[Total Unit with Damage]]*Current_Stock[[#This Row],[Cost]]</f>
        <v>0</v>
      </c>
      <c r="AD57" s="228">
        <f>SUMIFS(Primary_Order[Total Qty],Primary_Order[Date],"&gt;="&amp;DATE(2027,12,1),Primary_Order[Status],$A$1,Primary_Order[Product ID],A57)</f>
        <v>0</v>
      </c>
      <c r="AE57" s="228">
        <f>Current_Stock[[#This Row],[Total Current (Unit)]]-Current_Stock[[#This Row],[Blocked Stock(unit)]]</f>
        <v>0</v>
      </c>
      <c r="AF57" s="228">
        <f>(Current_Stock[[#This Row],[Ageing till Sep''24 (D)]]+($B$1-45566))/30</f>
        <v>7.0333333333333332</v>
      </c>
      <c r="AG57" s="228">
        <v>0</v>
      </c>
      <c r="AH57" t="str">
        <f>VLOOKUP(Current_Stock[[#This Row],[SKU ID]],SKU[],12,0)</f>
        <v>5W30</v>
      </c>
      <c r="AI57" t="str">
        <f>VLOOKUP(Current_Stock[[#This Row],[SKU ID]],SKU[],10,0)</f>
        <v>Mineral</v>
      </c>
      <c r="AJ57" s="195">
        <f>VLOOKUP(Current_Stock[[#This Row],[SKU ID]],SKU[[SKU ID]:[Bottle Size(Ltr)]],6,0)*Current_Stock[[#This Row],[Vobanipur Current units]]</f>
        <v>0</v>
      </c>
      <c r="AK57" s="195">
        <f ca="1">VLOOKUP(Current_Stock[[#This Row],[SKU ID]],SKU[[SKU ID]:[Bottle Size(Ltr)]],6,0)*Current_Stock[[#This Row],[Remaining Damage Unit]]</f>
        <v>0</v>
      </c>
      <c r="AL57" s="195">
        <f>VLOOKUP(Current_Stock[[#This Row],[SKU ID]],SKU[[SKU ID]:[Bottle Size(Ltr)]],6,0)*Current_Stock[[#This Row],[Ulukhola Current]]</f>
        <v>0</v>
      </c>
    </row>
    <row r="58" spans="1:38" x14ac:dyDescent="0.5">
      <c r="A58" s="159" t="s">
        <v>181</v>
      </c>
      <c r="B58" s="159" t="s">
        <v>794</v>
      </c>
      <c r="C58" s="228" t="str">
        <f>VLOOKUP(Current_Stock[[#This Row],[SKU ID]],SKU[],9,0)</f>
        <v>Care Products</v>
      </c>
      <c r="D58" s="228">
        <f>VLOOKUP(Current_Stock[[#This Row],[SKU ID]],SKU[],14,0)</f>
        <v>459.43</v>
      </c>
      <c r="E58" s="228">
        <f>VLOOKUP(Current_Stock[[#This Row],[SKU ID]],SKU[],15,0)</f>
        <v>646</v>
      </c>
      <c r="F58" s="228">
        <f>VLOOKUP(Current_Stock[[#This Row],[SKU ID]],Stock_year[],((MONTH($B$1)-1)*$C$75)+2+1,0)</f>
        <v>0</v>
      </c>
      <c r="G58" s="228">
        <f>VLOOKUP(Current_Stock[[#This Row],[SKU ID]],Stock_year[],((MONTH($B$1)-1)*$C$75)+2+2,0)</f>
        <v>0</v>
      </c>
      <c r="H58" s="228">
        <f>Current_Stock[[#This Row],[Vobanipur opening units]]+Current_Stock[[#This Row],[Ulukhola opening units]]</f>
        <v>0</v>
      </c>
      <c r="I58" s="267">
        <f>VLOOKUP(Current_Stock[[#This Row],[SKU ID]],SKU[[SKU ID]:[Bottle Size(Ltr)]],6,0)*Current_Stock[[#This Row],[Total Opening Unit]]</f>
        <v>0</v>
      </c>
      <c r="J58" s="228">
        <f>VLOOKUP(Current_Stock[[#This Row],[SKU ID]],Stock_year[],((MONTH($B$1)-1)*$C$75)+2+5,0)</f>
        <v>0</v>
      </c>
      <c r="K58" s="228">
        <f>VLOOKUP(Current_Stock[[#This Row],[SKU ID]],Stock_year[],((MONTH($B$1)-1)*$C$75)+2+6,0)</f>
        <v>0</v>
      </c>
      <c r="L58" s="228">
        <f>VLOOKUP(Current_Stock[[#This Row],[SKU ID]],Stock_year[],((MONTH($B$1)-1)*$C$75)+2+7,0)</f>
        <v>0</v>
      </c>
      <c r="M58" s="228">
        <f>Current_Stock[[#This Row],[Vobanipur opening units]]+Current_Stock[[#This Row],[New Arrival Ulukhola]]+Current_Stock[[#This Row],[Ulukhola to vobanipur transfer]]</f>
        <v>0</v>
      </c>
      <c r="N58" s="228">
        <f>Current_Stock[[#This Row],[Ulukhola opening units]]+Current_Stock[[#This Row],[New Arrival Vobanipur]]-Current_Stock[[#This Row],[Ulukhola to vobanipur transfer]]</f>
        <v>0</v>
      </c>
      <c r="O58" s="228">
        <f>Current_Stock[[#This Row],[Vobaipur total]]+Current_Stock[[#This Row],[Ulukhola Current]]</f>
        <v>0</v>
      </c>
      <c r="P58" s="228">
        <f>SUMIFS(Primary_Order[Total Qty],Primary_Order[Date],"&gt;="&amp;DATE(YEAR($B$1),MONTH($B$1),1),Primary_Order[Date],"&lt;="&amp;$B$1,Primary_Order[Status],$A$1,Primary_Order[Product ID],A58,Primary_Order[Status],"&lt;&gt;DMG-Sold")</f>
        <v>0</v>
      </c>
      <c r="Q58" s="228">
        <f>Current_Stock[[#This Row],[Sold Qty(Unit)]]*Current_Stock[[#This Row],[Cost]]</f>
        <v>0</v>
      </c>
      <c r="R58" s="228">
        <f>Current_Stock[[#This Row],[Vobaipur total]]-Current_Stock[[#This Row],[Sold Qty(Unit)]]</f>
        <v>0</v>
      </c>
      <c r="S58" s="267">
        <f>Current_Stock[[#This Row],[Vobanipur Current units]]+Current_Stock[[#This Row],[Ulukhola Current]]</f>
        <v>0</v>
      </c>
      <c r="T58" s="267">
        <f>VLOOKUP(Current_Stock[[#This Row],[SKU ID]],SKU[[SKU ID]:[Bottle Size(Ltr)]],6,0)*Current_Stock[[#This Row],[Total Current (Unit)]]</f>
        <v>0</v>
      </c>
      <c r="U58" s="267">
        <f>Current_Stock[[#This Row],[Total Current (Unit)]]*Current_Stock[[#This Row],[Cost]]</f>
        <v>0</v>
      </c>
      <c r="V58" s="267">
        <f>FLOOR(Current_Stock[[#This Row],[Total Current (Unit)]]/VLOOKUP(Current_Stock[[#This Row],[SKU ID]],SKU[],5,0),1)</f>
        <v>0</v>
      </c>
      <c r="W58" s="267">
        <f>MOD(Current_Stock[[#This Row],[Total Current (Unit)]],VLOOKUP(Current_Stock[[#This Row],[SKU ID]],SKU[],5,0))</f>
        <v>0</v>
      </c>
      <c r="X58" s="228">
        <f ca="1">VLOOKUP(Current_Stock[[#This Row],[SKU ID]],Stock_year[],((MONTH($B$1)-1)*$C$75)+17,0)</f>
        <v>4</v>
      </c>
      <c r="Y58" s="228">
        <f>SUMIFS(Primary_Order[Total Qty],Primary_Order[Date],"&gt;="&amp;DATE(YEAR($B$1),MONTH($B$1),1),Primary_Order[Date],"&lt;="&amp;$B$1,Primary_Order[Status],"DMG-Sold",Primary_Order[Product ID],A58)</f>
        <v>0</v>
      </c>
      <c r="Z58" s="228">
        <f ca="1">Current_Stock[[#This Row],[Opening Damage Unit]]-Current_Stock[[#This Row],[Damage Sold unit]]</f>
        <v>4</v>
      </c>
      <c r="AA58" s="228">
        <f>Current_Stock[[#This Row],[DP Price]]*Current_Stock[[#This Row],[Total Current (Unit)]]</f>
        <v>0</v>
      </c>
      <c r="AB58" s="228">
        <f ca="1">Current_Stock[[#This Row],[Total Current (Unit)]]+Current_Stock[[#This Row],[Remaining Damage Unit]]</f>
        <v>4</v>
      </c>
      <c r="AC58" s="228">
        <f ca="1">Current_Stock[[#This Row],[Total Unit with Damage]]*Current_Stock[[#This Row],[Cost]]</f>
        <v>1837.72</v>
      </c>
      <c r="AD58" s="228">
        <f>SUMIFS(Primary_Order[Total Qty],Primary_Order[Date],"&gt;="&amp;DATE(2027,12,1),Primary_Order[Status],$A$1,Primary_Order[Product ID],A58)</f>
        <v>0</v>
      </c>
      <c r="AE58" s="228">
        <f>Current_Stock[[#This Row],[Total Current (Unit)]]-Current_Stock[[#This Row],[Blocked Stock(unit)]]</f>
        <v>0</v>
      </c>
      <c r="AF58" s="228">
        <f>(Current_Stock[[#This Row],[Ageing till Sep''24 (D)]]+($B$1-45566))/30</f>
        <v>18.033333333333335</v>
      </c>
      <c r="AG58" s="228">
        <v>330</v>
      </c>
      <c r="AH58" t="str">
        <f>VLOOKUP(Current_Stock[[#This Row],[SKU ID]],SKU[],12,0)</f>
        <v>Care Products</v>
      </c>
      <c r="AI58" t="str">
        <f>VLOOKUP(Current_Stock[[#This Row],[SKU ID]],SKU[],10,0)</f>
        <v>Care Products</v>
      </c>
      <c r="AJ58" s="195">
        <f>VLOOKUP(Current_Stock[[#This Row],[SKU ID]],SKU[[SKU ID]:[Bottle Size(Ltr)]],6,0)*Current_Stock[[#This Row],[Vobanipur Current units]]</f>
        <v>0</v>
      </c>
      <c r="AK58" s="195">
        <f ca="1">VLOOKUP(Current_Stock[[#This Row],[SKU ID]],SKU[[SKU ID]:[Bottle Size(Ltr)]],6,0)*Current_Stock[[#This Row],[Remaining Damage Unit]]</f>
        <v>1</v>
      </c>
      <c r="AL58" s="195">
        <f>VLOOKUP(Current_Stock[[#This Row],[SKU ID]],SKU[[SKU ID]:[Bottle Size(Ltr)]],6,0)*Current_Stock[[#This Row],[Ulukhola Current]]</f>
        <v>0</v>
      </c>
    </row>
    <row r="59" spans="1:38" x14ac:dyDescent="0.5">
      <c r="A59" s="159" t="s">
        <v>193</v>
      </c>
      <c r="B59" s="159" t="s">
        <v>795</v>
      </c>
      <c r="C59" s="228" t="str">
        <f>VLOOKUP(Current_Stock[[#This Row],[SKU ID]],SKU[],9,0)</f>
        <v>Care Products</v>
      </c>
      <c r="D59" s="228">
        <f>VLOOKUP(Current_Stock[[#This Row],[SKU ID]],SKU[],14,0)</f>
        <v>503.24</v>
      </c>
      <c r="E59" s="228">
        <f>VLOOKUP(Current_Stock[[#This Row],[SKU ID]],SKU[],15,0)</f>
        <v>731</v>
      </c>
      <c r="F59" s="228">
        <f>VLOOKUP(Current_Stock[[#This Row],[SKU ID]],Stock_year[],((MONTH($B$1)-1)*$C$75)+2+1,0)</f>
        <v>0</v>
      </c>
      <c r="G59" s="228">
        <f>VLOOKUP(Current_Stock[[#This Row],[SKU ID]],Stock_year[],((MONTH($B$1)-1)*$C$75)+2+2,0)</f>
        <v>0</v>
      </c>
      <c r="H59" s="228">
        <f>Current_Stock[[#This Row],[Vobanipur opening units]]+Current_Stock[[#This Row],[Ulukhola opening units]]</f>
        <v>0</v>
      </c>
      <c r="I59" s="267">
        <f>VLOOKUP(Current_Stock[[#This Row],[SKU ID]],SKU[[SKU ID]:[Bottle Size(Ltr)]],6,0)*Current_Stock[[#This Row],[Total Opening Unit]]</f>
        <v>0</v>
      </c>
      <c r="J59" s="228">
        <f>VLOOKUP(Current_Stock[[#This Row],[SKU ID]],Stock_year[],((MONTH($B$1)-1)*$C$75)+2+5,0)</f>
        <v>0</v>
      </c>
      <c r="K59" s="228">
        <f>VLOOKUP(Current_Stock[[#This Row],[SKU ID]],Stock_year[],((MONTH($B$1)-1)*$C$75)+2+6,0)</f>
        <v>0</v>
      </c>
      <c r="L59" s="228">
        <f>VLOOKUP(Current_Stock[[#This Row],[SKU ID]],Stock_year[],((MONTH($B$1)-1)*$C$75)+2+7,0)</f>
        <v>0</v>
      </c>
      <c r="M59" s="228">
        <f>Current_Stock[[#This Row],[Vobanipur opening units]]+Current_Stock[[#This Row],[New Arrival Ulukhola]]+Current_Stock[[#This Row],[Ulukhola to vobanipur transfer]]</f>
        <v>0</v>
      </c>
      <c r="N59" s="228">
        <f>Current_Stock[[#This Row],[Ulukhola opening units]]+Current_Stock[[#This Row],[New Arrival Vobanipur]]-Current_Stock[[#This Row],[Ulukhola to vobanipur transfer]]</f>
        <v>0</v>
      </c>
      <c r="O59" s="228">
        <f>Current_Stock[[#This Row],[Vobaipur total]]+Current_Stock[[#This Row],[Ulukhola Current]]</f>
        <v>0</v>
      </c>
      <c r="P59" s="228">
        <f>SUMIFS(Primary_Order[Total Qty],Primary_Order[Date],"&gt;="&amp;DATE(YEAR($B$1),MONTH($B$1),1),Primary_Order[Date],"&lt;="&amp;$B$1,Primary_Order[Status],$A$1,Primary_Order[Product ID],A59,Primary_Order[Status],"&lt;&gt;DMG-Sold")</f>
        <v>0</v>
      </c>
      <c r="Q59" s="228">
        <f>Current_Stock[[#This Row],[Sold Qty(Unit)]]*Current_Stock[[#This Row],[Cost]]</f>
        <v>0</v>
      </c>
      <c r="R59" s="228">
        <f>Current_Stock[[#This Row],[Vobaipur total]]-Current_Stock[[#This Row],[Sold Qty(Unit)]]</f>
        <v>0</v>
      </c>
      <c r="S59" s="267">
        <f>Current_Stock[[#This Row],[Vobanipur Current units]]+Current_Stock[[#This Row],[Ulukhola Current]]</f>
        <v>0</v>
      </c>
      <c r="T59" s="267">
        <f>VLOOKUP(Current_Stock[[#This Row],[SKU ID]],SKU[[SKU ID]:[Bottle Size(Ltr)]],6,0)*Current_Stock[[#This Row],[Total Current (Unit)]]</f>
        <v>0</v>
      </c>
      <c r="U59" s="267">
        <f>Current_Stock[[#This Row],[Total Current (Unit)]]*Current_Stock[[#This Row],[Cost]]</f>
        <v>0</v>
      </c>
      <c r="V59" s="267">
        <f>FLOOR(Current_Stock[[#This Row],[Total Current (Unit)]]/VLOOKUP(Current_Stock[[#This Row],[SKU ID]],SKU[],5,0),1)</f>
        <v>0</v>
      </c>
      <c r="W59" s="267">
        <f>MOD(Current_Stock[[#This Row],[Total Current (Unit)]],VLOOKUP(Current_Stock[[#This Row],[SKU ID]],SKU[],5,0))</f>
        <v>0</v>
      </c>
      <c r="X59" s="228">
        <f ca="1">VLOOKUP(Current_Stock[[#This Row],[SKU ID]],Stock_year[],((MONTH($B$1)-1)*$C$75)+17,0)</f>
        <v>2</v>
      </c>
      <c r="Y59" s="228">
        <f>SUMIFS(Primary_Order[Total Qty],Primary_Order[Date],"&gt;="&amp;DATE(YEAR($B$1),MONTH($B$1),1),Primary_Order[Date],"&lt;="&amp;$B$1,Primary_Order[Status],"DMG-Sold",Primary_Order[Product ID],A59)</f>
        <v>0</v>
      </c>
      <c r="Z59" s="228">
        <f ca="1">Current_Stock[[#This Row],[Opening Damage Unit]]-Current_Stock[[#This Row],[Damage Sold unit]]</f>
        <v>2</v>
      </c>
      <c r="AA59" s="228">
        <f>Current_Stock[[#This Row],[DP Price]]*Current_Stock[[#This Row],[Total Current (Unit)]]</f>
        <v>0</v>
      </c>
      <c r="AB59" s="228">
        <f ca="1">Current_Stock[[#This Row],[Total Current (Unit)]]+Current_Stock[[#This Row],[Remaining Damage Unit]]</f>
        <v>2</v>
      </c>
      <c r="AC59" s="228">
        <f ca="1">Current_Stock[[#This Row],[Total Unit with Damage]]*Current_Stock[[#This Row],[Cost]]</f>
        <v>1006.48</v>
      </c>
      <c r="AD59" s="228">
        <f>SUMIFS(Primary_Order[Total Qty],Primary_Order[Date],"&gt;="&amp;DATE(2027,12,1),Primary_Order[Status],$A$1,Primary_Order[Product ID],A59)</f>
        <v>0</v>
      </c>
      <c r="AE59" s="228">
        <f>Current_Stock[[#This Row],[Total Current (Unit)]]-Current_Stock[[#This Row],[Blocked Stock(unit)]]</f>
        <v>0</v>
      </c>
      <c r="AF59" s="228">
        <f>(Current_Stock[[#This Row],[Ageing till Sep''24 (D)]]+($B$1-45566))/30</f>
        <v>18.033333333333335</v>
      </c>
      <c r="AG59" s="228">
        <v>330</v>
      </c>
      <c r="AH59" t="str">
        <f>VLOOKUP(Current_Stock[[#This Row],[SKU ID]],SKU[],12,0)</f>
        <v>Care Products</v>
      </c>
      <c r="AI59" t="str">
        <f>VLOOKUP(Current_Stock[[#This Row],[SKU ID]],SKU[],10,0)</f>
        <v>Care Products</v>
      </c>
      <c r="AJ59" s="195">
        <f>VLOOKUP(Current_Stock[[#This Row],[SKU ID]],SKU[[SKU ID]:[Bottle Size(Ltr)]],6,0)*Current_Stock[[#This Row],[Vobanipur Current units]]</f>
        <v>0</v>
      </c>
      <c r="AK59" s="195">
        <f ca="1">VLOOKUP(Current_Stock[[#This Row],[SKU ID]],SKU[[SKU ID]:[Bottle Size(Ltr)]],6,0)*Current_Stock[[#This Row],[Remaining Damage Unit]]</f>
        <v>0.5</v>
      </c>
      <c r="AL59" s="195">
        <f>VLOOKUP(Current_Stock[[#This Row],[SKU ID]],SKU[[SKU ID]:[Bottle Size(Ltr)]],6,0)*Current_Stock[[#This Row],[Ulukhola Current]]</f>
        <v>0</v>
      </c>
    </row>
    <row r="60" spans="1:38" x14ac:dyDescent="0.5">
      <c r="A60" s="159" t="s">
        <v>149</v>
      </c>
      <c r="B60" s="159" t="s">
        <v>796</v>
      </c>
      <c r="C60" s="228" t="str">
        <f>VLOOKUP(Current_Stock[[#This Row],[SKU ID]],SKU[],9,0)</f>
        <v>Care Products</v>
      </c>
      <c r="D60" s="228">
        <f>VLOOKUP(Current_Stock[[#This Row],[SKU ID]],SKU[],14,0)</f>
        <v>792.02</v>
      </c>
      <c r="E60" s="228">
        <f>VLOOKUP(Current_Stock[[#This Row],[SKU ID]],SKU[],15,0)</f>
        <v>998.75</v>
      </c>
      <c r="F60" s="228">
        <f>VLOOKUP(Current_Stock[[#This Row],[SKU ID]],Stock_year[],((MONTH($B$1)-1)*$C$75)+2+1,0)</f>
        <v>0</v>
      </c>
      <c r="G60" s="228">
        <f>VLOOKUP(Current_Stock[[#This Row],[SKU ID]],Stock_year[],((MONTH($B$1)-1)*$C$75)+2+2,0)</f>
        <v>0</v>
      </c>
      <c r="H60" s="228">
        <f>Current_Stock[[#This Row],[Vobanipur opening units]]+Current_Stock[[#This Row],[Ulukhola opening units]]</f>
        <v>0</v>
      </c>
      <c r="I60" s="267">
        <f>VLOOKUP(Current_Stock[[#This Row],[SKU ID]],SKU[[SKU ID]:[Bottle Size(Ltr)]],6,0)*Current_Stock[[#This Row],[Total Opening Unit]]</f>
        <v>0</v>
      </c>
      <c r="J60" s="228">
        <f>VLOOKUP(Current_Stock[[#This Row],[SKU ID]],Stock_year[],((MONTH($B$1)-1)*$C$75)+2+5,0)</f>
        <v>0</v>
      </c>
      <c r="K60" s="228">
        <f>VLOOKUP(Current_Stock[[#This Row],[SKU ID]],Stock_year[],((MONTH($B$1)-1)*$C$75)+2+6,0)</f>
        <v>0</v>
      </c>
      <c r="L60" s="228">
        <f>VLOOKUP(Current_Stock[[#This Row],[SKU ID]],Stock_year[],((MONTH($B$1)-1)*$C$75)+2+7,0)</f>
        <v>0</v>
      </c>
      <c r="M60" s="228">
        <f>Current_Stock[[#This Row],[Vobanipur opening units]]+Current_Stock[[#This Row],[New Arrival Ulukhola]]+Current_Stock[[#This Row],[Ulukhola to vobanipur transfer]]</f>
        <v>0</v>
      </c>
      <c r="N60" s="228">
        <f>Current_Stock[[#This Row],[Ulukhola opening units]]+Current_Stock[[#This Row],[New Arrival Vobanipur]]-Current_Stock[[#This Row],[Ulukhola to vobanipur transfer]]</f>
        <v>0</v>
      </c>
      <c r="O60" s="228">
        <f>Current_Stock[[#This Row],[Vobaipur total]]+Current_Stock[[#This Row],[Ulukhola Current]]</f>
        <v>0</v>
      </c>
      <c r="P60" s="228">
        <f>SUMIFS(Primary_Order[Total Qty],Primary_Order[Date],"&gt;="&amp;DATE(YEAR($B$1),MONTH($B$1),1),Primary_Order[Date],"&lt;="&amp;$B$1,Primary_Order[Status],$A$1,Primary_Order[Product ID],A60,Primary_Order[Status],"&lt;&gt;DMG-Sold")</f>
        <v>0</v>
      </c>
      <c r="Q60" s="228">
        <f>Current_Stock[[#This Row],[Sold Qty(Unit)]]*Current_Stock[[#This Row],[Cost]]</f>
        <v>0</v>
      </c>
      <c r="R60" s="228">
        <f>Current_Stock[[#This Row],[Vobaipur total]]-Current_Stock[[#This Row],[Sold Qty(Unit)]]</f>
        <v>0</v>
      </c>
      <c r="S60" s="267">
        <f>Current_Stock[[#This Row],[Vobanipur Current units]]+Current_Stock[[#This Row],[Ulukhola Current]]</f>
        <v>0</v>
      </c>
      <c r="T60" s="267">
        <f>VLOOKUP(Current_Stock[[#This Row],[SKU ID]],SKU[[SKU ID]:[Bottle Size(Ltr)]],6,0)*Current_Stock[[#This Row],[Total Current (Unit)]]</f>
        <v>0</v>
      </c>
      <c r="U60" s="267">
        <f>Current_Stock[[#This Row],[Total Current (Unit)]]*Current_Stock[[#This Row],[Cost]]</f>
        <v>0</v>
      </c>
      <c r="V60" s="267">
        <f>FLOOR(Current_Stock[[#This Row],[Total Current (Unit)]]/VLOOKUP(Current_Stock[[#This Row],[SKU ID]],SKU[],5,0),1)</f>
        <v>0</v>
      </c>
      <c r="W60" s="267">
        <f>MOD(Current_Stock[[#This Row],[Total Current (Unit)]],VLOOKUP(Current_Stock[[#This Row],[SKU ID]],SKU[],5,0))</f>
        <v>0</v>
      </c>
      <c r="X60" s="228">
        <f ca="1">VLOOKUP(Current_Stock[[#This Row],[SKU ID]],Stock_year[],((MONTH($B$1)-1)*$C$75)+17,0)</f>
        <v>3</v>
      </c>
      <c r="Y60" s="228">
        <f>SUMIFS(Primary_Order[Total Qty],Primary_Order[Date],"&gt;="&amp;DATE(YEAR($B$1),MONTH($B$1),1),Primary_Order[Date],"&lt;="&amp;$B$1,Primary_Order[Status],"DMG-Sold",Primary_Order[Product ID],A60)</f>
        <v>0</v>
      </c>
      <c r="Z60" s="228">
        <f ca="1">Current_Stock[[#This Row],[Opening Damage Unit]]-Current_Stock[[#This Row],[Damage Sold unit]]</f>
        <v>3</v>
      </c>
      <c r="AA60" s="228">
        <f>Current_Stock[[#This Row],[DP Price]]*Current_Stock[[#This Row],[Total Current (Unit)]]</f>
        <v>0</v>
      </c>
      <c r="AB60" s="228">
        <f ca="1">Current_Stock[[#This Row],[Total Current (Unit)]]+Current_Stock[[#This Row],[Remaining Damage Unit]]</f>
        <v>3</v>
      </c>
      <c r="AC60" s="228">
        <f ca="1">Current_Stock[[#This Row],[Total Unit with Damage]]*Current_Stock[[#This Row],[Cost]]</f>
        <v>2376.06</v>
      </c>
      <c r="AD60" s="228">
        <f>SUMIFS(Primary_Order[Total Qty],Primary_Order[Date],"&gt;="&amp;DATE(2027,12,1),Primary_Order[Status],$A$1,Primary_Order[Product ID],A60)</f>
        <v>0</v>
      </c>
      <c r="AE60" s="228">
        <f>Current_Stock[[#This Row],[Total Current (Unit)]]-Current_Stock[[#This Row],[Blocked Stock(unit)]]</f>
        <v>0</v>
      </c>
      <c r="AF60" s="228">
        <f>(Current_Stock[[#This Row],[Ageing till Sep''24 (D)]]+($B$1-45566))/30</f>
        <v>18.033333333333335</v>
      </c>
      <c r="AG60" s="228">
        <v>330</v>
      </c>
      <c r="AH60" t="str">
        <f>VLOOKUP(Current_Stock[[#This Row],[SKU ID]],SKU[],12,0)</f>
        <v>Care Products</v>
      </c>
      <c r="AI60" t="str">
        <f>VLOOKUP(Current_Stock[[#This Row],[SKU ID]],SKU[],10,0)</f>
        <v>Care Products</v>
      </c>
      <c r="AJ60" s="195">
        <f>VLOOKUP(Current_Stock[[#This Row],[SKU ID]],SKU[[SKU ID]:[Bottle Size(Ltr)]],6,0)*Current_Stock[[#This Row],[Vobanipur Current units]]</f>
        <v>0</v>
      </c>
      <c r="AK60" s="195">
        <f ca="1">VLOOKUP(Current_Stock[[#This Row],[SKU ID]],SKU[[SKU ID]:[Bottle Size(Ltr)]],6,0)*Current_Stock[[#This Row],[Remaining Damage Unit]]</f>
        <v>0.89999999999999991</v>
      </c>
      <c r="AL60" s="195">
        <f>VLOOKUP(Current_Stock[[#This Row],[SKU ID]],SKU[[SKU ID]:[Bottle Size(Ltr)]],6,0)*Current_Stock[[#This Row],[Ulukhola Current]]</f>
        <v>0</v>
      </c>
    </row>
    <row r="61" spans="1:38" x14ac:dyDescent="0.5">
      <c r="A61" s="159" t="s">
        <v>197</v>
      </c>
      <c r="B61" s="159" t="s">
        <v>798</v>
      </c>
      <c r="C61" s="228" t="str">
        <f>VLOOKUP(Current_Stock[[#This Row],[SKU ID]],SKU[],9,0)</f>
        <v>Care Products</v>
      </c>
      <c r="D61" s="228">
        <f>VLOOKUP(Current_Stock[[#This Row],[SKU ID]],SKU[],14,0)</f>
        <v>509.72</v>
      </c>
      <c r="E61" s="228">
        <f>VLOOKUP(Current_Stock[[#This Row],[SKU ID]],SKU[],15,0)</f>
        <v>773.5</v>
      </c>
      <c r="F61" s="228">
        <f>VLOOKUP(Current_Stock[[#This Row],[SKU ID]],Stock_year[],((MONTH($B$1)-1)*$C$75)+2+1,0)</f>
        <v>0</v>
      </c>
      <c r="G61" s="228">
        <f>VLOOKUP(Current_Stock[[#This Row],[SKU ID]],Stock_year[],((MONTH($B$1)-1)*$C$75)+2+2,0)</f>
        <v>0</v>
      </c>
      <c r="H61" s="228">
        <f>Current_Stock[[#This Row],[Vobanipur opening units]]+Current_Stock[[#This Row],[Ulukhola opening units]]</f>
        <v>0</v>
      </c>
      <c r="I61" s="267">
        <f>VLOOKUP(Current_Stock[[#This Row],[SKU ID]],SKU[[SKU ID]:[Bottle Size(Ltr)]],6,0)*Current_Stock[[#This Row],[Total Opening Unit]]</f>
        <v>0</v>
      </c>
      <c r="J61" s="228">
        <f>VLOOKUP(Current_Stock[[#This Row],[SKU ID]],Stock_year[],((MONTH($B$1)-1)*$C$75)+2+5,0)</f>
        <v>0</v>
      </c>
      <c r="K61" s="228">
        <f>VLOOKUP(Current_Stock[[#This Row],[SKU ID]],Stock_year[],((MONTH($B$1)-1)*$C$75)+2+6,0)</f>
        <v>0</v>
      </c>
      <c r="L61" s="228">
        <f>VLOOKUP(Current_Stock[[#This Row],[SKU ID]],Stock_year[],((MONTH($B$1)-1)*$C$75)+2+7,0)</f>
        <v>0</v>
      </c>
      <c r="M61" s="228">
        <f>Current_Stock[[#This Row],[Vobanipur opening units]]+Current_Stock[[#This Row],[New Arrival Ulukhola]]+Current_Stock[[#This Row],[Ulukhola to vobanipur transfer]]</f>
        <v>0</v>
      </c>
      <c r="N61" s="228">
        <f>Current_Stock[[#This Row],[Ulukhola opening units]]+Current_Stock[[#This Row],[New Arrival Vobanipur]]-Current_Stock[[#This Row],[Ulukhola to vobanipur transfer]]</f>
        <v>0</v>
      </c>
      <c r="O61" s="228">
        <f>Current_Stock[[#This Row],[Vobaipur total]]+Current_Stock[[#This Row],[Ulukhola Current]]</f>
        <v>0</v>
      </c>
      <c r="P61" s="228">
        <f>SUMIFS(Primary_Order[Total Qty],Primary_Order[Date],"&gt;="&amp;DATE(YEAR($B$1),MONTH($B$1),1),Primary_Order[Date],"&lt;="&amp;$B$1,Primary_Order[Status],$A$1,Primary_Order[Product ID],A61,Primary_Order[Status],"&lt;&gt;DMG-Sold")</f>
        <v>0</v>
      </c>
      <c r="Q61" s="228">
        <f>Current_Stock[[#This Row],[Sold Qty(Unit)]]*Current_Stock[[#This Row],[Cost]]</f>
        <v>0</v>
      </c>
      <c r="R61" s="228">
        <f>Current_Stock[[#This Row],[Vobaipur total]]-Current_Stock[[#This Row],[Sold Qty(Unit)]]</f>
        <v>0</v>
      </c>
      <c r="S61" s="267">
        <f>Current_Stock[[#This Row],[Vobanipur Current units]]+Current_Stock[[#This Row],[Ulukhola Current]]</f>
        <v>0</v>
      </c>
      <c r="T61" s="267">
        <f>VLOOKUP(Current_Stock[[#This Row],[SKU ID]],SKU[[SKU ID]:[Bottle Size(Ltr)]],6,0)*Current_Stock[[#This Row],[Total Current (Unit)]]</f>
        <v>0</v>
      </c>
      <c r="U61" s="267">
        <f>Current_Stock[[#This Row],[Total Current (Unit)]]*Current_Stock[[#This Row],[Cost]]</f>
        <v>0</v>
      </c>
      <c r="V61" s="267">
        <f>FLOOR(Current_Stock[[#This Row],[Total Current (Unit)]]/VLOOKUP(Current_Stock[[#This Row],[SKU ID]],SKU[],5,0),1)</f>
        <v>0</v>
      </c>
      <c r="W61" s="267">
        <f>MOD(Current_Stock[[#This Row],[Total Current (Unit)]],VLOOKUP(Current_Stock[[#This Row],[SKU ID]],SKU[],5,0))</f>
        <v>0</v>
      </c>
      <c r="X61" s="228">
        <f ca="1">VLOOKUP(Current_Stock[[#This Row],[SKU ID]],Stock_year[],((MONTH($B$1)-1)*$C$75)+17,0)</f>
        <v>2</v>
      </c>
      <c r="Y61" s="228">
        <f>SUMIFS(Primary_Order[Total Qty],Primary_Order[Date],"&gt;="&amp;DATE(YEAR($B$1),MONTH($B$1),1),Primary_Order[Date],"&lt;="&amp;$B$1,Primary_Order[Status],"DMG-Sold",Primary_Order[Product ID],A61)</f>
        <v>0</v>
      </c>
      <c r="Z61" s="228">
        <f ca="1">Current_Stock[[#This Row],[Opening Damage Unit]]-Current_Stock[[#This Row],[Damage Sold unit]]</f>
        <v>2</v>
      </c>
      <c r="AA61" s="228">
        <f>Current_Stock[[#This Row],[DP Price]]*Current_Stock[[#This Row],[Total Current (Unit)]]</f>
        <v>0</v>
      </c>
      <c r="AB61" s="228">
        <f ca="1">Current_Stock[[#This Row],[Total Current (Unit)]]+Current_Stock[[#This Row],[Remaining Damage Unit]]</f>
        <v>2</v>
      </c>
      <c r="AC61" s="228">
        <f ca="1">Current_Stock[[#This Row],[Total Unit with Damage]]*Current_Stock[[#This Row],[Cost]]</f>
        <v>1019.44</v>
      </c>
      <c r="AD61" s="228">
        <f>SUMIFS(Primary_Order[Total Qty],Primary_Order[Date],"&gt;="&amp;DATE(2027,12,1),Primary_Order[Status],$A$1,Primary_Order[Product ID],A61)</f>
        <v>0</v>
      </c>
      <c r="AE61" s="228">
        <f>Current_Stock[[#This Row],[Total Current (Unit)]]-Current_Stock[[#This Row],[Blocked Stock(unit)]]</f>
        <v>0</v>
      </c>
      <c r="AF61" s="228">
        <f>(Current_Stock[[#This Row],[Ageing till Sep''24 (D)]]+($B$1-45566))/30</f>
        <v>31.033333333333335</v>
      </c>
      <c r="AG61" s="228">
        <v>720</v>
      </c>
      <c r="AH61" t="str">
        <f>VLOOKUP(Current_Stock[[#This Row],[SKU ID]],SKU[],12,0)</f>
        <v>Care Products</v>
      </c>
      <c r="AI61" t="str">
        <f>VLOOKUP(Current_Stock[[#This Row],[SKU ID]],SKU[],10,0)</f>
        <v>Care Products</v>
      </c>
      <c r="AJ61" s="195">
        <f>VLOOKUP(Current_Stock[[#This Row],[SKU ID]],SKU[[SKU ID]:[Bottle Size(Ltr)]],6,0)*Current_Stock[[#This Row],[Vobanipur Current units]]</f>
        <v>0</v>
      </c>
      <c r="AK61" s="195">
        <f ca="1">VLOOKUP(Current_Stock[[#This Row],[SKU ID]],SKU[[SKU ID]:[Bottle Size(Ltr)]],6,0)*Current_Stock[[#This Row],[Remaining Damage Unit]]</f>
        <v>1</v>
      </c>
      <c r="AL61" s="195">
        <f>VLOOKUP(Current_Stock[[#This Row],[SKU ID]],SKU[[SKU ID]:[Bottle Size(Ltr)]],6,0)*Current_Stock[[#This Row],[Ulukhola Current]]</f>
        <v>0</v>
      </c>
    </row>
    <row r="62" spans="1:38" x14ac:dyDescent="0.5">
      <c r="A62" s="159" t="s">
        <v>73</v>
      </c>
      <c r="B62" s="159" t="s">
        <v>800</v>
      </c>
      <c r="C62" s="228" t="str">
        <f>VLOOKUP(Current_Stock[[#This Row],[SKU ID]],SKU[],9,0)</f>
        <v>MCO</v>
      </c>
      <c r="D62" s="228">
        <f>VLOOKUP(Current_Stock[[#This Row],[SKU ID]],SKU[],14,0)</f>
        <v>418.48</v>
      </c>
      <c r="E62" s="228">
        <f>VLOOKUP(Current_Stock[[#This Row],[SKU ID]],SKU[],15,0)</f>
        <v>600</v>
      </c>
      <c r="F62" s="228">
        <f>VLOOKUP(Current_Stock[[#This Row],[SKU ID]],Stock_year[],((MONTH($B$1)-1)*$C$75)+2+1,0)</f>
        <v>0</v>
      </c>
      <c r="G62" s="228">
        <f>VLOOKUP(Current_Stock[[#This Row],[SKU ID]],Stock_year[],((MONTH($B$1)-1)*$C$75)+2+2,0)</f>
        <v>0</v>
      </c>
      <c r="H62" s="228">
        <f>Current_Stock[[#This Row],[Vobanipur opening units]]+Current_Stock[[#This Row],[Ulukhola opening units]]</f>
        <v>0</v>
      </c>
      <c r="I62" s="267">
        <f>VLOOKUP(Current_Stock[[#This Row],[SKU ID]],SKU[[SKU ID]:[Bottle Size(Ltr)]],6,0)*Current_Stock[[#This Row],[Total Opening Unit]]</f>
        <v>0</v>
      </c>
      <c r="J62" s="228">
        <f>VLOOKUP(Current_Stock[[#This Row],[SKU ID]],Stock_year[],((MONTH($B$1)-1)*$C$75)+2+5,0)</f>
        <v>0</v>
      </c>
      <c r="K62" s="228">
        <f>VLOOKUP(Current_Stock[[#This Row],[SKU ID]],Stock_year[],((MONTH($B$1)-1)*$C$75)+2+6,0)</f>
        <v>0</v>
      </c>
      <c r="L62" s="228">
        <f>VLOOKUP(Current_Stock[[#This Row],[SKU ID]],Stock_year[],((MONTH($B$1)-1)*$C$75)+2+7,0)</f>
        <v>0</v>
      </c>
      <c r="M62" s="228">
        <f>Current_Stock[[#This Row],[Vobanipur opening units]]+Current_Stock[[#This Row],[New Arrival Ulukhola]]+Current_Stock[[#This Row],[Ulukhola to vobanipur transfer]]</f>
        <v>0</v>
      </c>
      <c r="N62" s="228">
        <f>Current_Stock[[#This Row],[Ulukhola opening units]]+Current_Stock[[#This Row],[New Arrival Vobanipur]]-Current_Stock[[#This Row],[Ulukhola to vobanipur transfer]]</f>
        <v>0</v>
      </c>
      <c r="O62" s="228">
        <f>Current_Stock[[#This Row],[Vobaipur total]]+Current_Stock[[#This Row],[Ulukhola Current]]</f>
        <v>0</v>
      </c>
      <c r="P62" s="228">
        <f>SUMIFS(Primary_Order[Total Qty],Primary_Order[Date],"&gt;="&amp;DATE(YEAR($B$1),MONTH($B$1),1),Primary_Order[Date],"&lt;="&amp;$B$1,Primary_Order[Status],$A$1,Primary_Order[Product ID],A62,Primary_Order[Status],"&lt;&gt;DMG-Sold")</f>
        <v>0</v>
      </c>
      <c r="Q62" s="228">
        <f>Current_Stock[[#This Row],[Sold Qty(Unit)]]*Current_Stock[[#This Row],[Cost]]</f>
        <v>0</v>
      </c>
      <c r="R62" s="228">
        <f>Current_Stock[[#This Row],[Vobaipur total]]-Current_Stock[[#This Row],[Sold Qty(Unit)]]</f>
        <v>0</v>
      </c>
      <c r="S62" s="267">
        <f>Current_Stock[[#This Row],[Vobanipur Current units]]+Current_Stock[[#This Row],[Ulukhola Current]]</f>
        <v>0</v>
      </c>
      <c r="T62" s="267">
        <f>VLOOKUP(Current_Stock[[#This Row],[SKU ID]],SKU[[SKU ID]:[Bottle Size(Ltr)]],6,0)*Current_Stock[[#This Row],[Total Current (Unit)]]</f>
        <v>0</v>
      </c>
      <c r="U62" s="267">
        <f>Current_Stock[[#This Row],[Total Current (Unit)]]*Current_Stock[[#This Row],[Cost]]</f>
        <v>0</v>
      </c>
      <c r="V62" s="267">
        <f>FLOOR(Current_Stock[[#This Row],[Total Current (Unit)]]/VLOOKUP(Current_Stock[[#This Row],[SKU ID]],SKU[],5,0),1)</f>
        <v>0</v>
      </c>
      <c r="W62" s="267">
        <f>MOD(Current_Stock[[#This Row],[Total Current (Unit)]],VLOOKUP(Current_Stock[[#This Row],[SKU ID]],SKU[],5,0))</f>
        <v>0</v>
      </c>
      <c r="X62" s="228">
        <f ca="1">VLOOKUP(Current_Stock[[#This Row],[SKU ID]],Stock_year[],((MONTH($B$1)-1)*$C$75)+17,0)</f>
        <v>1735</v>
      </c>
      <c r="Y62" s="228">
        <f>SUMIFS(Primary_Order[Total Qty],Primary_Order[Date],"&gt;="&amp;DATE(YEAR($B$1),MONTH($B$1),1),Primary_Order[Date],"&lt;="&amp;$B$1,Primary_Order[Status],"DMG-Sold",Primary_Order[Product ID],A62)</f>
        <v>0</v>
      </c>
      <c r="Z62" s="228">
        <f ca="1">Current_Stock[[#This Row],[Opening Damage Unit]]-Current_Stock[[#This Row],[Damage Sold unit]]</f>
        <v>1735</v>
      </c>
      <c r="AA62" s="228">
        <f>Current_Stock[[#This Row],[DP Price]]*Current_Stock[[#This Row],[Total Current (Unit)]]</f>
        <v>0</v>
      </c>
      <c r="AB62" s="228">
        <f ca="1">Current_Stock[[#This Row],[Total Current (Unit)]]+Current_Stock[[#This Row],[Remaining Damage Unit]]</f>
        <v>1735</v>
      </c>
      <c r="AC62" s="228">
        <f ca="1">Current_Stock[[#This Row],[Total Unit with Damage]]*Current_Stock[[#This Row],[Cost]]</f>
        <v>726062.8</v>
      </c>
      <c r="AD62" s="228">
        <f>SUMIFS(Primary_Order[Total Qty],Primary_Order[Date],"&gt;="&amp;DATE(2027,12,1),Primary_Order[Status],$A$1,Primary_Order[Product ID],A62)</f>
        <v>58</v>
      </c>
      <c r="AE62" s="228">
        <f>Current_Stock[[#This Row],[Total Current (Unit)]]-Current_Stock[[#This Row],[Blocked Stock(unit)]]</f>
        <v>-58</v>
      </c>
      <c r="AF62" s="228">
        <f>(Current_Stock[[#This Row],[Ageing till Sep''24 (D)]]+($B$1-45566))/30</f>
        <v>8.55647675651878</v>
      </c>
      <c r="AG62" s="228">
        <v>45.694302695563422</v>
      </c>
      <c r="AH62" t="str">
        <f>VLOOKUP(Current_Stock[[#This Row],[SKU ID]],SKU[],12,0)</f>
        <v>10W40</v>
      </c>
      <c r="AI62" t="str">
        <f>VLOOKUP(Current_Stock[[#This Row],[SKU ID]],SKU[],10,0)</f>
        <v>Technosynthese</v>
      </c>
      <c r="AJ62" s="195">
        <f>VLOOKUP(Current_Stock[[#This Row],[SKU ID]],SKU[[SKU ID]:[Bottle Size(Ltr)]],6,0)*Current_Stock[[#This Row],[Vobanipur Current units]]</f>
        <v>0</v>
      </c>
      <c r="AK62" s="195">
        <f ca="1">VLOOKUP(Current_Stock[[#This Row],[SKU ID]],SKU[[SKU ID]:[Bottle Size(Ltr)]],6,0)*Current_Stock[[#This Row],[Remaining Damage Unit]]</f>
        <v>1735</v>
      </c>
      <c r="AL62" s="195">
        <f>VLOOKUP(Current_Stock[[#This Row],[SKU ID]],SKU[[SKU ID]:[Bottle Size(Ltr)]],6,0)*Current_Stock[[#This Row],[Ulukhola Current]]</f>
        <v>0</v>
      </c>
    </row>
    <row r="63" spans="1:38" x14ac:dyDescent="0.5">
      <c r="A63" s="159" t="s">
        <v>179</v>
      </c>
      <c r="B63" s="159" t="s">
        <v>804</v>
      </c>
      <c r="C63" s="228" t="str">
        <f>VLOOKUP(Current_Stock[[#This Row],[SKU ID]],SKU[],9,0)</f>
        <v>HDDO</v>
      </c>
      <c r="D63" s="228">
        <f>VLOOKUP(Current_Stock[[#This Row],[SKU ID]],SKU[],14,0)</f>
        <v>4110.7299999999996</v>
      </c>
      <c r="E63" s="228">
        <f>VLOOKUP(Current_Stock[[#This Row],[SKU ID]],SKU[],15,0)</f>
        <v>5280</v>
      </c>
      <c r="F63" s="228">
        <f>VLOOKUP(Current_Stock[[#This Row],[SKU ID]],Stock_year[],((MONTH($B$1)-1)*$C$75)+2+1,0)</f>
        <v>0</v>
      </c>
      <c r="G63" s="228">
        <f>VLOOKUP(Current_Stock[[#This Row],[SKU ID]],Stock_year[],((MONTH($B$1)-1)*$C$75)+2+2,0)</f>
        <v>0</v>
      </c>
      <c r="H63" s="228">
        <f>Current_Stock[[#This Row],[Vobanipur opening units]]+Current_Stock[[#This Row],[Ulukhola opening units]]</f>
        <v>0</v>
      </c>
      <c r="I63" s="267">
        <f>VLOOKUP(Current_Stock[[#This Row],[SKU ID]],SKU[[SKU ID]:[Bottle Size(Ltr)]],6,0)*Current_Stock[[#This Row],[Total Opening Unit]]</f>
        <v>0</v>
      </c>
      <c r="J63" s="228">
        <f>VLOOKUP(Current_Stock[[#This Row],[SKU ID]],Stock_year[],((MONTH($B$1)-1)*$C$75)+2+5,0)</f>
        <v>0</v>
      </c>
      <c r="K63" s="228">
        <f>VLOOKUP(Current_Stock[[#This Row],[SKU ID]],Stock_year[],((MONTH($B$1)-1)*$C$75)+2+6,0)</f>
        <v>0</v>
      </c>
      <c r="L63" s="228">
        <f>VLOOKUP(Current_Stock[[#This Row],[SKU ID]],Stock_year[],((MONTH($B$1)-1)*$C$75)+2+7,0)</f>
        <v>0</v>
      </c>
      <c r="M63" s="228">
        <f>Current_Stock[[#This Row],[Vobanipur opening units]]+Current_Stock[[#This Row],[New Arrival Ulukhola]]+Current_Stock[[#This Row],[Ulukhola to vobanipur transfer]]</f>
        <v>0</v>
      </c>
      <c r="N63" s="228">
        <f>Current_Stock[[#This Row],[Ulukhola opening units]]+Current_Stock[[#This Row],[New Arrival Vobanipur]]-Current_Stock[[#This Row],[Ulukhola to vobanipur transfer]]</f>
        <v>0</v>
      </c>
      <c r="O63" s="228">
        <f>Current_Stock[[#This Row],[Vobaipur total]]+Current_Stock[[#This Row],[Ulukhola Current]]</f>
        <v>0</v>
      </c>
      <c r="P63" s="228">
        <f>SUMIFS(Primary_Order[Total Qty],Primary_Order[Date],"&gt;="&amp;DATE(YEAR($B$1),MONTH($B$1),1),Primary_Order[Date],"&lt;="&amp;$B$1,Primary_Order[Status],$A$1,Primary_Order[Product ID],A63,Primary_Order[Status],"&lt;&gt;DMG-Sold")</f>
        <v>0</v>
      </c>
      <c r="Q63" s="228">
        <f>Current_Stock[[#This Row],[Sold Qty(Unit)]]*Current_Stock[[#This Row],[Cost]]</f>
        <v>0</v>
      </c>
      <c r="R63" s="228">
        <f>Current_Stock[[#This Row],[Vobaipur total]]-Current_Stock[[#This Row],[Sold Qty(Unit)]]</f>
        <v>0</v>
      </c>
      <c r="S63" s="267">
        <f>Current_Stock[[#This Row],[Vobanipur Current units]]+Current_Stock[[#This Row],[Ulukhola Current]]</f>
        <v>0</v>
      </c>
      <c r="T63" s="267">
        <f>VLOOKUP(Current_Stock[[#This Row],[SKU ID]],SKU[[SKU ID]:[Bottle Size(Ltr)]],6,0)*Current_Stock[[#This Row],[Total Current (Unit)]]</f>
        <v>0</v>
      </c>
      <c r="U63" s="267">
        <f>Current_Stock[[#This Row],[Total Current (Unit)]]*Current_Stock[[#This Row],[Cost]]</f>
        <v>0</v>
      </c>
      <c r="V63" s="267">
        <f>FLOOR(Current_Stock[[#This Row],[Total Current (Unit)]]/VLOOKUP(Current_Stock[[#This Row],[SKU ID]],SKU[],5,0),1)</f>
        <v>0</v>
      </c>
      <c r="W63" s="267">
        <f>MOD(Current_Stock[[#This Row],[Total Current (Unit)]],VLOOKUP(Current_Stock[[#This Row],[SKU ID]],SKU[],5,0))</f>
        <v>0</v>
      </c>
      <c r="X63" s="228">
        <f ca="1">VLOOKUP(Current_Stock[[#This Row],[SKU ID]],Stock_year[],((MONTH($B$1)-1)*$C$75)+17,0)</f>
        <v>1</v>
      </c>
      <c r="Y63" s="228">
        <f>SUMIFS(Primary_Order[Total Qty],Primary_Order[Date],"&gt;="&amp;DATE(YEAR($B$1),MONTH($B$1),1),Primary_Order[Date],"&lt;="&amp;$B$1,Primary_Order[Status],"DMG-Sold",Primary_Order[Product ID],A63)</f>
        <v>0</v>
      </c>
      <c r="Z63" s="228">
        <f ca="1">Current_Stock[[#This Row],[Opening Damage Unit]]-Current_Stock[[#This Row],[Damage Sold unit]]</f>
        <v>1</v>
      </c>
      <c r="AA63" s="228">
        <f>Current_Stock[[#This Row],[DP Price]]*Current_Stock[[#This Row],[Total Current (Unit)]]</f>
        <v>0</v>
      </c>
      <c r="AB63" s="228">
        <f ca="1">Current_Stock[[#This Row],[Total Current (Unit)]]+Current_Stock[[#This Row],[Remaining Damage Unit]]</f>
        <v>1</v>
      </c>
      <c r="AC63" s="228">
        <f ca="1">Current_Stock[[#This Row],[Total Unit with Damage]]*Current_Stock[[#This Row],[Cost]]</f>
        <v>4110.7299999999996</v>
      </c>
      <c r="AD63" s="228">
        <f>SUMIFS(Primary_Order[Total Qty],Primary_Order[Date],"&gt;="&amp;DATE(2027,12,1),Primary_Order[Status],$A$1,Primary_Order[Product ID],A63)</f>
        <v>0</v>
      </c>
      <c r="AE63" s="228">
        <f>Current_Stock[[#This Row],[Total Current (Unit)]]-Current_Stock[[#This Row],[Blocked Stock(unit)]]</f>
        <v>0</v>
      </c>
      <c r="AF63" s="228">
        <f>(Current_Stock[[#This Row],[Ageing till Sep''24 (D)]]+($B$1-45566))/30</f>
        <v>26.033333333333335</v>
      </c>
      <c r="AG63" s="228">
        <v>570</v>
      </c>
      <c r="AH63" t="str">
        <f>VLOOKUP(Current_Stock[[#This Row],[SKU ID]],SKU[],12,0)</f>
        <v>15W40</v>
      </c>
      <c r="AI63" t="str">
        <f>VLOOKUP(Current_Stock[[#This Row],[SKU ID]],SKU[],10,0)</f>
        <v>Mineral</v>
      </c>
      <c r="AJ63" s="195">
        <f>VLOOKUP(Current_Stock[[#This Row],[SKU ID]],SKU[[SKU ID]:[Bottle Size(Ltr)]],6,0)*Current_Stock[[#This Row],[Vobanipur Current units]]</f>
        <v>0</v>
      </c>
      <c r="AK63" s="195">
        <f ca="1">VLOOKUP(Current_Stock[[#This Row],[SKU ID]],SKU[[SKU ID]:[Bottle Size(Ltr)]],6,0)*Current_Stock[[#This Row],[Remaining Damage Unit]]</f>
        <v>11</v>
      </c>
      <c r="AL63" s="195">
        <f>VLOOKUP(Current_Stock[[#This Row],[SKU ID]],SKU[[SKU ID]:[Bottle Size(Ltr)]],6,0)*Current_Stock[[#This Row],[Ulukhola Current]]</f>
        <v>0</v>
      </c>
    </row>
    <row r="64" spans="1:38" x14ac:dyDescent="0.5">
      <c r="A64" s="159" t="s">
        <v>113</v>
      </c>
      <c r="B64" s="159" t="s">
        <v>805</v>
      </c>
      <c r="C64" s="228" t="str">
        <f>VLOOKUP(Current_Stock[[#This Row],[SKU ID]],SKU[],9,0)</f>
        <v>HDDO</v>
      </c>
      <c r="D64" s="228">
        <f>VLOOKUP(Current_Stock[[#This Row],[SKU ID]],SKU[],14,0)</f>
        <v>5534.87</v>
      </c>
      <c r="E64" s="228">
        <f>VLOOKUP(Current_Stock[[#This Row],[SKU ID]],SKU[],15,0)</f>
        <v>7170</v>
      </c>
      <c r="F64" s="228">
        <f>VLOOKUP(Current_Stock[[#This Row],[SKU ID]],Stock_year[],((MONTH($B$1)-1)*$C$75)+2+1,0)</f>
        <v>0</v>
      </c>
      <c r="G64" s="228">
        <f>VLOOKUP(Current_Stock[[#This Row],[SKU ID]],Stock_year[],((MONTH($B$1)-1)*$C$75)+2+2,0)</f>
        <v>0</v>
      </c>
      <c r="H64" s="228">
        <f>Current_Stock[[#This Row],[Vobanipur opening units]]+Current_Stock[[#This Row],[Ulukhola opening units]]</f>
        <v>0</v>
      </c>
      <c r="I64" s="267">
        <f>VLOOKUP(Current_Stock[[#This Row],[SKU ID]],SKU[[SKU ID]:[Bottle Size(Ltr)]],6,0)*Current_Stock[[#This Row],[Total Opening Unit]]</f>
        <v>0</v>
      </c>
      <c r="J64" s="228">
        <f>VLOOKUP(Current_Stock[[#This Row],[SKU ID]],Stock_year[],((MONTH($B$1)-1)*$C$75)+2+5,0)</f>
        <v>0</v>
      </c>
      <c r="K64" s="228">
        <f>VLOOKUP(Current_Stock[[#This Row],[SKU ID]],Stock_year[],((MONTH($B$1)-1)*$C$75)+2+6,0)</f>
        <v>0</v>
      </c>
      <c r="L64" s="228">
        <f>VLOOKUP(Current_Stock[[#This Row],[SKU ID]],Stock_year[],((MONTH($B$1)-1)*$C$75)+2+7,0)</f>
        <v>0</v>
      </c>
      <c r="M64" s="228">
        <f>Current_Stock[[#This Row],[Vobanipur opening units]]+Current_Stock[[#This Row],[New Arrival Ulukhola]]+Current_Stock[[#This Row],[Ulukhola to vobanipur transfer]]</f>
        <v>0</v>
      </c>
      <c r="N64" s="228">
        <f>Current_Stock[[#This Row],[Ulukhola opening units]]+Current_Stock[[#This Row],[New Arrival Vobanipur]]-Current_Stock[[#This Row],[Ulukhola to vobanipur transfer]]</f>
        <v>0</v>
      </c>
      <c r="O64" s="228">
        <f>Current_Stock[[#This Row],[Vobaipur total]]+Current_Stock[[#This Row],[Ulukhola Current]]</f>
        <v>0</v>
      </c>
      <c r="P64" s="228">
        <f>SUMIFS(Primary_Order[Total Qty],Primary_Order[Date],"&gt;="&amp;DATE(YEAR($B$1),MONTH($B$1),1),Primary_Order[Date],"&lt;="&amp;$B$1,Primary_Order[Status],$A$1,Primary_Order[Product ID],A64,Primary_Order[Status],"&lt;&gt;DMG-Sold")</f>
        <v>0</v>
      </c>
      <c r="Q64" s="228">
        <f>Current_Stock[[#This Row],[Sold Qty(Unit)]]*Current_Stock[[#This Row],[Cost]]</f>
        <v>0</v>
      </c>
      <c r="R64" s="228">
        <f>Current_Stock[[#This Row],[Vobaipur total]]-Current_Stock[[#This Row],[Sold Qty(Unit)]]</f>
        <v>0</v>
      </c>
      <c r="S64" s="267">
        <f>Current_Stock[[#This Row],[Vobanipur Current units]]+Current_Stock[[#This Row],[Ulukhola Current]]</f>
        <v>0</v>
      </c>
      <c r="T64" s="267">
        <f>VLOOKUP(Current_Stock[[#This Row],[SKU ID]],SKU[[SKU ID]:[Bottle Size(Ltr)]],6,0)*Current_Stock[[#This Row],[Total Current (Unit)]]</f>
        <v>0</v>
      </c>
      <c r="U64" s="267">
        <f>Current_Stock[[#This Row],[Total Current (Unit)]]*Current_Stock[[#This Row],[Cost]]</f>
        <v>0</v>
      </c>
      <c r="V64" s="267">
        <f>FLOOR(Current_Stock[[#This Row],[Total Current (Unit)]]/VLOOKUP(Current_Stock[[#This Row],[SKU ID]],SKU[],5,0),1)</f>
        <v>0</v>
      </c>
      <c r="W64" s="267">
        <f>MOD(Current_Stock[[#This Row],[Total Current (Unit)]],VLOOKUP(Current_Stock[[#This Row],[SKU ID]],SKU[],5,0))</f>
        <v>0</v>
      </c>
      <c r="X64" s="228">
        <f ca="1">VLOOKUP(Current_Stock[[#This Row],[SKU ID]],Stock_year[],((MONTH($B$1)-1)*$C$75)+17,0)</f>
        <v>0</v>
      </c>
      <c r="Y64" s="228">
        <f>SUMIFS(Primary_Order[Total Qty],Primary_Order[Date],"&gt;="&amp;DATE(YEAR($B$1),MONTH($B$1),1),Primary_Order[Date],"&lt;="&amp;$B$1,Primary_Order[Status],"DMG-Sold",Primary_Order[Product ID],A64)</f>
        <v>0</v>
      </c>
      <c r="Z64" s="228">
        <f ca="1">Current_Stock[[#This Row],[Opening Damage Unit]]-Current_Stock[[#This Row],[Damage Sold unit]]</f>
        <v>0</v>
      </c>
      <c r="AA64" s="228">
        <f>Current_Stock[[#This Row],[DP Price]]*Current_Stock[[#This Row],[Total Current (Unit)]]</f>
        <v>0</v>
      </c>
      <c r="AB64" s="228">
        <f ca="1">Current_Stock[[#This Row],[Total Current (Unit)]]+Current_Stock[[#This Row],[Remaining Damage Unit]]</f>
        <v>0</v>
      </c>
      <c r="AC64" s="228">
        <f ca="1">Current_Stock[[#This Row],[Total Unit with Damage]]*Current_Stock[[#This Row],[Cost]]</f>
        <v>0</v>
      </c>
      <c r="AD64" s="228">
        <f>SUMIFS(Primary_Order[Total Qty],Primary_Order[Date],"&gt;="&amp;DATE(2027,12,1),Primary_Order[Status],$A$1,Primary_Order[Product ID],A64)</f>
        <v>0</v>
      </c>
      <c r="AE64" s="228">
        <f>Current_Stock[[#This Row],[Total Current (Unit)]]-Current_Stock[[#This Row],[Blocked Stock(unit)]]</f>
        <v>0</v>
      </c>
      <c r="AF64" s="228">
        <f>(Current_Stock[[#This Row],[Ageing till Sep''24 (D)]]+($B$1-45566))/30</f>
        <v>26.033333333333335</v>
      </c>
      <c r="AG64" s="228">
        <v>570</v>
      </c>
      <c r="AH64" t="str">
        <f>VLOOKUP(Current_Stock[[#This Row],[SKU ID]],SKU[],12,0)</f>
        <v>15W40</v>
      </c>
      <c r="AI64" t="str">
        <f>VLOOKUP(Current_Stock[[#This Row],[SKU ID]],SKU[],10,0)</f>
        <v>Mineral</v>
      </c>
      <c r="AJ64" s="195">
        <f>VLOOKUP(Current_Stock[[#This Row],[SKU ID]],SKU[[SKU ID]:[Bottle Size(Ltr)]],6,0)*Current_Stock[[#This Row],[Vobanipur Current units]]</f>
        <v>0</v>
      </c>
      <c r="AK64" s="195">
        <f ca="1">VLOOKUP(Current_Stock[[#This Row],[SKU ID]],SKU[[SKU ID]:[Bottle Size(Ltr)]],6,0)*Current_Stock[[#This Row],[Remaining Damage Unit]]</f>
        <v>0</v>
      </c>
      <c r="AL64" s="195">
        <f>VLOOKUP(Current_Stock[[#This Row],[SKU ID]],SKU[[SKU ID]:[Bottle Size(Ltr)]],6,0)*Current_Stock[[#This Row],[Ulukhola Current]]</f>
        <v>0</v>
      </c>
    </row>
    <row r="65" spans="1:38" x14ac:dyDescent="0.5">
      <c r="A65" s="159" t="s">
        <v>168</v>
      </c>
      <c r="B65" s="159" t="s">
        <v>810</v>
      </c>
      <c r="C65" s="228" t="str">
        <f>VLOOKUP(Current_Stock[[#This Row],[SKU ID]],SKU[],9,0)</f>
        <v>Care Products</v>
      </c>
      <c r="D65" s="228">
        <f>VLOOKUP(Current_Stock[[#This Row],[SKU ID]],SKU[],14,0)</f>
        <v>284.94</v>
      </c>
      <c r="E65" s="228">
        <f>VLOOKUP(Current_Stock[[#This Row],[SKU ID]],SKU[],15,0)</f>
        <v>425</v>
      </c>
      <c r="F65" s="228">
        <f>VLOOKUP(Current_Stock[[#This Row],[SKU ID]],Stock_year[],((MONTH($B$1)-1)*$C$75)+2+1,0)</f>
        <v>0</v>
      </c>
      <c r="G65" s="228">
        <f>VLOOKUP(Current_Stock[[#This Row],[SKU ID]],Stock_year[],((MONTH($B$1)-1)*$C$75)+2+2,0)</f>
        <v>0</v>
      </c>
      <c r="H65" s="228">
        <f>Current_Stock[[#This Row],[Vobanipur opening units]]+Current_Stock[[#This Row],[Ulukhola opening units]]</f>
        <v>0</v>
      </c>
      <c r="I65" s="267">
        <f>VLOOKUP(Current_Stock[[#This Row],[SKU ID]],SKU[[SKU ID]:[Bottle Size(Ltr)]],6,0)*Current_Stock[[#This Row],[Total Opening Unit]]</f>
        <v>0</v>
      </c>
      <c r="J65" s="228">
        <f>VLOOKUP(Current_Stock[[#This Row],[SKU ID]],Stock_year[],((MONTH($B$1)-1)*$C$75)+2+5,0)</f>
        <v>0</v>
      </c>
      <c r="K65" s="228">
        <f>VLOOKUP(Current_Stock[[#This Row],[SKU ID]],Stock_year[],((MONTH($B$1)-1)*$C$75)+2+6,0)</f>
        <v>0</v>
      </c>
      <c r="L65" s="228">
        <f>VLOOKUP(Current_Stock[[#This Row],[SKU ID]],Stock_year[],((MONTH($B$1)-1)*$C$75)+2+7,0)</f>
        <v>0</v>
      </c>
      <c r="M65" s="228">
        <f>Current_Stock[[#This Row],[Vobanipur opening units]]+Current_Stock[[#This Row],[New Arrival Ulukhola]]+Current_Stock[[#This Row],[Ulukhola to vobanipur transfer]]</f>
        <v>0</v>
      </c>
      <c r="N65" s="228">
        <f>Current_Stock[[#This Row],[Ulukhola opening units]]+Current_Stock[[#This Row],[New Arrival Vobanipur]]-Current_Stock[[#This Row],[Ulukhola to vobanipur transfer]]</f>
        <v>0</v>
      </c>
      <c r="O65" s="228">
        <f>Current_Stock[[#This Row],[Vobaipur total]]+Current_Stock[[#This Row],[Ulukhola Current]]</f>
        <v>0</v>
      </c>
      <c r="P65" s="228">
        <f>SUMIFS(Primary_Order[Total Qty],Primary_Order[Date],"&gt;="&amp;DATE(YEAR($B$1),MONTH($B$1),1),Primary_Order[Date],"&lt;="&amp;$B$1,Primary_Order[Status],$A$1,Primary_Order[Product ID],A65,Primary_Order[Status],"&lt;&gt;DMG-Sold")</f>
        <v>0</v>
      </c>
      <c r="Q65" s="228">
        <f>Current_Stock[[#This Row],[Sold Qty(Unit)]]*Current_Stock[[#This Row],[Cost]]</f>
        <v>0</v>
      </c>
      <c r="R65" s="228">
        <f>Current_Stock[[#This Row],[Vobaipur total]]-Current_Stock[[#This Row],[Sold Qty(Unit)]]</f>
        <v>0</v>
      </c>
      <c r="S65" s="267">
        <f>Current_Stock[[#This Row],[Vobanipur Current units]]+Current_Stock[[#This Row],[Ulukhola Current]]</f>
        <v>0</v>
      </c>
      <c r="T65" s="267">
        <f>VLOOKUP(Current_Stock[[#This Row],[SKU ID]],SKU[[SKU ID]:[Bottle Size(Ltr)]],6,0)*Current_Stock[[#This Row],[Total Current (Unit)]]</f>
        <v>0</v>
      </c>
      <c r="U65" s="267">
        <f>Current_Stock[[#This Row],[Total Current (Unit)]]*Current_Stock[[#This Row],[Cost]]</f>
        <v>0</v>
      </c>
      <c r="V65" s="267">
        <f>FLOOR(Current_Stock[[#This Row],[Total Current (Unit)]]/VLOOKUP(Current_Stock[[#This Row],[SKU ID]],SKU[],5,0),1)</f>
        <v>0</v>
      </c>
      <c r="W65" s="267">
        <f>MOD(Current_Stock[[#This Row],[Total Current (Unit)]],VLOOKUP(Current_Stock[[#This Row],[SKU ID]],SKU[],5,0))</f>
        <v>0</v>
      </c>
      <c r="X65" s="228">
        <f ca="1">VLOOKUP(Current_Stock[[#This Row],[SKU ID]],Stock_year[],((MONTH($B$1)-1)*$C$75)+17,0)</f>
        <v>1</v>
      </c>
      <c r="Y65" s="228">
        <f>SUMIFS(Primary_Order[Total Qty],Primary_Order[Date],"&gt;="&amp;DATE(YEAR($B$1),MONTH($B$1),1),Primary_Order[Date],"&lt;="&amp;$B$1,Primary_Order[Status],"DMG-Sold",Primary_Order[Product ID],A65)</f>
        <v>0</v>
      </c>
      <c r="Z65" s="228">
        <f ca="1">Current_Stock[[#This Row],[Opening Damage Unit]]-Current_Stock[[#This Row],[Damage Sold unit]]</f>
        <v>1</v>
      </c>
      <c r="AA65" s="228">
        <f>Current_Stock[[#This Row],[DP Price]]*Current_Stock[[#This Row],[Total Current (Unit)]]</f>
        <v>0</v>
      </c>
      <c r="AB65" s="228">
        <f ca="1">Current_Stock[[#This Row],[Total Current (Unit)]]+Current_Stock[[#This Row],[Remaining Damage Unit]]</f>
        <v>1</v>
      </c>
      <c r="AC65" s="228">
        <f ca="1">Current_Stock[[#This Row],[Total Unit with Damage]]*Current_Stock[[#This Row],[Cost]]</f>
        <v>284.94</v>
      </c>
      <c r="AD65" s="228">
        <f>SUMIFS(Primary_Order[Total Qty],Primary_Order[Date],"&gt;="&amp;DATE(2027,12,1),Primary_Order[Status],$A$1,Primary_Order[Product ID],A65)</f>
        <v>0</v>
      </c>
      <c r="AE65" s="228">
        <f>Current_Stock[[#This Row],[Total Current (Unit)]]-Current_Stock[[#This Row],[Blocked Stock(unit)]]</f>
        <v>0</v>
      </c>
      <c r="AF65" s="228">
        <f>(Current_Stock[[#This Row],[Ageing till Sep''24 (D)]]+($B$1-45566))/30</f>
        <v>8.1091805630267171</v>
      </c>
      <c r="AG65" s="228">
        <v>32.275416890801509</v>
      </c>
      <c r="AH65" t="str">
        <f>VLOOKUP(Current_Stock[[#This Row],[SKU ID]],SKU[],12,0)</f>
        <v>Care Products</v>
      </c>
      <c r="AI65" t="str">
        <f>VLOOKUP(Current_Stock[[#This Row],[SKU ID]],SKU[],10,0)</f>
        <v>Care Products</v>
      </c>
      <c r="AJ65" s="195">
        <f>VLOOKUP(Current_Stock[[#This Row],[SKU ID]],SKU[[SKU ID]:[Bottle Size(Ltr)]],6,0)*Current_Stock[[#This Row],[Vobanipur Current units]]</f>
        <v>0</v>
      </c>
      <c r="AK65" s="195">
        <f ca="1">VLOOKUP(Current_Stock[[#This Row],[SKU ID]],SKU[[SKU ID]:[Bottle Size(Ltr)]],6,0)*Current_Stock[[#This Row],[Remaining Damage Unit]]</f>
        <v>0.5</v>
      </c>
      <c r="AL65" s="195">
        <f>VLOOKUP(Current_Stock[[#This Row],[SKU ID]],SKU[[SKU ID]:[Bottle Size(Ltr)]],6,0)*Current_Stock[[#This Row],[Ulukhola Current]]</f>
        <v>0</v>
      </c>
    </row>
    <row r="66" spans="1:38" x14ac:dyDescent="0.5">
      <c r="A66" s="159" t="s">
        <v>166</v>
      </c>
      <c r="B66" s="159" t="s">
        <v>813</v>
      </c>
      <c r="C66" s="228" t="str">
        <f>VLOOKUP(Current_Stock[[#This Row],[SKU ID]],SKU[],9,0)</f>
        <v>HDDO</v>
      </c>
      <c r="D66" s="228">
        <f>VLOOKUP(Current_Stock[[#This Row],[SKU ID]],SKU[],14,0)</f>
        <v>416.38</v>
      </c>
      <c r="E66" s="228">
        <f>VLOOKUP(Current_Stock[[#This Row],[SKU ID]],SKU[],15,0)</f>
        <v>546</v>
      </c>
      <c r="F66" s="228">
        <f>VLOOKUP(Current_Stock[[#This Row],[SKU ID]],Stock_year[],((MONTH($B$1)-1)*$C$75)+2+1,0)</f>
        <v>0</v>
      </c>
      <c r="G66" s="228">
        <f>VLOOKUP(Current_Stock[[#This Row],[SKU ID]],Stock_year[],((MONTH($B$1)-1)*$C$75)+2+2,0)</f>
        <v>0</v>
      </c>
      <c r="H66" s="228">
        <f>Current_Stock[[#This Row],[Vobanipur opening units]]+Current_Stock[[#This Row],[Ulukhola opening units]]</f>
        <v>0</v>
      </c>
      <c r="I66" s="267">
        <f>VLOOKUP(Current_Stock[[#This Row],[SKU ID]],SKU[[SKU ID]:[Bottle Size(Ltr)]],6,0)*Current_Stock[[#This Row],[Total Opening Unit]]</f>
        <v>0</v>
      </c>
      <c r="J66" s="228">
        <f>VLOOKUP(Current_Stock[[#This Row],[SKU ID]],Stock_year[],((MONTH($B$1)-1)*$C$75)+2+5,0)</f>
        <v>0</v>
      </c>
      <c r="K66" s="228">
        <f>VLOOKUP(Current_Stock[[#This Row],[SKU ID]],Stock_year[],((MONTH($B$1)-1)*$C$75)+2+6,0)</f>
        <v>0</v>
      </c>
      <c r="L66" s="228">
        <f>VLOOKUP(Current_Stock[[#This Row],[SKU ID]],Stock_year[],((MONTH($B$1)-1)*$C$75)+2+7,0)</f>
        <v>0</v>
      </c>
      <c r="M66" s="228">
        <f>Current_Stock[[#This Row],[Vobanipur opening units]]+Current_Stock[[#This Row],[New Arrival Ulukhola]]+Current_Stock[[#This Row],[Ulukhola to vobanipur transfer]]</f>
        <v>0</v>
      </c>
      <c r="N66" s="228">
        <f>Current_Stock[[#This Row],[Ulukhola opening units]]+Current_Stock[[#This Row],[New Arrival Vobanipur]]-Current_Stock[[#This Row],[Ulukhola to vobanipur transfer]]</f>
        <v>0</v>
      </c>
      <c r="O66" s="228">
        <f>Current_Stock[[#This Row],[Vobaipur total]]+Current_Stock[[#This Row],[Ulukhola Current]]</f>
        <v>0</v>
      </c>
      <c r="P66" s="228">
        <f>SUMIFS(Primary_Order[Total Qty],Primary_Order[Date],"&gt;="&amp;DATE(YEAR($B$1),MONTH($B$1),1),Primary_Order[Date],"&lt;="&amp;$B$1,Primary_Order[Status],$A$1,Primary_Order[Product ID],A66,Primary_Order[Status],"&lt;&gt;DMG-Sold")</f>
        <v>0</v>
      </c>
      <c r="Q66" s="228">
        <f>Current_Stock[[#This Row],[Sold Qty(Unit)]]*Current_Stock[[#This Row],[Cost]]</f>
        <v>0</v>
      </c>
      <c r="R66" s="228">
        <f>Current_Stock[[#This Row],[Vobaipur total]]-Current_Stock[[#This Row],[Sold Qty(Unit)]]</f>
        <v>0</v>
      </c>
      <c r="S66" s="267">
        <f>Current_Stock[[#This Row],[Vobanipur Current units]]+Current_Stock[[#This Row],[Ulukhola Current]]</f>
        <v>0</v>
      </c>
      <c r="T66" s="267">
        <f>VLOOKUP(Current_Stock[[#This Row],[SKU ID]],SKU[[SKU ID]:[Bottle Size(Ltr)]],6,0)*Current_Stock[[#This Row],[Total Current (Unit)]]</f>
        <v>0</v>
      </c>
      <c r="U66" s="267">
        <f>Current_Stock[[#This Row],[Total Current (Unit)]]*Current_Stock[[#This Row],[Cost]]</f>
        <v>0</v>
      </c>
      <c r="V66" s="267">
        <f>FLOOR(Current_Stock[[#This Row],[Total Current (Unit)]]/VLOOKUP(Current_Stock[[#This Row],[SKU ID]],SKU[],5,0),1)</f>
        <v>0</v>
      </c>
      <c r="W66" s="267">
        <f>MOD(Current_Stock[[#This Row],[Total Current (Unit)]],VLOOKUP(Current_Stock[[#This Row],[SKU ID]],SKU[],5,0))</f>
        <v>0</v>
      </c>
      <c r="X66" s="228">
        <f ca="1">VLOOKUP(Current_Stock[[#This Row],[SKU ID]],Stock_year[],((MONTH($B$1)-1)*$C$75)+17,0)</f>
        <v>150</v>
      </c>
      <c r="Y66" s="228">
        <f>SUMIFS(Primary_Order[Total Qty],Primary_Order[Date],"&gt;="&amp;DATE(YEAR($B$1),MONTH($B$1),1),Primary_Order[Date],"&lt;="&amp;$B$1,Primary_Order[Status],"DMG-Sold",Primary_Order[Product ID],A66)</f>
        <v>0</v>
      </c>
      <c r="Z66" s="228">
        <f ca="1">Current_Stock[[#This Row],[Opening Damage Unit]]-Current_Stock[[#This Row],[Damage Sold unit]]</f>
        <v>150</v>
      </c>
      <c r="AA66" s="228">
        <f>Current_Stock[[#This Row],[DP Price]]*Current_Stock[[#This Row],[Total Current (Unit)]]</f>
        <v>0</v>
      </c>
      <c r="AB66" s="228">
        <f ca="1">Current_Stock[[#This Row],[Total Current (Unit)]]+Current_Stock[[#This Row],[Remaining Damage Unit]]</f>
        <v>150</v>
      </c>
      <c r="AC66" s="228">
        <f ca="1">Current_Stock[[#This Row],[Total Unit with Damage]]*Current_Stock[[#This Row],[Cost]]</f>
        <v>62457</v>
      </c>
      <c r="AD66" s="228">
        <f>SUMIFS(Primary_Order[Total Qty],Primary_Order[Date],"&gt;="&amp;DATE(2027,12,1),Primary_Order[Status],$A$1,Primary_Order[Product ID],A66)</f>
        <v>0</v>
      </c>
      <c r="AE66" s="228">
        <f>Current_Stock[[#This Row],[Total Current (Unit)]]-Current_Stock[[#This Row],[Blocked Stock(unit)]]</f>
        <v>0</v>
      </c>
      <c r="AF66" s="228">
        <f>(Current_Stock[[#This Row],[Ageing till Sep''24 (D)]]+($B$1-45566))/30</f>
        <v>12.494694348327565</v>
      </c>
      <c r="AG66" s="228">
        <v>163.84083044982697</v>
      </c>
      <c r="AH66" t="str">
        <f>VLOOKUP(Current_Stock[[#This Row],[SKU ID]],SKU[],12,0)</f>
        <v>15W40</v>
      </c>
      <c r="AI66" t="str">
        <f>VLOOKUP(Current_Stock[[#This Row],[SKU ID]],SKU[],10,0)</f>
        <v>Mineral</v>
      </c>
      <c r="AJ66" s="195">
        <f>VLOOKUP(Current_Stock[[#This Row],[SKU ID]],SKU[[SKU ID]:[Bottle Size(Ltr)]],6,0)*Current_Stock[[#This Row],[Vobanipur Current units]]</f>
        <v>0</v>
      </c>
      <c r="AK66" s="195">
        <f ca="1">VLOOKUP(Current_Stock[[#This Row],[SKU ID]],SKU[[SKU ID]:[Bottle Size(Ltr)]],6,0)*Current_Stock[[#This Row],[Remaining Damage Unit]]</f>
        <v>150</v>
      </c>
      <c r="AL66" s="195">
        <f>VLOOKUP(Current_Stock[[#This Row],[SKU ID]],SKU[[SKU ID]:[Bottle Size(Ltr)]],6,0)*Current_Stock[[#This Row],[Ulukhola Current]]</f>
        <v>0</v>
      </c>
    </row>
    <row r="67" spans="1:38" x14ac:dyDescent="0.5">
      <c r="A67" s="159" t="s">
        <v>104</v>
      </c>
      <c r="B67" s="159" t="s">
        <v>819</v>
      </c>
      <c r="C67" s="228" t="str">
        <f>VLOOKUP(Current_Stock[[#This Row],[SKU ID]],SKU[],9,0)</f>
        <v>Care Products</v>
      </c>
      <c r="D67" s="228">
        <f>VLOOKUP(Current_Stock[[#This Row],[SKU ID]],SKU[],14,0)</f>
        <v>130.11000000000001</v>
      </c>
      <c r="E67" s="228">
        <f>VLOOKUP(Current_Stock[[#This Row],[SKU ID]],SKU[],15,0)</f>
        <v>212.5</v>
      </c>
      <c r="F67" s="228">
        <f>VLOOKUP(Current_Stock[[#This Row],[SKU ID]],Stock_year[],((MONTH($B$1)-1)*$C$75)+2+1,0)</f>
        <v>0</v>
      </c>
      <c r="G67" s="228">
        <f>VLOOKUP(Current_Stock[[#This Row],[SKU ID]],Stock_year[],((MONTH($B$1)-1)*$C$75)+2+2,0)</f>
        <v>0</v>
      </c>
      <c r="H67" s="228">
        <f>Current_Stock[[#This Row],[Vobanipur opening units]]+Current_Stock[[#This Row],[Ulukhola opening units]]</f>
        <v>0</v>
      </c>
      <c r="I67" s="267">
        <f>VLOOKUP(Current_Stock[[#This Row],[SKU ID]],SKU[[SKU ID]:[Bottle Size(Ltr)]],6,0)*Current_Stock[[#This Row],[Total Opening Unit]]</f>
        <v>0</v>
      </c>
      <c r="J67" s="228">
        <f>VLOOKUP(Current_Stock[[#This Row],[SKU ID]],Stock_year[],((MONTH($B$1)-1)*$C$75)+2+5,0)</f>
        <v>0</v>
      </c>
      <c r="K67" s="228">
        <f>VLOOKUP(Current_Stock[[#This Row],[SKU ID]],Stock_year[],((MONTH($B$1)-1)*$C$75)+2+6,0)</f>
        <v>0</v>
      </c>
      <c r="L67" s="228">
        <f>VLOOKUP(Current_Stock[[#This Row],[SKU ID]],Stock_year[],((MONTH($B$1)-1)*$C$75)+2+7,0)</f>
        <v>0</v>
      </c>
      <c r="M67" s="228">
        <f>Current_Stock[[#This Row],[Vobanipur opening units]]+Current_Stock[[#This Row],[New Arrival Ulukhola]]+Current_Stock[[#This Row],[Ulukhola to vobanipur transfer]]</f>
        <v>0</v>
      </c>
      <c r="N67" s="228">
        <f>Current_Stock[[#This Row],[Ulukhola opening units]]+Current_Stock[[#This Row],[New Arrival Vobanipur]]-Current_Stock[[#This Row],[Ulukhola to vobanipur transfer]]</f>
        <v>0</v>
      </c>
      <c r="O67" s="228">
        <f>Current_Stock[[#This Row],[Vobaipur total]]+Current_Stock[[#This Row],[Ulukhola Current]]</f>
        <v>0</v>
      </c>
      <c r="P67" s="228">
        <f>SUMIFS(Primary_Order[Total Qty],Primary_Order[Date],"&gt;="&amp;DATE(YEAR($B$1),MONTH($B$1),1),Primary_Order[Date],"&lt;="&amp;$B$1,Primary_Order[Status],$A$1,Primary_Order[Product ID],A67,Primary_Order[Status],"&lt;&gt;DMG-Sold")</f>
        <v>0</v>
      </c>
      <c r="Q67" s="228">
        <f>Current_Stock[[#This Row],[Sold Qty(Unit)]]*Current_Stock[[#This Row],[Cost]]</f>
        <v>0</v>
      </c>
      <c r="R67" s="228">
        <f>Current_Stock[[#This Row],[Vobaipur total]]-Current_Stock[[#This Row],[Sold Qty(Unit)]]</f>
        <v>0</v>
      </c>
      <c r="S67" s="267">
        <f>Current_Stock[[#This Row],[Vobanipur Current units]]+Current_Stock[[#This Row],[Ulukhola Current]]</f>
        <v>0</v>
      </c>
      <c r="T67" s="267">
        <f>VLOOKUP(Current_Stock[[#This Row],[SKU ID]],SKU[[SKU ID]:[Bottle Size(Ltr)]],6,0)*Current_Stock[[#This Row],[Total Current (Unit)]]</f>
        <v>0</v>
      </c>
      <c r="U67" s="267">
        <f>Current_Stock[[#This Row],[Total Current (Unit)]]*Current_Stock[[#This Row],[Cost]]</f>
        <v>0</v>
      </c>
      <c r="V67" s="267">
        <f>FLOOR(Current_Stock[[#This Row],[Total Current (Unit)]]/VLOOKUP(Current_Stock[[#This Row],[SKU ID]],SKU[],5,0),1)</f>
        <v>0</v>
      </c>
      <c r="W67" s="267">
        <f>MOD(Current_Stock[[#This Row],[Total Current (Unit)]],VLOOKUP(Current_Stock[[#This Row],[SKU ID]],SKU[],5,0))</f>
        <v>0</v>
      </c>
      <c r="X67" s="228">
        <f ca="1">VLOOKUP(Current_Stock[[#This Row],[SKU ID]],Stock_year[],((MONTH($B$1)-1)*$C$75)+17,0)</f>
        <v>49</v>
      </c>
      <c r="Y67" s="228">
        <f>SUMIFS(Primary_Order[Total Qty],Primary_Order[Date],"&gt;="&amp;DATE(YEAR($B$1),MONTH($B$1),1),Primary_Order[Date],"&lt;="&amp;$B$1,Primary_Order[Status],"DMG-Sold",Primary_Order[Product ID],A67)</f>
        <v>0</v>
      </c>
      <c r="Z67" s="228">
        <f ca="1">Current_Stock[[#This Row],[Opening Damage Unit]]-Current_Stock[[#This Row],[Damage Sold unit]]</f>
        <v>49</v>
      </c>
      <c r="AA67" s="228">
        <f>Current_Stock[[#This Row],[DP Price]]*Current_Stock[[#This Row],[Total Current (Unit)]]</f>
        <v>0</v>
      </c>
      <c r="AB67" s="228">
        <f ca="1">Current_Stock[[#This Row],[Total Current (Unit)]]+Current_Stock[[#This Row],[Remaining Damage Unit]]</f>
        <v>49</v>
      </c>
      <c r="AC67" s="228">
        <f ca="1">Current_Stock[[#This Row],[Total Unit with Damage]]*Current_Stock[[#This Row],[Cost]]</f>
        <v>6375.39</v>
      </c>
      <c r="AD67" s="228">
        <f>SUMIFS(Primary_Order[Total Qty],Primary_Order[Date],"&gt;="&amp;DATE(2027,12,1),Primary_Order[Status],$A$1,Primary_Order[Product ID],A67)</f>
        <v>0</v>
      </c>
      <c r="AE67" s="228">
        <f>Current_Stock[[#This Row],[Total Current (Unit)]]-Current_Stock[[#This Row],[Blocked Stock(unit)]]</f>
        <v>0</v>
      </c>
      <c r="AF67" s="228">
        <f>(Current_Stock[[#This Row],[Ageing till Sep''24 (D)]]+($B$1-45566))/30</f>
        <v>8.0216383901608754</v>
      </c>
      <c r="AG67" s="228">
        <v>29.649151704826224</v>
      </c>
      <c r="AH67" t="str">
        <f>VLOOKUP(Current_Stock[[#This Row],[SKU ID]],SKU[],12,0)</f>
        <v>Care Products</v>
      </c>
      <c r="AI67" t="str">
        <f>VLOOKUP(Current_Stock[[#This Row],[SKU ID]],SKU[],10,0)</f>
        <v>Care Products</v>
      </c>
      <c r="AJ67" s="195">
        <f>VLOOKUP(Current_Stock[[#This Row],[SKU ID]],SKU[[SKU ID]:[Bottle Size(Ltr)]],6,0)*Current_Stock[[#This Row],[Vobanipur Current units]]</f>
        <v>0</v>
      </c>
      <c r="AK67" s="195">
        <f ca="1">VLOOKUP(Current_Stock[[#This Row],[SKU ID]],SKU[[SKU ID]:[Bottle Size(Ltr)]],6,0)*Current_Stock[[#This Row],[Remaining Damage Unit]]</f>
        <v>2.4500000000000002</v>
      </c>
      <c r="AL67" s="195">
        <f>VLOOKUP(Current_Stock[[#This Row],[SKU ID]],SKU[[SKU ID]:[Bottle Size(Ltr)]],6,0)*Current_Stock[[#This Row],[Ulukhola Current]]</f>
        <v>0</v>
      </c>
    </row>
    <row r="68" spans="1:38" x14ac:dyDescent="0.5">
      <c r="A68" s="159" t="s">
        <v>105</v>
      </c>
      <c r="B68" s="159" t="s">
        <v>821</v>
      </c>
      <c r="C68" s="228" t="str">
        <f>VLOOKUP(Current_Stock[[#This Row],[SKU ID]],SKU[],9,0)</f>
        <v>Care Products</v>
      </c>
      <c r="D68" s="228">
        <f>VLOOKUP(Current_Stock[[#This Row],[SKU ID]],SKU[],14,0)</f>
        <v>132.07</v>
      </c>
      <c r="E68" s="228">
        <f>VLOOKUP(Current_Stock[[#This Row],[SKU ID]],SKU[],15,0)</f>
        <v>204</v>
      </c>
      <c r="F68" s="228">
        <f>VLOOKUP(Current_Stock[[#This Row],[SKU ID]],Stock_year[],((MONTH($B$1)-1)*$C$75)+2+1,0)</f>
        <v>0</v>
      </c>
      <c r="G68" s="228">
        <f>VLOOKUP(Current_Stock[[#This Row],[SKU ID]],Stock_year[],((MONTH($B$1)-1)*$C$75)+2+2,0)</f>
        <v>0</v>
      </c>
      <c r="H68" s="228">
        <f>Current_Stock[[#This Row],[Vobanipur opening units]]+Current_Stock[[#This Row],[Ulukhola opening units]]</f>
        <v>0</v>
      </c>
      <c r="I68" s="267">
        <f>VLOOKUP(Current_Stock[[#This Row],[SKU ID]],SKU[[SKU ID]:[Bottle Size(Ltr)]],6,0)*Current_Stock[[#This Row],[Total Opening Unit]]</f>
        <v>0</v>
      </c>
      <c r="J68" s="228">
        <f>VLOOKUP(Current_Stock[[#This Row],[SKU ID]],Stock_year[],((MONTH($B$1)-1)*$C$75)+2+5,0)</f>
        <v>0</v>
      </c>
      <c r="K68" s="228">
        <f>VLOOKUP(Current_Stock[[#This Row],[SKU ID]],Stock_year[],((MONTH($B$1)-1)*$C$75)+2+6,0)</f>
        <v>0</v>
      </c>
      <c r="L68" s="228">
        <f>VLOOKUP(Current_Stock[[#This Row],[SKU ID]],Stock_year[],((MONTH($B$1)-1)*$C$75)+2+7,0)</f>
        <v>0</v>
      </c>
      <c r="M68" s="228">
        <f>Current_Stock[[#This Row],[Vobanipur opening units]]+Current_Stock[[#This Row],[New Arrival Ulukhola]]+Current_Stock[[#This Row],[Ulukhola to vobanipur transfer]]</f>
        <v>0</v>
      </c>
      <c r="N68" s="228">
        <f>Current_Stock[[#This Row],[Ulukhola opening units]]+Current_Stock[[#This Row],[New Arrival Vobanipur]]-Current_Stock[[#This Row],[Ulukhola to vobanipur transfer]]</f>
        <v>0</v>
      </c>
      <c r="O68" s="228">
        <f>Current_Stock[[#This Row],[Vobaipur total]]+Current_Stock[[#This Row],[Ulukhola Current]]</f>
        <v>0</v>
      </c>
      <c r="P68" s="228">
        <f>SUMIFS(Primary_Order[Total Qty],Primary_Order[Date],"&gt;="&amp;DATE(YEAR($B$1),MONTH($B$1),1),Primary_Order[Date],"&lt;="&amp;$B$1,Primary_Order[Status],$A$1,Primary_Order[Product ID],A68,Primary_Order[Status],"&lt;&gt;DMG-Sold")</f>
        <v>0</v>
      </c>
      <c r="Q68" s="228">
        <f>Current_Stock[[#This Row],[Sold Qty(Unit)]]*Current_Stock[[#This Row],[Cost]]</f>
        <v>0</v>
      </c>
      <c r="R68" s="228">
        <f>Current_Stock[[#This Row],[Vobaipur total]]-Current_Stock[[#This Row],[Sold Qty(Unit)]]</f>
        <v>0</v>
      </c>
      <c r="S68" s="267">
        <f>Current_Stock[[#This Row],[Vobanipur Current units]]+Current_Stock[[#This Row],[Ulukhola Current]]</f>
        <v>0</v>
      </c>
      <c r="T68" s="267">
        <f>VLOOKUP(Current_Stock[[#This Row],[SKU ID]],SKU[[SKU ID]:[Bottle Size(Ltr)]],6,0)*Current_Stock[[#This Row],[Total Current (Unit)]]</f>
        <v>0</v>
      </c>
      <c r="U68" s="267">
        <f>Current_Stock[[#This Row],[Total Current (Unit)]]*Current_Stock[[#This Row],[Cost]]</f>
        <v>0</v>
      </c>
      <c r="V68" s="267">
        <f>FLOOR(Current_Stock[[#This Row],[Total Current (Unit)]]/VLOOKUP(Current_Stock[[#This Row],[SKU ID]],SKU[],5,0),1)</f>
        <v>0</v>
      </c>
      <c r="W68" s="267">
        <f>MOD(Current_Stock[[#This Row],[Total Current (Unit)]],VLOOKUP(Current_Stock[[#This Row],[SKU ID]],SKU[],5,0))</f>
        <v>0</v>
      </c>
      <c r="X68" s="228">
        <f ca="1">VLOOKUP(Current_Stock[[#This Row],[SKU ID]],Stock_year[],((MONTH($B$1)-1)*$C$75)+17,0)</f>
        <v>0</v>
      </c>
      <c r="Y68" s="228">
        <f>SUMIFS(Primary_Order[Total Qty],Primary_Order[Date],"&gt;="&amp;DATE(YEAR($B$1),MONTH($B$1),1),Primary_Order[Date],"&lt;="&amp;$B$1,Primary_Order[Status],"DMG-Sold",Primary_Order[Product ID],A68)</f>
        <v>0</v>
      </c>
      <c r="Z68" s="228">
        <f ca="1">Current_Stock[[#This Row],[Opening Damage Unit]]-Current_Stock[[#This Row],[Damage Sold unit]]</f>
        <v>0</v>
      </c>
      <c r="AA68" s="228">
        <f>Current_Stock[[#This Row],[DP Price]]*Current_Stock[[#This Row],[Total Current (Unit)]]</f>
        <v>0</v>
      </c>
      <c r="AB68" s="228">
        <f ca="1">Current_Stock[[#This Row],[Total Current (Unit)]]+Current_Stock[[#This Row],[Remaining Damage Unit]]</f>
        <v>0</v>
      </c>
      <c r="AC68" s="228">
        <f ca="1">Current_Stock[[#This Row],[Total Unit with Damage]]*Current_Stock[[#This Row],[Cost]]</f>
        <v>0</v>
      </c>
      <c r="AD68" s="228">
        <f>SUMIFS(Primary_Order[Total Qty],Primary_Order[Date],"&gt;="&amp;DATE(2027,12,1),Primary_Order[Status],$A$1,Primary_Order[Product ID],A68)</f>
        <v>0</v>
      </c>
      <c r="AE68" s="228">
        <f>Current_Stock[[#This Row],[Total Current (Unit)]]-Current_Stock[[#This Row],[Blocked Stock(unit)]]</f>
        <v>0</v>
      </c>
      <c r="AF68" s="228">
        <f>(Current_Stock[[#This Row],[Ageing till Sep''24 (D)]]+($B$1-45566))/30</f>
        <v>8.5530901722391093</v>
      </c>
      <c r="AG68" s="228">
        <v>45.592705167173257</v>
      </c>
      <c r="AH68" t="str">
        <f>VLOOKUP(Current_Stock[[#This Row],[SKU ID]],SKU[],12,0)</f>
        <v>Care Products</v>
      </c>
      <c r="AI68" t="str">
        <f>VLOOKUP(Current_Stock[[#This Row],[SKU ID]],SKU[],10,0)</f>
        <v>Care Products</v>
      </c>
      <c r="AJ68" s="195">
        <f>VLOOKUP(Current_Stock[[#This Row],[SKU ID]],SKU[[SKU ID]:[Bottle Size(Ltr)]],6,0)*Current_Stock[[#This Row],[Vobanipur Current units]]</f>
        <v>0</v>
      </c>
      <c r="AK68" s="195">
        <f ca="1">VLOOKUP(Current_Stock[[#This Row],[SKU ID]],SKU[[SKU ID]:[Bottle Size(Ltr)]],6,0)*Current_Stock[[#This Row],[Remaining Damage Unit]]</f>
        <v>0</v>
      </c>
      <c r="AL68" s="195">
        <f>VLOOKUP(Current_Stock[[#This Row],[SKU ID]],SKU[[SKU ID]:[Bottle Size(Ltr)]],6,0)*Current_Stock[[#This Row],[Ulukhola Current]]</f>
        <v>0</v>
      </c>
    </row>
    <row r="69" spans="1:38" x14ac:dyDescent="0.5">
      <c r="A69" s="159" t="s">
        <v>243</v>
      </c>
      <c r="B69" s="159" t="s">
        <v>824</v>
      </c>
      <c r="C69" s="228" t="str">
        <f>VLOOKUP(Current_Stock[[#This Row],[SKU ID]],SKU[],9,0)</f>
        <v>Care Products</v>
      </c>
      <c r="D69" s="228">
        <f>VLOOKUP(Current_Stock[[#This Row],[SKU ID]],SKU[],14,0)</f>
        <v>666.33</v>
      </c>
      <c r="E69" s="228">
        <f>VLOOKUP(Current_Stock[[#This Row],[SKU ID]],SKU[],15,0)</f>
        <v>1020</v>
      </c>
      <c r="F69" s="228">
        <f>VLOOKUP(Current_Stock[[#This Row],[SKU ID]],Stock_year[],((MONTH($B$1)-1)*$C$75)+2+1,0)</f>
        <v>0</v>
      </c>
      <c r="G69" s="228">
        <f>VLOOKUP(Current_Stock[[#This Row],[SKU ID]],Stock_year[],((MONTH($B$1)-1)*$C$75)+2+2,0)</f>
        <v>0</v>
      </c>
      <c r="H69" s="228">
        <f>Current_Stock[[#This Row],[Vobanipur opening units]]+Current_Stock[[#This Row],[Ulukhola opening units]]</f>
        <v>0</v>
      </c>
      <c r="I69" s="267">
        <f>VLOOKUP(Current_Stock[[#This Row],[SKU ID]],SKU[[SKU ID]:[Bottle Size(Ltr)]],6,0)*Current_Stock[[#This Row],[Total Opening Unit]]</f>
        <v>0</v>
      </c>
      <c r="J69" s="228">
        <f>VLOOKUP(Current_Stock[[#This Row],[SKU ID]],Stock_year[],((MONTH($B$1)-1)*$C$75)+2+5,0)</f>
        <v>0</v>
      </c>
      <c r="K69" s="228">
        <f>VLOOKUP(Current_Stock[[#This Row],[SKU ID]],Stock_year[],((MONTH($B$1)-1)*$C$75)+2+6,0)</f>
        <v>0</v>
      </c>
      <c r="L69" s="228">
        <f>VLOOKUP(Current_Stock[[#This Row],[SKU ID]],Stock_year[],((MONTH($B$1)-1)*$C$75)+2+7,0)</f>
        <v>0</v>
      </c>
      <c r="M69" s="228">
        <f>Current_Stock[[#This Row],[Vobanipur opening units]]+Current_Stock[[#This Row],[New Arrival Ulukhola]]+Current_Stock[[#This Row],[Ulukhola to vobanipur transfer]]</f>
        <v>0</v>
      </c>
      <c r="N69" s="228">
        <f>Current_Stock[[#This Row],[Ulukhola opening units]]+Current_Stock[[#This Row],[New Arrival Vobanipur]]-Current_Stock[[#This Row],[Ulukhola to vobanipur transfer]]</f>
        <v>0</v>
      </c>
      <c r="O69" s="228">
        <f>Current_Stock[[#This Row],[Vobaipur total]]+Current_Stock[[#This Row],[Ulukhola Current]]</f>
        <v>0</v>
      </c>
      <c r="P69" s="228">
        <f>SUMIFS(Primary_Order[Total Qty],Primary_Order[Date],"&gt;="&amp;DATE(YEAR($B$1),MONTH($B$1),1),Primary_Order[Date],"&lt;="&amp;$B$1,Primary_Order[Status],$A$1,Primary_Order[Product ID],A69,Primary_Order[Status],"&lt;&gt;DMG-Sold")</f>
        <v>0</v>
      </c>
      <c r="Q69" s="228">
        <f>Current_Stock[[#This Row],[Sold Qty(Unit)]]*Current_Stock[[#This Row],[Cost]]</f>
        <v>0</v>
      </c>
      <c r="R69" s="228">
        <f>Current_Stock[[#This Row],[Vobaipur total]]-Current_Stock[[#This Row],[Sold Qty(Unit)]]</f>
        <v>0</v>
      </c>
      <c r="S69" s="267">
        <f>Current_Stock[[#This Row],[Vobanipur Current units]]+Current_Stock[[#This Row],[Ulukhola Current]]</f>
        <v>0</v>
      </c>
      <c r="T69" s="267">
        <f>VLOOKUP(Current_Stock[[#This Row],[SKU ID]],SKU[[SKU ID]:[Bottle Size(Ltr)]],6,0)*Current_Stock[[#This Row],[Total Current (Unit)]]</f>
        <v>0</v>
      </c>
      <c r="U69" s="267">
        <f>Current_Stock[[#This Row],[Total Current (Unit)]]*Current_Stock[[#This Row],[Cost]]</f>
        <v>0</v>
      </c>
      <c r="V69" s="267">
        <f>FLOOR(Current_Stock[[#This Row],[Total Current (Unit)]]/VLOOKUP(Current_Stock[[#This Row],[SKU ID]],SKU[],5,0),1)</f>
        <v>0</v>
      </c>
      <c r="W69" s="267">
        <f>MOD(Current_Stock[[#This Row],[Total Current (Unit)]],VLOOKUP(Current_Stock[[#This Row],[SKU ID]],SKU[],5,0))</f>
        <v>0</v>
      </c>
      <c r="X69" s="228">
        <f ca="1">VLOOKUP(Current_Stock[[#This Row],[SKU ID]],Stock_year[],((MONTH($B$1)-1)*$C$75)+17,0)</f>
        <v>0</v>
      </c>
      <c r="Y69" s="228">
        <f>SUMIFS(Primary_Order[Total Qty],Primary_Order[Date],"&gt;="&amp;DATE(YEAR($B$1),MONTH($B$1),1),Primary_Order[Date],"&lt;="&amp;$B$1,Primary_Order[Status],"DMG-Sold",Primary_Order[Product ID],A69)</f>
        <v>0</v>
      </c>
      <c r="Z69" s="228">
        <f ca="1">Current_Stock[[#This Row],[Opening Damage Unit]]-Current_Stock[[#This Row],[Damage Sold unit]]</f>
        <v>0</v>
      </c>
      <c r="AA69" s="228">
        <f>Current_Stock[[#This Row],[DP Price]]*Current_Stock[[#This Row],[Total Current (Unit)]]</f>
        <v>0</v>
      </c>
      <c r="AB69" s="228">
        <f ca="1">Current_Stock[[#This Row],[Total Current (Unit)]]+Current_Stock[[#This Row],[Remaining Damage Unit]]</f>
        <v>0</v>
      </c>
      <c r="AC69" s="228">
        <f ca="1">Current_Stock[[#This Row],[Total Unit with Damage]]*Current_Stock[[#This Row],[Cost]]</f>
        <v>0</v>
      </c>
      <c r="AD69" s="228">
        <f>SUMIFS(Primary_Order[Total Qty],Primary_Order[Date],"&gt;="&amp;DATE(2027,12,1),Primary_Order[Status],$A$1,Primary_Order[Product ID],A69)</f>
        <v>0</v>
      </c>
      <c r="AE69" s="228">
        <f>Current_Stock[[#This Row],[Total Current (Unit)]]-Current_Stock[[#This Row],[Blocked Stock(unit)]]</f>
        <v>0</v>
      </c>
      <c r="AF69" s="228">
        <f>(Current_Stock[[#This Row],[Ageing till Sep''24 (D)]]+($B$1-45566))/30</f>
        <v>8.0333333333333332</v>
      </c>
      <c r="AG69" s="228">
        <v>30</v>
      </c>
      <c r="AH69" t="str">
        <f>VLOOKUP(Current_Stock[[#This Row],[SKU ID]],SKU[],12,0)</f>
        <v>Care Products</v>
      </c>
      <c r="AI69" t="str">
        <f>VLOOKUP(Current_Stock[[#This Row],[SKU ID]],SKU[],10,0)</f>
        <v>Care Products</v>
      </c>
      <c r="AJ69" s="195">
        <f>VLOOKUP(Current_Stock[[#This Row],[SKU ID]],SKU[[SKU ID]:[Bottle Size(Ltr)]],6,0)*Current_Stock[[#This Row],[Vobanipur Current units]]</f>
        <v>0</v>
      </c>
      <c r="AK69" s="195">
        <f ca="1">VLOOKUP(Current_Stock[[#This Row],[SKU ID]],SKU[[SKU ID]:[Bottle Size(Ltr)]],6,0)*Current_Stock[[#This Row],[Remaining Damage Unit]]</f>
        <v>0</v>
      </c>
      <c r="AL69" s="195">
        <f>VLOOKUP(Current_Stock[[#This Row],[SKU ID]],SKU[[SKU ID]:[Bottle Size(Ltr)]],6,0)*Current_Stock[[#This Row],[Ulukhola Current]]</f>
        <v>0</v>
      </c>
    </row>
    <row r="70" spans="1:38" x14ac:dyDescent="0.5">
      <c r="A70" s="159" t="s">
        <v>247</v>
      </c>
      <c r="B70" s="159" t="s">
        <v>825</v>
      </c>
      <c r="C70" s="228" t="str">
        <f>VLOOKUP(Current_Stock[[#This Row],[SKU ID]],SKU[],9,0)</f>
        <v>Care Products</v>
      </c>
      <c r="D70" s="228">
        <f>VLOOKUP(Current_Stock[[#This Row],[SKU ID]],SKU[],14,0)</f>
        <v>439.64</v>
      </c>
      <c r="E70" s="228">
        <f>VLOOKUP(Current_Stock[[#This Row],[SKU ID]],SKU[],15,0)</f>
        <v>807.5</v>
      </c>
      <c r="F70" s="228">
        <f>VLOOKUP(Current_Stock[[#This Row],[SKU ID]],Stock_year[],((MONTH($B$1)-1)*$C$75)+2+1,0)</f>
        <v>0</v>
      </c>
      <c r="G70" s="228">
        <f>VLOOKUP(Current_Stock[[#This Row],[SKU ID]],Stock_year[],((MONTH($B$1)-1)*$C$75)+2+2,0)</f>
        <v>0</v>
      </c>
      <c r="H70" s="228">
        <f>Current_Stock[[#This Row],[Vobanipur opening units]]+Current_Stock[[#This Row],[Ulukhola opening units]]</f>
        <v>0</v>
      </c>
      <c r="I70" s="267">
        <f>VLOOKUP(Current_Stock[[#This Row],[SKU ID]],SKU[[SKU ID]:[Bottle Size(Ltr)]],6,0)*Current_Stock[[#This Row],[Total Opening Unit]]</f>
        <v>0</v>
      </c>
      <c r="J70" s="228">
        <f>VLOOKUP(Current_Stock[[#This Row],[SKU ID]],Stock_year[],((MONTH($B$1)-1)*$C$75)+2+5,0)</f>
        <v>0</v>
      </c>
      <c r="K70" s="228">
        <f>VLOOKUP(Current_Stock[[#This Row],[SKU ID]],Stock_year[],((MONTH($B$1)-1)*$C$75)+2+6,0)</f>
        <v>0</v>
      </c>
      <c r="L70" s="228">
        <f>VLOOKUP(Current_Stock[[#This Row],[SKU ID]],Stock_year[],((MONTH($B$1)-1)*$C$75)+2+7,0)</f>
        <v>0</v>
      </c>
      <c r="M70" s="228">
        <f>Current_Stock[[#This Row],[Vobanipur opening units]]+Current_Stock[[#This Row],[New Arrival Ulukhola]]+Current_Stock[[#This Row],[Ulukhola to vobanipur transfer]]</f>
        <v>0</v>
      </c>
      <c r="N70" s="228">
        <f>Current_Stock[[#This Row],[Ulukhola opening units]]+Current_Stock[[#This Row],[New Arrival Vobanipur]]-Current_Stock[[#This Row],[Ulukhola to vobanipur transfer]]</f>
        <v>0</v>
      </c>
      <c r="O70" s="228">
        <f>Current_Stock[[#This Row],[Vobaipur total]]+Current_Stock[[#This Row],[Ulukhola Current]]</f>
        <v>0</v>
      </c>
      <c r="P70" s="228">
        <f>SUMIFS(Primary_Order[Total Qty],Primary_Order[Date],"&gt;="&amp;DATE(YEAR($B$1),MONTH($B$1),1),Primary_Order[Date],"&lt;="&amp;$B$1,Primary_Order[Status],$A$1,Primary_Order[Product ID],A70,Primary_Order[Status],"&lt;&gt;DMG-Sold")</f>
        <v>0</v>
      </c>
      <c r="Q70" s="228">
        <f>Current_Stock[[#This Row],[Sold Qty(Unit)]]*Current_Stock[[#This Row],[Cost]]</f>
        <v>0</v>
      </c>
      <c r="R70" s="228">
        <f>Current_Stock[[#This Row],[Vobaipur total]]-Current_Stock[[#This Row],[Sold Qty(Unit)]]</f>
        <v>0</v>
      </c>
      <c r="S70" s="267">
        <f>Current_Stock[[#This Row],[Vobanipur Current units]]+Current_Stock[[#This Row],[Ulukhola Current]]</f>
        <v>0</v>
      </c>
      <c r="T70" s="267">
        <f>VLOOKUP(Current_Stock[[#This Row],[SKU ID]],SKU[[SKU ID]:[Bottle Size(Ltr)]],6,0)*Current_Stock[[#This Row],[Total Current (Unit)]]</f>
        <v>0</v>
      </c>
      <c r="U70" s="267">
        <f>Current_Stock[[#This Row],[Total Current (Unit)]]*Current_Stock[[#This Row],[Cost]]</f>
        <v>0</v>
      </c>
      <c r="V70" s="267">
        <f>FLOOR(Current_Stock[[#This Row],[Total Current (Unit)]]/VLOOKUP(Current_Stock[[#This Row],[SKU ID]],SKU[],5,0),1)</f>
        <v>0</v>
      </c>
      <c r="W70" s="267">
        <f>MOD(Current_Stock[[#This Row],[Total Current (Unit)]],VLOOKUP(Current_Stock[[#This Row],[SKU ID]],SKU[],5,0))</f>
        <v>0</v>
      </c>
      <c r="X70" s="228">
        <f ca="1">VLOOKUP(Current_Stock[[#This Row],[SKU ID]],Stock_year[],((MONTH($B$1)-1)*$C$75)+17,0)</f>
        <v>0</v>
      </c>
      <c r="Y70" s="228">
        <f>SUMIFS(Primary_Order[Total Qty],Primary_Order[Date],"&gt;="&amp;DATE(YEAR($B$1),MONTH($B$1),1),Primary_Order[Date],"&lt;="&amp;$B$1,Primary_Order[Status],"DMG-Sold",Primary_Order[Product ID],A70)</f>
        <v>0</v>
      </c>
      <c r="Z70" s="228">
        <f ca="1">Current_Stock[[#This Row],[Opening Damage Unit]]-Current_Stock[[#This Row],[Damage Sold unit]]</f>
        <v>0</v>
      </c>
      <c r="AA70" s="228">
        <f>Current_Stock[[#This Row],[DP Price]]*Current_Stock[[#This Row],[Total Current (Unit)]]</f>
        <v>0</v>
      </c>
      <c r="AB70" s="228">
        <f ca="1">Current_Stock[[#This Row],[Total Current (Unit)]]+Current_Stock[[#This Row],[Remaining Damage Unit]]</f>
        <v>0</v>
      </c>
      <c r="AC70" s="228">
        <f ca="1">Current_Stock[[#This Row],[Total Unit with Damage]]*Current_Stock[[#This Row],[Cost]]</f>
        <v>0</v>
      </c>
      <c r="AD70" s="228">
        <f>SUMIFS(Primary_Order[Total Qty],Primary_Order[Date],"&gt;="&amp;DATE(2027,12,1),Primary_Order[Status],$A$1,Primary_Order[Product ID],A70)</f>
        <v>0</v>
      </c>
      <c r="AE70" s="228">
        <f>Current_Stock[[#This Row],[Total Current (Unit)]]-Current_Stock[[#This Row],[Blocked Stock(unit)]]</f>
        <v>0</v>
      </c>
      <c r="AF70" s="228">
        <f>(Current_Stock[[#This Row],[Ageing till Sep''24 (D)]]+($B$1-45566))/30</f>
        <v>8.0333333333333332</v>
      </c>
      <c r="AG70" s="228">
        <v>30</v>
      </c>
      <c r="AH70" t="str">
        <f>VLOOKUP(Current_Stock[[#This Row],[SKU ID]],SKU[],12,0)</f>
        <v>Care Products</v>
      </c>
      <c r="AI70" t="str">
        <f>VLOOKUP(Current_Stock[[#This Row],[SKU ID]],SKU[],10,0)</f>
        <v>Care Products</v>
      </c>
      <c r="AJ70" s="195">
        <f>VLOOKUP(Current_Stock[[#This Row],[SKU ID]],SKU[[SKU ID]:[Bottle Size(Ltr)]],6,0)*Current_Stock[[#This Row],[Vobanipur Current units]]</f>
        <v>0</v>
      </c>
      <c r="AK70" s="195">
        <f ca="1">VLOOKUP(Current_Stock[[#This Row],[SKU ID]],SKU[[SKU ID]:[Bottle Size(Ltr)]],6,0)*Current_Stock[[#This Row],[Remaining Damage Unit]]</f>
        <v>0</v>
      </c>
      <c r="AL70" s="195">
        <f>VLOOKUP(Current_Stock[[#This Row],[SKU ID]],SKU[[SKU ID]:[Bottle Size(Ltr)]],6,0)*Current_Stock[[#This Row],[Ulukhola Current]]</f>
        <v>0</v>
      </c>
    </row>
    <row r="71" spans="1:38" x14ac:dyDescent="0.5">
      <c r="A71" s="159" t="s">
        <v>136</v>
      </c>
      <c r="B71" s="159" t="s">
        <v>827</v>
      </c>
      <c r="C71" s="228" t="str">
        <f>VLOOKUP(Current_Stock[[#This Row],[SKU ID]],SKU[],9,0)</f>
        <v>Agri</v>
      </c>
      <c r="D71" s="228">
        <f>VLOOKUP(Current_Stock[[#This Row],[SKU ID]],SKU[],14,0)</f>
        <v>1958.69</v>
      </c>
      <c r="E71" s="228">
        <f>VLOOKUP(Current_Stock[[#This Row],[SKU ID]],SKU[],15,0)</f>
        <v>3100</v>
      </c>
      <c r="F71" s="228">
        <f>VLOOKUP(Current_Stock[[#This Row],[SKU ID]],Stock_year[],((MONTH($B$1)-1)*$C$75)+2+1,0)</f>
        <v>88</v>
      </c>
      <c r="G71" s="228">
        <f>VLOOKUP(Current_Stock[[#This Row],[SKU ID]],Stock_year[],((MONTH($B$1)-1)*$C$75)+2+2,0)</f>
        <v>0</v>
      </c>
      <c r="H71" s="228">
        <f>Current_Stock[[#This Row],[Vobanipur opening units]]+Current_Stock[[#This Row],[Ulukhola opening units]]</f>
        <v>88</v>
      </c>
      <c r="I71" s="267">
        <f>VLOOKUP(Current_Stock[[#This Row],[SKU ID]],SKU[[SKU ID]:[Bottle Size(Ltr)]],6,0)*Current_Stock[[#This Row],[Total Opening Unit]]</f>
        <v>440</v>
      </c>
      <c r="J71" s="228">
        <f>VLOOKUP(Current_Stock[[#This Row],[SKU ID]],Stock_year[],((MONTH($B$1)-1)*$C$75)+2+5,0)</f>
        <v>0</v>
      </c>
      <c r="K71" s="228">
        <f>VLOOKUP(Current_Stock[[#This Row],[SKU ID]],Stock_year[],((MONTH($B$1)-1)*$C$75)+2+6,0)</f>
        <v>0</v>
      </c>
      <c r="L71" s="228">
        <f>VLOOKUP(Current_Stock[[#This Row],[SKU ID]],Stock_year[],((MONTH($B$1)-1)*$C$75)+2+7,0)</f>
        <v>0</v>
      </c>
      <c r="M71" s="228">
        <f>Current_Stock[[#This Row],[Vobanipur opening units]]+Current_Stock[[#This Row],[New Arrival Ulukhola]]+Current_Stock[[#This Row],[Ulukhola to vobanipur transfer]]</f>
        <v>88</v>
      </c>
      <c r="N71" s="228">
        <f>Current_Stock[[#This Row],[Ulukhola opening units]]+Current_Stock[[#This Row],[New Arrival Vobanipur]]-Current_Stock[[#This Row],[Ulukhola to vobanipur transfer]]</f>
        <v>0</v>
      </c>
      <c r="O71" s="228">
        <f>Current_Stock[[#This Row],[Vobaipur total]]+Current_Stock[[#This Row],[Ulukhola Current]]</f>
        <v>88</v>
      </c>
      <c r="P71" s="228">
        <f>SUMIFS(Primary_Order[Total Qty],Primary_Order[Date],"&gt;="&amp;DATE(YEAR($B$1),MONTH($B$1),1),Primary_Order[Date],"&lt;="&amp;$B$1,Primary_Order[Status],$A$1,Primary_Order[Product ID],A71,Primary_Order[Status],"&lt;&gt;DMG-Sold")</f>
        <v>88</v>
      </c>
      <c r="Q71" s="228">
        <f>Current_Stock[[#This Row],[Sold Qty(Unit)]]*Current_Stock[[#This Row],[Cost]]</f>
        <v>172364.72</v>
      </c>
      <c r="R71" s="228">
        <f>Current_Stock[[#This Row],[Vobaipur total]]-Current_Stock[[#This Row],[Sold Qty(Unit)]]</f>
        <v>0</v>
      </c>
      <c r="S71" s="267">
        <f>Current_Stock[[#This Row],[Vobanipur Current units]]+Current_Stock[[#This Row],[Ulukhola Current]]</f>
        <v>0</v>
      </c>
      <c r="T71" s="267">
        <f>VLOOKUP(Current_Stock[[#This Row],[SKU ID]],SKU[[SKU ID]:[Bottle Size(Ltr)]],6,0)*Current_Stock[[#This Row],[Total Current (Unit)]]</f>
        <v>0</v>
      </c>
      <c r="U71" s="267">
        <f>Current_Stock[[#This Row],[Total Current (Unit)]]*Current_Stock[[#This Row],[Cost]]</f>
        <v>0</v>
      </c>
      <c r="V71" s="267">
        <f>FLOOR(Current_Stock[[#This Row],[Total Current (Unit)]]/VLOOKUP(Current_Stock[[#This Row],[SKU ID]],SKU[],5,0),1)</f>
        <v>0</v>
      </c>
      <c r="W71" s="267">
        <f>MOD(Current_Stock[[#This Row],[Total Current (Unit)]],VLOOKUP(Current_Stock[[#This Row],[SKU ID]],SKU[],5,0))</f>
        <v>0</v>
      </c>
      <c r="X71" s="228">
        <f ca="1">VLOOKUP(Current_Stock[[#This Row],[SKU ID]],Stock_year[],((MONTH($B$1)-1)*$C$75)+17,0)</f>
        <v>0</v>
      </c>
      <c r="Y71" s="228">
        <f>SUMIFS(Primary_Order[Total Qty],Primary_Order[Date],"&gt;="&amp;DATE(YEAR($B$1),MONTH($B$1),1),Primary_Order[Date],"&lt;="&amp;$B$1,Primary_Order[Status],"DMG-Sold",Primary_Order[Product ID],A71)</f>
        <v>0</v>
      </c>
      <c r="Z71" s="228">
        <f ca="1">Current_Stock[[#This Row],[Opening Damage Unit]]-Current_Stock[[#This Row],[Damage Sold unit]]</f>
        <v>0</v>
      </c>
      <c r="AA71" s="228">
        <f>Current_Stock[[#This Row],[DP Price]]*Current_Stock[[#This Row],[Total Current (Unit)]]</f>
        <v>0</v>
      </c>
      <c r="AB71" s="228">
        <f ca="1">Current_Stock[[#This Row],[Total Current (Unit)]]+Current_Stock[[#This Row],[Remaining Damage Unit]]</f>
        <v>0</v>
      </c>
      <c r="AC71" s="228">
        <f ca="1">Current_Stock[[#This Row],[Total Unit with Damage]]*Current_Stock[[#This Row],[Cost]]</f>
        <v>0</v>
      </c>
      <c r="AD71" s="228">
        <f>SUMIFS(Primary_Order[Total Qty],Primary_Order[Date],"&gt;="&amp;DATE(2027,12,1),Primary_Order[Status],$A$1,Primary_Order[Product ID],A71)</f>
        <v>2</v>
      </c>
      <c r="AE71" s="228">
        <f>Current_Stock[[#This Row],[Total Current (Unit)]]-Current_Stock[[#This Row],[Blocked Stock(unit)]]</f>
        <v>-2</v>
      </c>
      <c r="AF71" s="228">
        <f>(Current_Stock[[#This Row],[Ageing till Sep''24 (D)]]+($B$1-45566))/30</f>
        <v>7.0333333333333332</v>
      </c>
      <c r="AG71" s="228">
        <v>0</v>
      </c>
      <c r="AH71" t="str">
        <f>VLOOKUP(Current_Stock[[#This Row],[SKU ID]],SKU[],12,0)</f>
        <v>15W40</v>
      </c>
      <c r="AI71" t="str">
        <f>VLOOKUP(Current_Stock[[#This Row],[SKU ID]],SKU[],10,0)</f>
        <v>Mineral</v>
      </c>
      <c r="AJ71" s="195">
        <f>VLOOKUP(Current_Stock[[#This Row],[SKU ID]],SKU[[SKU ID]:[Bottle Size(Ltr)]],6,0)*Current_Stock[[#This Row],[Vobanipur Current units]]</f>
        <v>0</v>
      </c>
      <c r="AK71" s="195">
        <f ca="1">VLOOKUP(Current_Stock[[#This Row],[SKU ID]],SKU[[SKU ID]:[Bottle Size(Ltr)]],6,0)*Current_Stock[[#This Row],[Remaining Damage Unit]]</f>
        <v>0</v>
      </c>
      <c r="AL71" s="195">
        <f>VLOOKUP(Current_Stock[[#This Row],[SKU ID]],SKU[[SKU ID]:[Bottle Size(Ltr)]],6,0)*Current_Stock[[#This Row],[Ulukhola Current]]</f>
        <v>0</v>
      </c>
    </row>
    <row r="72" spans="1:38" x14ac:dyDescent="0.5">
      <c r="A72" s="268"/>
      <c r="B72" s="268"/>
      <c r="F72" s="268"/>
      <c r="G72" s="268"/>
      <c r="H72" s="268"/>
      <c r="I72" s="268"/>
      <c r="J72" s="268"/>
      <c r="K72" s="268"/>
      <c r="L72" s="268"/>
      <c r="M72" s="268"/>
      <c r="N72" s="268"/>
      <c r="O72" s="26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/>
    </row>
    <row r="73" spans="1:38" x14ac:dyDescent="0.5">
      <c r="A73" s="268"/>
      <c r="B73" s="268"/>
      <c r="F73" s="268"/>
      <c r="G73" s="268"/>
      <c r="H73" s="268"/>
      <c r="I73" s="268"/>
      <c r="J73" s="268"/>
      <c r="K73" s="268"/>
      <c r="L73" s="268"/>
      <c r="M73" s="268"/>
      <c r="N73" s="268"/>
      <c r="O73" s="268"/>
      <c r="P73" s="268"/>
      <c r="Q73" s="268"/>
      <c r="R73" s="268"/>
      <c r="S73" s="268"/>
      <c r="T73" s="268"/>
      <c r="U73" s="268"/>
      <c r="V73" s="268"/>
      <c r="W73" s="268"/>
      <c r="X73" s="268"/>
      <c r="Y73" s="268"/>
      <c r="Z73" s="268"/>
    </row>
    <row r="74" spans="1:38" x14ac:dyDescent="0.5">
      <c r="A74" s="268"/>
      <c r="B74" s="268"/>
      <c r="F74" s="268"/>
      <c r="G74" s="268"/>
      <c r="H74" s="268"/>
      <c r="I74" s="268"/>
      <c r="J74" s="268"/>
      <c r="K74" s="268"/>
      <c r="L74" s="268"/>
      <c r="M74" s="268"/>
      <c r="N74" s="268"/>
      <c r="O74" s="268"/>
      <c r="P74" s="268"/>
      <c r="Q74" s="268"/>
      <c r="R74" s="268"/>
      <c r="S74" s="268"/>
      <c r="T74" s="268"/>
      <c r="U74" s="268"/>
      <c r="V74" s="268"/>
      <c r="W74" s="268"/>
      <c r="X74" s="268"/>
      <c r="Y74" s="268"/>
      <c r="Z74" s="268"/>
    </row>
    <row r="75" spans="1:38" x14ac:dyDescent="0.5">
      <c r="A75" s="268"/>
      <c r="B75" s="269" t="s">
        <v>976</v>
      </c>
      <c r="C75" s="269">
        <f>16</f>
        <v>16</v>
      </c>
      <c r="G75" s="268"/>
      <c r="H75" s="268"/>
      <c r="I75" s="268"/>
      <c r="J75" s="268"/>
      <c r="K75" s="268"/>
      <c r="L75" s="268"/>
      <c r="M75" s="268"/>
      <c r="N75" s="268"/>
      <c r="O75" s="268"/>
      <c r="P75" s="268"/>
      <c r="Q75" s="268"/>
      <c r="R75" s="268"/>
      <c r="S75" s="268"/>
      <c r="T75" s="268"/>
      <c r="U75" s="268"/>
      <c r="V75" s="268"/>
      <c r="W75" s="268"/>
      <c r="X75" s="268"/>
      <c r="Y75" s="268"/>
      <c r="Z75" s="268"/>
    </row>
    <row r="76" spans="1:38" ht="17" thickBot="1" x14ac:dyDescent="0.55000000000000004"/>
    <row r="77" spans="1:38" x14ac:dyDescent="0.5">
      <c r="A77" s="270" t="s">
        <v>1139</v>
      </c>
      <c r="B77" s="271">
        <f>'Stock(yr)'!$B$77</f>
        <v>0</v>
      </c>
    </row>
    <row r="78" spans="1:38" x14ac:dyDescent="0.5">
      <c r="A78" s="492" t="s">
        <v>1340</v>
      </c>
      <c r="B78" s="492"/>
    </row>
    <row r="79" spans="1:38" x14ac:dyDescent="0.5">
      <c r="A79" s="2" t="s">
        <v>1160</v>
      </c>
      <c r="B79" s="272">
        <v>47847</v>
      </c>
      <c r="F79">
        <v>1000</v>
      </c>
      <c r="Z79" s="273"/>
    </row>
    <row r="80" spans="1:38" x14ac:dyDescent="0.5">
      <c r="A80" s="2" t="s">
        <v>1300</v>
      </c>
      <c r="B80" s="272">
        <v>47833</v>
      </c>
    </row>
    <row r="81" spans="1:7" x14ac:dyDescent="0.5">
      <c r="A81" s="2" t="s">
        <v>1315</v>
      </c>
      <c r="B81" s="274">
        <v>47827</v>
      </c>
    </row>
    <row r="82" spans="1:7" x14ac:dyDescent="0.5">
      <c r="A82" s="2" t="s">
        <v>1339</v>
      </c>
      <c r="B82" s="274">
        <v>47848</v>
      </c>
    </row>
    <row r="83" spans="1:7" x14ac:dyDescent="0.5">
      <c r="A83" s="2" t="s">
        <v>1399</v>
      </c>
      <c r="B83" s="272">
        <v>47847</v>
      </c>
    </row>
    <row r="86" spans="1:7" x14ac:dyDescent="0.5">
      <c r="F86" t="s">
        <v>1410</v>
      </c>
      <c r="G86">
        <f>16900+13160</f>
        <v>30060</v>
      </c>
    </row>
    <row r="87" spans="1:7" x14ac:dyDescent="0.5">
      <c r="B87" t="s">
        <v>1409</v>
      </c>
      <c r="C87">
        <f>17505+360</f>
        <v>17865</v>
      </c>
    </row>
    <row r="88" spans="1:7" x14ac:dyDescent="0.5">
      <c r="B88" t="s">
        <v>1405</v>
      </c>
      <c r="C88">
        <f>E88-F88</f>
        <v>9580</v>
      </c>
      <c r="E88">
        <v>26580</v>
      </c>
      <c r="F88">
        <v>17000</v>
      </c>
    </row>
    <row r="89" spans="1:7" x14ac:dyDescent="0.5">
      <c r="B89" t="s">
        <v>1406</v>
      </c>
      <c r="C89">
        <v>1000</v>
      </c>
    </row>
    <row r="90" spans="1:7" x14ac:dyDescent="0.5">
      <c r="B90" t="s">
        <v>1407</v>
      </c>
      <c r="C90">
        <v>1538</v>
      </c>
    </row>
    <row r="91" spans="1:7" x14ac:dyDescent="0.5">
      <c r="C91">
        <f>SUM(C87:C90)</f>
        <v>29983</v>
      </c>
    </row>
    <row r="92" spans="1:7" x14ac:dyDescent="0.5">
      <c r="E92">
        <f>G86-C91</f>
        <v>77</v>
      </c>
    </row>
    <row r="93" spans="1:7" x14ac:dyDescent="0.5">
      <c r="B93" t="s">
        <v>1408</v>
      </c>
      <c r="C93" s="195">
        <f>E93+17000</f>
        <v>1975</v>
      </c>
      <c r="E93">
        <v>-15025</v>
      </c>
    </row>
    <row r="94" spans="1:7" x14ac:dyDescent="0.5">
      <c r="C94" s="195">
        <f>C93-C90</f>
        <v>437</v>
      </c>
    </row>
  </sheetData>
  <sheetProtection formatColumns="0" autoFilter="0"/>
  <mergeCells count="1">
    <mergeCell ref="A78:B78"/>
  </mergeCells>
  <phoneticPr fontId="3" type="noConversion"/>
  <conditionalFormatting sqref="F3:AC71">
    <cfRule type="cellIs" dxfId="190" priority="11" operator="lessThan">
      <formula>0</formula>
    </cfRule>
  </conditionalFormatting>
  <conditionalFormatting sqref="Z3:Z71">
    <cfRule type="cellIs" dxfId="189" priority="8" operator="greaterThan">
      <formula>799</formula>
    </cfRule>
  </conditionalFormatting>
  <conditionalFormatting sqref="AE3:AF71">
    <cfRule type="cellIs" dxfId="188" priority="10" operator="lessThan">
      <formula>0</formula>
    </cfRule>
  </conditionalFormatting>
  <conditionalFormatting sqref="A2:AF2">
    <cfRule type="containsText" dxfId="187" priority="3" operator="containsText" text="pcs">
      <formula>NOT(ISERROR(SEARCH("pcs",A2)))</formula>
    </cfRule>
    <cfRule type="containsText" dxfId="186" priority="4" operator="containsText" text="value">
      <formula>NOT(ISERROR(SEARCH("value",A2)))</formula>
    </cfRule>
    <cfRule type="containsText" dxfId="185" priority="5" operator="containsText" text="Damage">
      <formula>NOT(ISERROR(SEARCH("Damage",A2)))</formula>
    </cfRule>
    <cfRule type="containsText" dxfId="184" priority="6" operator="containsText" text="Total Current">
      <formula>NOT(ISERROR(SEARCH("Total Current",A2)))</formula>
    </cfRule>
  </conditionalFormatting>
  <conditionalFormatting sqref="B1">
    <cfRule type="expression" dxfId="183" priority="2">
      <formula>MOD($B$1,2)</formula>
    </cfRule>
  </conditionalFormatting>
  <conditionalFormatting sqref="AJ3:AL71">
    <cfRule type="cellIs" dxfId="182" priority="1" operator="lessThan">
      <formula>0</formula>
    </cfRule>
  </conditionalFormatting>
  <dataValidations count="5">
    <dataValidation type="list" allowBlank="1" showInputMessage="1" showErrorMessage="1" sqref="A1" xr:uid="{4EBD2032-E5F3-4C41-890C-E4C468E2900A}">
      <formula1>"Delivered,&lt;&gt;Pending,Pending,&lt;&gt;DMG-Sold,DMG-Sold,Replaced,&lt;&gt;Replaced,&lt;&gt;"</formula1>
    </dataValidation>
    <dataValidation type="list" allowBlank="1" showInputMessage="1" showErrorMessage="1" sqref="B79" xr:uid="{6F178AB6-5D79-4351-BE3B-7CC8EF38968D}">
      <formula1>"1/20/2025,12/30/2030"</formula1>
    </dataValidation>
    <dataValidation type="list" allowBlank="1" showInputMessage="1" showErrorMessage="1" sqref="B80" xr:uid="{87CE1C8D-0E43-44A0-AD06-DE3449B7A87F}">
      <formula1>"3/16/2025,12/16/2030"</formula1>
    </dataValidation>
    <dataValidation type="list" allowBlank="1" showInputMessage="1" showErrorMessage="1" sqref="B81" xr:uid="{DE8F28DD-615A-46DE-9B53-F2DEA2266C8C}">
      <formula1>"3/10/2025,12/10/2030"</formula1>
    </dataValidation>
    <dataValidation type="list" allowBlank="1" showInputMessage="1" showErrorMessage="1" sqref="B83" xr:uid="{532CBAB7-D972-4A61-B871-0EDD6D6C2CD7}">
      <formula1>"3/9/2025,12/30/2030"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8673" r:id="rId4" name="SpinButton1">
          <controlPr defaultSize="0" autoLine="0" linkedCell="B1" r:id="rId5">
            <anchor moveWithCells="1">
              <from>
                <xdr:col>1</xdr:col>
                <xdr:colOff>101600</xdr:colOff>
                <xdr:row>0</xdr:row>
                <xdr:rowOff>19050</xdr:rowOff>
              </from>
              <to>
                <xdr:col>1</xdr:col>
                <xdr:colOff>2266950</xdr:colOff>
                <xdr:row>0</xdr:row>
                <xdr:rowOff>241300</xdr:rowOff>
              </to>
            </anchor>
          </controlPr>
        </control>
      </mc:Choice>
      <mc:Fallback>
        <control shapeId="28673" r:id="rId4" name="SpinButton1"/>
      </mc:Fallback>
    </mc:AlternateContent>
  </controls>
  <tableParts count="2"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2E5C-1EBD-4C8A-96BD-4B8CF2BE6CC2}">
  <sheetPr codeName="Sheet13">
    <tabColor theme="9"/>
  </sheetPr>
  <dimension ref="C1:W15"/>
  <sheetViews>
    <sheetView zoomScaleNormal="100" workbookViewId="0">
      <selection activeCell="Y7" sqref="Y7"/>
    </sheetView>
  </sheetViews>
  <sheetFormatPr defaultRowHeight="16.5" x14ac:dyDescent="0.5"/>
  <cols>
    <col min="3" max="3" width="23.54296875" customWidth="1"/>
    <col min="4" max="4" width="10.1796875" hidden="1" customWidth="1"/>
    <col min="5" max="5" width="13.26953125" hidden="1" customWidth="1"/>
    <col min="6" max="6" width="10.7265625" hidden="1" customWidth="1"/>
    <col min="7" max="7" width="11.08984375" hidden="1" customWidth="1"/>
    <col min="8" max="8" width="19.81640625" hidden="1" customWidth="1"/>
    <col min="9" max="9" width="10.1796875" hidden="1" customWidth="1"/>
    <col min="10" max="10" width="13.26953125" hidden="1" customWidth="1"/>
    <col min="11" max="11" width="10.7265625" hidden="1" customWidth="1"/>
    <col min="12" max="12" width="11.08984375" hidden="1" customWidth="1"/>
    <col min="13" max="13" width="22.6328125" hidden="1" customWidth="1"/>
    <col min="14" max="14" width="11" hidden="1" customWidth="1"/>
    <col min="15" max="15" width="15.1796875" hidden="1" customWidth="1"/>
    <col min="16" max="16" width="12.1796875" hidden="1" customWidth="1"/>
    <col min="17" max="17" width="12.453125" hidden="1" customWidth="1"/>
    <col min="18" max="18" width="22.08984375" hidden="1" customWidth="1"/>
    <col min="19" max="19" width="11" hidden="1" customWidth="1"/>
    <col min="20" max="20" width="15.1796875" bestFit="1" customWidth="1"/>
    <col min="21" max="21" width="12.1796875" hidden="1" customWidth="1"/>
    <col min="22" max="22" width="12.453125" bestFit="1" customWidth="1"/>
    <col min="23" max="23" width="22.08984375" hidden="1" customWidth="1"/>
  </cols>
  <sheetData>
    <row r="1" spans="3:23" ht="14.5" customHeight="1" x14ac:dyDescent="0.5">
      <c r="C1" s="504" t="s">
        <v>1159</v>
      </c>
      <c r="D1" s="498" t="s">
        <v>1401</v>
      </c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S1" s="499"/>
      <c r="T1" s="499"/>
      <c r="U1" s="289"/>
      <c r="V1" s="290" t="s">
        <v>720</v>
      </c>
    </row>
    <row r="2" spans="3:23" ht="15" customHeight="1" thickBot="1" x14ac:dyDescent="0.55000000000000004">
      <c r="C2" s="505"/>
      <c r="D2" s="496" t="s">
        <v>1402</v>
      </c>
      <c r="E2" s="497"/>
      <c r="F2" s="497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/>
      <c r="V2" s="497"/>
      <c r="W2" s="497"/>
    </row>
    <row r="3" spans="3:23" x14ac:dyDescent="0.5">
      <c r="C3" s="501" t="s">
        <v>1143</v>
      </c>
      <c r="D3" s="494">
        <v>45658</v>
      </c>
      <c r="E3" s="494"/>
      <c r="F3" s="494"/>
      <c r="G3" s="494"/>
      <c r="H3" s="503"/>
      <c r="I3" s="493">
        <v>45689</v>
      </c>
      <c r="J3" s="494"/>
      <c r="K3" s="494"/>
      <c r="L3" s="494"/>
      <c r="M3" s="495"/>
      <c r="N3" s="500">
        <v>45717</v>
      </c>
      <c r="O3" s="494"/>
      <c r="P3" s="494"/>
      <c r="Q3" s="494"/>
      <c r="R3" s="494"/>
      <c r="S3" s="493">
        <v>45748</v>
      </c>
      <c r="T3" s="494"/>
      <c r="U3" s="494"/>
      <c r="V3" s="494"/>
      <c r="W3" s="495"/>
    </row>
    <row r="4" spans="3:23" ht="17" thickBot="1" x14ac:dyDescent="0.55000000000000004">
      <c r="C4" s="502"/>
      <c r="D4" s="96" t="s">
        <v>1142</v>
      </c>
      <c r="E4" s="97" t="s">
        <v>1145</v>
      </c>
      <c r="F4" s="97" t="s">
        <v>1144</v>
      </c>
      <c r="G4" s="97" t="s">
        <v>1146</v>
      </c>
      <c r="H4" s="119" t="s">
        <v>1155</v>
      </c>
      <c r="I4" s="126" t="s">
        <v>1142</v>
      </c>
      <c r="J4" s="97" t="s">
        <v>1145</v>
      </c>
      <c r="K4" s="97" t="s">
        <v>1144</v>
      </c>
      <c r="L4" s="97" t="s">
        <v>1146</v>
      </c>
      <c r="M4" s="127" t="s">
        <v>1155</v>
      </c>
      <c r="N4" s="125" t="s">
        <v>1142</v>
      </c>
      <c r="O4" s="69" t="s">
        <v>1145</v>
      </c>
      <c r="P4" s="69" t="s">
        <v>1144</v>
      </c>
      <c r="Q4" s="69" t="s">
        <v>1146</v>
      </c>
      <c r="R4" s="69" t="s">
        <v>1168</v>
      </c>
      <c r="S4" s="126" t="s">
        <v>1142</v>
      </c>
      <c r="T4" s="97" t="s">
        <v>1145</v>
      </c>
      <c r="U4" s="97" t="s">
        <v>1144</v>
      </c>
      <c r="V4" s="97" t="s">
        <v>1146</v>
      </c>
      <c r="W4" s="127" t="s">
        <v>1404</v>
      </c>
    </row>
    <row r="5" spans="3:23" ht="17" thickBot="1" x14ac:dyDescent="0.55000000000000004">
      <c r="C5" s="109" t="s">
        <v>84</v>
      </c>
      <c r="D5" s="110">
        <f>SUM(D6:D7)</f>
        <v>6000</v>
      </c>
      <c r="E5" s="110">
        <f>SUM(E6:E7)</f>
        <v>2128.6</v>
      </c>
      <c r="F5" s="111">
        <f>E5/D5</f>
        <v>0.35476666666666667</v>
      </c>
      <c r="G5" s="110">
        <f>SUM(G6:G7)</f>
        <v>228</v>
      </c>
      <c r="H5" s="120">
        <f>G5/D5</f>
        <v>3.7999999999999999E-2</v>
      </c>
      <c r="I5" s="128">
        <f>SUM(I6:I7)</f>
        <v>7000</v>
      </c>
      <c r="J5" s="110">
        <f>SUM(J6:J7)</f>
        <v>2972</v>
      </c>
      <c r="K5" s="111">
        <f>J5/I5</f>
        <v>0.42457142857142854</v>
      </c>
      <c r="L5" s="110">
        <f>SUM(L6:L7)</f>
        <v>596</v>
      </c>
      <c r="M5" s="112">
        <f>L5/I5</f>
        <v>8.5142857142857145E-2</v>
      </c>
      <c r="N5" s="95">
        <f>SUM(N6:N7)</f>
        <v>7000</v>
      </c>
      <c r="O5" s="87">
        <f>SUM(O6:O7)</f>
        <v>6992</v>
      </c>
      <c r="P5" s="91">
        <f>O5/N5</f>
        <v>0.99885714285714289</v>
      </c>
      <c r="Q5" s="87">
        <f>SUM(Q6:Q7)</f>
        <v>3436</v>
      </c>
      <c r="R5" s="88">
        <f>Q5/N5</f>
        <v>0.49085714285714288</v>
      </c>
      <c r="S5" s="128">
        <f>SUM(S6:S7)</f>
        <v>7000</v>
      </c>
      <c r="T5" s="110">
        <f>SUM(T6:T7)</f>
        <v>2472</v>
      </c>
      <c r="U5" s="111">
        <f>T5/S5</f>
        <v>0.35314285714285715</v>
      </c>
      <c r="V5" s="110">
        <f>SUM(V6:V7)</f>
        <v>524</v>
      </c>
      <c r="W5" s="112">
        <f>V5/S5</f>
        <v>7.4857142857142858E-2</v>
      </c>
    </row>
    <row r="6" spans="3:23" x14ac:dyDescent="0.5">
      <c r="C6" s="105" t="s">
        <v>280</v>
      </c>
      <c r="D6" s="41">
        <v>2500</v>
      </c>
      <c r="E6" s="41">
        <f>SUMIFS(Primary_Order[Total Volume],Primary_Order[Date],"&gt;="&amp;DATE(YEAR(D$3),MONTH(D$3),1),Primary_Order[Date],"&lt;="&amp;EOMONTH(D$3,0),Primary_Order[TSM/TSE],$C6)</f>
        <v>1452.6</v>
      </c>
      <c r="F6" s="106">
        <f t="shared" ref="F6:F15" si="0">E6/D6</f>
        <v>0.58104</v>
      </c>
      <c r="G6" s="41">
        <f>SUMIFS(Primary_Order[Total Volume],Primary_Order[Date],"&gt;="&amp;DATE(YEAR(D$3),MONTH(D$3),1),Primary_Order[Date],"&lt;="&amp;EOMONTH(D$3,0),Primary_Order[TSM/TSE],$C6,Primary_Order[SKU Model],"3000",Primary_Order[SKU Grade number],"20W50")</f>
        <v>124</v>
      </c>
      <c r="H6" s="121">
        <f t="shared" ref="H6:H15" si="1">G6/D6</f>
        <v>4.9599999999999998E-2</v>
      </c>
      <c r="I6" s="129">
        <v>3000</v>
      </c>
      <c r="J6" s="41">
        <f>SUMIFS(Primary_Order[Total Volume],Primary_Order[Date],"&gt;="&amp;I$3,Primary_Order[Date],"&lt;="&amp;EOMONTH(I$3,0),Primary_Order[TSM/TSE],$C6)</f>
        <v>2276</v>
      </c>
      <c r="K6" s="107">
        <f t="shared" ref="K6:K15" si="2">J6/I6</f>
        <v>0.75866666666666671</v>
      </c>
      <c r="L6" s="41">
        <f>SUMIFS(Primary_Order[Total Volume],Primary_Order[Date],"&gt;="&amp;I$3,Primary_Order[Date],"&lt;="&amp;EOMONTH(I$3,0),Primary_Order[TSM/TSE],$C6,Primary_Order[SKU Model],"3000",Primary_Order[SKU Grade number],"20W50")</f>
        <v>596</v>
      </c>
      <c r="M6" s="108">
        <f t="shared" ref="M6:M15" si="3">L6/I6</f>
        <v>0.19866666666666666</v>
      </c>
      <c r="N6" s="33">
        <v>3000</v>
      </c>
      <c r="O6" s="41">
        <f>SUMIFS(Primary_Order[Total Volume],Primary_Order[Date],"&gt;="&amp;N$3,Primary_Order[Date],"&lt;="&amp;EOMONTH(N$3,0),Primary_Order[TSM/TSE],$C6)</f>
        <v>1944</v>
      </c>
      <c r="P6" s="92">
        <f t="shared" ref="P6:P15" si="4">O6/N6</f>
        <v>0.64800000000000002</v>
      </c>
      <c r="Q6" s="41">
        <f>SUMIFS(Primary_Order[Total Volume],Primary_Order[Date],"&gt;="&amp;N$3,Primary_Order[Date],"&lt;="&amp;EOMONTH(N$3,0),Primary_Order[TSM/TSE],$C6,Primary_Order[SKU Model],"3000",Primary_Order[SKU Grade number],"20W50")</f>
        <v>436</v>
      </c>
      <c r="R6" s="89">
        <f t="shared" ref="R6:R15" si="5">Q6/N6</f>
        <v>0.14533333333333334</v>
      </c>
      <c r="S6" s="129">
        <v>3000</v>
      </c>
      <c r="T6" s="41">
        <f>SUMIFS(Primary_Order[Total Volume],Primary_Order[Date],"&gt;="&amp;S$3,Primary_Order[Date],"&lt;="&amp;EOMONTH(S$3,0),Primary_Order[TSM/TSE],$C6)</f>
        <v>2472</v>
      </c>
      <c r="U6" s="107">
        <f t="shared" ref="U6:U15" si="6">T6/S6</f>
        <v>0.82399999999999995</v>
      </c>
      <c r="V6" s="41">
        <f>SUMIFS(Primary_Order[Total Volume],Primary_Order[Date],"&gt;="&amp;S$3,Primary_Order[Date],"&lt;="&amp;EOMONTH(S$3,0),Primary_Order[TSM/TSE],$C6,Primary_Order[SKU Model],"3000",Primary_Order[SKU Grade number],"20W50")</f>
        <v>524</v>
      </c>
      <c r="W6" s="108">
        <f t="shared" ref="W6:W15" si="7">V6/S6</f>
        <v>0.17466666666666666</v>
      </c>
    </row>
    <row r="7" spans="3:23" ht="17" thickBot="1" x14ac:dyDescent="0.55000000000000004">
      <c r="C7" s="100" t="s">
        <v>83</v>
      </c>
      <c r="D7" s="101">
        <v>3500</v>
      </c>
      <c r="E7" s="101">
        <f>SUMIFS(Primary_Order[Total Volume],Primary_Order[Date],"&gt;="&amp;DATE(YEAR(D$3),MONTH(D$3),1),Primary_Order[Date],"&lt;="&amp;EOMONTH(D$3,0),Primary_Order[TSM/TSE],$C7)</f>
        <v>676</v>
      </c>
      <c r="F7" s="102">
        <f t="shared" si="0"/>
        <v>0.19314285714285714</v>
      </c>
      <c r="G7" s="101">
        <f>SUMIFS(Primary_Order[Total Volume],Primary_Order[Date],"&gt;="&amp;DATE(YEAR(D$3),MONTH(D$3),1),Primary_Order[Date],"&lt;="&amp;EOMONTH(D$3,0),Primary_Order[TSM/TSE],$C7,Primary_Order[SKU Model],"3000",Primary_Order[SKU Grade number],"20W50")</f>
        <v>104</v>
      </c>
      <c r="H7" s="122">
        <f t="shared" si="1"/>
        <v>2.9714285714285714E-2</v>
      </c>
      <c r="I7" s="130">
        <v>4000</v>
      </c>
      <c r="J7" s="101">
        <f>SUMIFS(Primary_Order[Total Volume],Primary_Order[Date],"&gt;="&amp;I$3,Primary_Order[Date],"&lt;="&amp;EOMONTH(I$3,0),Primary_Order[TSM/TSE],$C7)</f>
        <v>696</v>
      </c>
      <c r="K7" s="103">
        <f t="shared" si="2"/>
        <v>0.17399999999999999</v>
      </c>
      <c r="L7" s="101">
        <f>SUMIFS(Primary_Order[Total Volume],Primary_Order[Date],"&gt;="&amp;I$3,Primary_Order[Date],"&lt;="&amp;EOMONTH(I$3,0),Primary_Order[TSM/TSE],$C7,Primary_Order[SKU Model],"3000",Primary_Order[SKU Grade number],"20W50")</f>
        <v>0</v>
      </c>
      <c r="M7" s="104">
        <f t="shared" si="3"/>
        <v>0</v>
      </c>
      <c r="N7" s="33">
        <v>4000</v>
      </c>
      <c r="O7" s="41">
        <f>SUMIFS(Primary_Order[Total Volume],Primary_Order[Date],"&gt;="&amp;N$3,Primary_Order[Date],"&lt;="&amp;EOMONTH(N$3,0),Primary_Order[TSM/TSE],$C7)</f>
        <v>5048</v>
      </c>
      <c r="P7" s="92">
        <f t="shared" si="4"/>
        <v>1.262</v>
      </c>
      <c r="Q7" s="41">
        <f>SUMIFS(Primary_Order[Total Volume],Primary_Order[Date],"&gt;="&amp;N$3,Primary_Order[Date],"&lt;="&amp;EOMONTH(N$3,0),Primary_Order[TSM/TSE],$C7,Primary_Order[SKU Model],"3000",Primary_Order[SKU Grade number],"20W50")</f>
        <v>3000</v>
      </c>
      <c r="R7" s="89">
        <f t="shared" si="5"/>
        <v>0.75</v>
      </c>
      <c r="S7" s="130">
        <v>4000</v>
      </c>
      <c r="T7" s="41">
        <f>SUMIFS(Primary_Order[Total Volume],Primary_Order[Date],"&gt;="&amp;S$3,Primary_Order[Date],"&lt;="&amp;EOMONTH(S$3,0),Primary_Order[TSM/TSE],$C7)</f>
        <v>0</v>
      </c>
      <c r="U7" s="103">
        <f t="shared" si="6"/>
        <v>0</v>
      </c>
      <c r="V7" s="41">
        <f>SUMIFS(Primary_Order[Total Volume],Primary_Order[Date],"&gt;="&amp;S$3,Primary_Order[Date],"&lt;="&amp;EOMONTH(S$3,0),Primary_Order[TSM/TSE],$C7,Primary_Order[SKU Model],"3000",Primary_Order[SKU Grade number],"20W50")</f>
        <v>0</v>
      </c>
      <c r="W7" s="104">
        <f t="shared" si="7"/>
        <v>0</v>
      </c>
    </row>
    <row r="8" spans="3:23" ht="17" thickBot="1" x14ac:dyDescent="0.55000000000000004">
      <c r="C8" s="109" t="s">
        <v>40</v>
      </c>
      <c r="D8" s="110">
        <f>SUM(D9:D11)</f>
        <v>10000</v>
      </c>
      <c r="E8" s="110">
        <f>SUM(E9:E11)</f>
        <v>30495</v>
      </c>
      <c r="F8" s="111">
        <f t="shared" si="0"/>
        <v>3.0495000000000001</v>
      </c>
      <c r="G8" s="110">
        <f>SUM(G9:G11)</f>
        <v>4444</v>
      </c>
      <c r="H8" s="120">
        <f t="shared" si="1"/>
        <v>0.44440000000000002</v>
      </c>
      <c r="I8" s="128">
        <f>SUM(I9:I11)</f>
        <v>19000</v>
      </c>
      <c r="J8" s="110">
        <f>SUM(J9:J11)</f>
        <v>16120</v>
      </c>
      <c r="K8" s="111">
        <f t="shared" si="2"/>
        <v>0.84842105263157896</v>
      </c>
      <c r="L8" s="110">
        <f>SUM(L9:L11)</f>
        <v>2468</v>
      </c>
      <c r="M8" s="112">
        <f t="shared" si="3"/>
        <v>0.12989473684210526</v>
      </c>
      <c r="N8" s="95">
        <f>SUM(N9:N11)</f>
        <v>19000</v>
      </c>
      <c r="O8" s="87">
        <f>SUM(O9:O11)</f>
        <v>15879.4</v>
      </c>
      <c r="P8" s="91">
        <f t="shared" si="4"/>
        <v>0.83575789473684203</v>
      </c>
      <c r="Q8" s="87">
        <f>SUM(Q9:Q11)</f>
        <v>4820</v>
      </c>
      <c r="R8" s="88">
        <f t="shared" si="5"/>
        <v>0.25368421052631579</v>
      </c>
      <c r="S8" s="128">
        <f>SUM(S9:S11)</f>
        <v>19000</v>
      </c>
      <c r="T8" s="110">
        <f>SUM(T9:T11)</f>
        <v>44839.6</v>
      </c>
      <c r="U8" s="111">
        <f t="shared" si="6"/>
        <v>2.359978947368421</v>
      </c>
      <c r="V8" s="110">
        <f>SUM(V9:V11)</f>
        <v>4316</v>
      </c>
      <c r="W8" s="112">
        <f t="shared" si="7"/>
        <v>0.22715789473684211</v>
      </c>
    </row>
    <row r="9" spans="3:23" x14ac:dyDescent="0.5">
      <c r="C9" s="105" t="s">
        <v>79</v>
      </c>
      <c r="D9" s="41">
        <v>3500</v>
      </c>
      <c r="E9" s="41">
        <f>SUMIFS(Primary_Order[Total Volume],Primary_Order[Date],"&gt;="&amp;DATE(YEAR(D$3),MONTH(D$3),1),Primary_Order[Date],"&lt;="&amp;EOMONTH(D$3,0),Primary_Order[TSM/TSE],$C9)</f>
        <v>13180</v>
      </c>
      <c r="F9" s="106">
        <f t="shared" si="0"/>
        <v>3.7657142857142856</v>
      </c>
      <c r="G9" s="41">
        <f>SUMIFS(Primary_Order[Total Volume],Primary_Order[Date],"&gt;="&amp;DATE(YEAR(D$3),MONTH(D$3),1),Primary_Order[Date],"&lt;="&amp;EOMONTH(D$3,0),Primary_Order[TSM/TSE],$C9,Primary_Order[SKU Model],"3000",Primary_Order[SKU Grade number],"20W50")</f>
        <v>2720</v>
      </c>
      <c r="H9" s="121">
        <f t="shared" si="1"/>
        <v>0.77714285714285714</v>
      </c>
      <c r="I9" s="129">
        <v>7000</v>
      </c>
      <c r="J9" s="41">
        <f>SUMIFS(Primary_Order[Total Volume],Primary_Order[Date],"&gt;="&amp;I$3,Primary_Order[Date],"&lt;="&amp;EOMONTH(I$3,0),Primary_Order[TSM/TSE],$C9)</f>
        <v>8720</v>
      </c>
      <c r="K9" s="107">
        <f t="shared" si="2"/>
        <v>1.2457142857142858</v>
      </c>
      <c r="L9" s="41">
        <f>SUMIFS(Primary_Order[Total Volume],Primary_Order[Date],"&gt;="&amp;I$3,Primary_Order[Date],"&lt;="&amp;EOMONTH(I$3,0),Primary_Order[TSM/TSE],$C9,Primary_Order[SKU Model],"3000",Primary_Order[SKU Grade number],"20W50")</f>
        <v>2000</v>
      </c>
      <c r="M9" s="108">
        <f t="shared" si="3"/>
        <v>0.2857142857142857</v>
      </c>
      <c r="N9" s="33">
        <v>7000</v>
      </c>
      <c r="O9" s="41">
        <f>SUMIFS(Primary_Order[Total Volume],Primary_Order[Date],"&gt;="&amp;N$3,Primary_Order[Date],"&lt;="&amp;EOMONTH(N$3,0),Primary_Order[TSM/TSE],$C9)</f>
        <v>6839.4</v>
      </c>
      <c r="P9" s="92">
        <f t="shared" si="4"/>
        <v>0.97705714285714285</v>
      </c>
      <c r="Q9" s="41">
        <f>SUMIFS(Primary_Order[Total Volume],Primary_Order[Date],"&gt;="&amp;N$3,Primary_Order[Date],"&lt;="&amp;EOMONTH(N$3,0),Primary_Order[TSM/TSE],$C9,Primary_Order[SKU Model],"3000",Primary_Order[SKU Grade number],"20W50")</f>
        <v>4220</v>
      </c>
      <c r="R9" s="89">
        <f t="shared" si="5"/>
        <v>0.60285714285714287</v>
      </c>
      <c r="S9" s="129">
        <v>7000</v>
      </c>
      <c r="T9" s="41">
        <f>SUMIFS(Primary_Order[Total Volume],Primary_Order[Date],"&gt;="&amp;S$3,Primary_Order[Date],"&lt;="&amp;EOMONTH(S$3,0),Primary_Order[TSM/TSE],$C9)</f>
        <v>26019.200000000001</v>
      </c>
      <c r="U9" s="107">
        <f t="shared" si="6"/>
        <v>3.7170285714285716</v>
      </c>
      <c r="V9" s="41">
        <f>SUMIFS(Primary_Order[Total Volume],Primary_Order[Date],"&gt;="&amp;S$3,Primary_Order[Date],"&lt;="&amp;EOMONTH(S$3,0),Primary_Order[TSM/TSE],$C9,Primary_Order[SKU Model],"3000",Primary_Order[SKU Grade number],"20W50")</f>
        <v>0</v>
      </c>
      <c r="W9" s="108">
        <f t="shared" si="7"/>
        <v>0</v>
      </c>
    </row>
    <row r="10" spans="3:23" x14ac:dyDescent="0.5">
      <c r="C10" s="98" t="s">
        <v>701</v>
      </c>
      <c r="D10" s="3">
        <v>3500</v>
      </c>
      <c r="E10" s="3">
        <f>SUMIFS(Primary_Order[Total Volume],Primary_Order[Date],"&gt;="&amp;DATE(YEAR(D$3),MONTH(D$3),1),Primary_Order[Date],"&lt;="&amp;EOMONTH(D$3,0),Primary_Order[TSM/TSE],$C10)+SUMIFS(Primary_Order[Total Volume],Primary_Order[Date],"&gt;="&amp;DATE(YEAR(D$3),MONTH(D$3),1),Primary_Order[Date],"&lt;="&amp;EOMONTH(D$3,0),Primary_Order[TSM/TSE],"Md. Mafsidul Haque(Rana)")</f>
        <v>3263</v>
      </c>
      <c r="F10" s="68">
        <f t="shared" si="0"/>
        <v>0.93228571428571427</v>
      </c>
      <c r="G10" s="3">
        <f>SUMIFS(Primary_Order[Total Volume],Primary_Order[Date],"&gt;="&amp;DATE(YEAR(D$3),MONTH(D$3),1),Primary_Order[Date],"&lt;="&amp;EOMONTH(D$3,0),Primary_Order[TSM/TSE],$C10,Primary_Order[SKU Model],"3000",Primary_Order[SKU Grade number],"20W50")+SUMIFS(Primary_Order[Total Volume],Primary_Order[Date],"&gt;="&amp;DATE(YEAR(D$3),MONTH(D$3),1),Primary_Order[Date],"&lt;="&amp;EOMONTH(D$3,0),Primary_Order[TSM/TSE],"Md. Mafsidul Haque(Rana)",Primary_Order[SKU Model],"3000",Primary_Order[SKU Grade number],"20W50")</f>
        <v>100</v>
      </c>
      <c r="H10" s="123">
        <f t="shared" si="1"/>
        <v>2.8571428571428571E-2</v>
      </c>
      <c r="I10" s="131">
        <v>7000</v>
      </c>
      <c r="J10" s="3">
        <f>SUMIFS(Primary_Order[Total Volume],Primary_Order[Date],"&gt;="&amp;I$3,Primary_Order[Date],"&lt;="&amp;EOMONTH(I$3,0),Primary_Order[TSM/TSE],$C10)+SUMIFS(Primary_Order[Total Volume],Primary_Order[Date],"&gt;="&amp;I$3,Primary_Order[Date],"&lt;="&amp;EOMONTH(I$3,0),Primary_Order[TSM/TSE],"Md. Mafsidul Haque(Rana)")</f>
        <v>3104</v>
      </c>
      <c r="K10" s="92">
        <f t="shared" si="2"/>
        <v>0.44342857142857145</v>
      </c>
      <c r="L10" s="3">
        <f>SUMIFS(Primary_Order[Total Volume],Primary_Order[Date],"&gt;="&amp;I$3,Primary_Order[Date],"&lt;="&amp;EOMONTH(I$3,0),Primary_Order[TSM/TSE],$C10,Primary_Order[SKU Model],"3000",Primary_Order[SKU Grade number],"20W50")+SUMIFS(Primary_Order[Total Volume],Primary_Order[Date],"&gt;="&amp;I$3,Primary_Order[Date],"&lt;="&amp;EOMONTH(I$3,0),Primary_Order[TSM/TSE],"Md. Mafsidul Haque(Rana)",Primary_Order[SKU Model],"3000",Primary_Order[SKU Grade number],"20W50")</f>
        <v>468</v>
      </c>
      <c r="M10" s="99">
        <f t="shared" si="3"/>
        <v>6.6857142857142851E-2</v>
      </c>
      <c r="N10" s="33">
        <v>7000</v>
      </c>
      <c r="O10" s="3">
        <f>SUMIFS(Primary_Order[Total Volume],Primary_Order[Date],"&gt;="&amp;N$3,Primary_Order[Date],"&lt;="&amp;EOMONTH(N$3,0),Primary_Order[TSM/TSE],$C10)+SUMIFS(Primary_Order[Total Volume],Primary_Order[Date],"&gt;="&amp;N$3,Primary_Order[Date],"&lt;="&amp;EOMONTH(N$3,0),Primary_Order[TSM/TSE],"Md. Mafsidul Haque(Rana)")</f>
        <v>7100</v>
      </c>
      <c r="P10" s="92">
        <f t="shared" si="4"/>
        <v>1.0142857142857142</v>
      </c>
      <c r="Q10" s="3">
        <f>SUMIFS(Primary_Order[Total Volume],Primary_Order[Date],"&gt;="&amp;N$3,Primary_Order[Date],"&lt;="&amp;EOMONTH(N$3,0),Primary_Order[TSM/TSE],$C10,Primary_Order[SKU Model],"3000",Primary_Order[SKU Grade number],"20W50")+SUMIFS(Primary_Order[Total Volume],Primary_Order[Date],"&gt;="&amp;N$3,Primary_Order[Date],"&lt;="&amp;EOMONTH(N$3,0),Primary_Order[TSM/TSE],"Md. Mafsidul Haque(Rana)",Primary_Order[SKU Model],"3000",Primary_Order[SKU Grade number],"20W50")</f>
        <v>600</v>
      </c>
      <c r="R10" s="89">
        <f t="shared" si="5"/>
        <v>8.5714285714285715E-2</v>
      </c>
      <c r="S10" s="131">
        <v>7000</v>
      </c>
      <c r="T10" s="3">
        <f>SUMIFS(Primary_Order[Total Volume],Primary_Order[Date],"&gt;="&amp;S$3,Primary_Order[Date],"&lt;="&amp;EOMONTH(S$3,0),Primary_Order[TSM/TSE],$C10)+SUMIFS(Primary_Order[Total Volume],Primary_Order[Date],"&gt;="&amp;S$3,Primary_Order[Date],"&lt;="&amp;EOMONTH(S$3,0),Primary_Order[TSM/TSE],"Md. Mafsidul Haque(Rana)")</f>
        <v>14040.4</v>
      </c>
      <c r="U10" s="92">
        <f t="shared" si="6"/>
        <v>2.0057714285714283</v>
      </c>
      <c r="V10" s="3">
        <f>SUMIFS(Primary_Order[Total Volume],Primary_Order[Date],"&gt;="&amp;S$3,Primary_Order[Date],"&lt;="&amp;EOMONTH(S$3,0),Primary_Order[TSM/TSE],$C10,Primary_Order[SKU Model],"3000",Primary_Order[SKU Grade number],"20W50")+SUMIFS(Primary_Order[Total Volume],Primary_Order[Date],"&gt;="&amp;S$3,Primary_Order[Date],"&lt;="&amp;EOMONTH(S$3,0),Primary_Order[TSM/TSE],"Md. Mafsidul Haque(Rana)",Primary_Order[SKU Model],"3000",Primary_Order[SKU Grade number],"20W50")</f>
        <v>3716</v>
      </c>
      <c r="W10" s="99">
        <f t="shared" si="7"/>
        <v>0.53085714285714281</v>
      </c>
    </row>
    <row r="11" spans="3:23" ht="17" thickBot="1" x14ac:dyDescent="0.55000000000000004">
      <c r="C11" s="100" t="s">
        <v>39</v>
      </c>
      <c r="D11" s="101">
        <v>3000</v>
      </c>
      <c r="E11" s="101">
        <f>SUMIFS(Primary_Order[Total Volume],Primary_Order[Date],"&gt;="&amp;DATE(YEAR(D$3),MONTH(D$3),1),Primary_Order[Date],"&lt;="&amp;EOMONTH(D$3,0),Primary_Order[TSM/TSE],$C11)</f>
        <v>14052</v>
      </c>
      <c r="F11" s="102">
        <f t="shared" si="0"/>
        <v>4.6840000000000002</v>
      </c>
      <c r="G11" s="101">
        <f>SUMIFS(Primary_Order[Total Volume],Primary_Order[Date],"&gt;="&amp;DATE(YEAR(D$3),MONTH(D$3),1),Primary_Order[Date],"&lt;="&amp;EOMONTH(D$3,0),Primary_Order[TSM/TSE],$C11,Primary_Order[SKU Model],"3000",Primary_Order[SKU Grade number],"20W50")</f>
        <v>1624</v>
      </c>
      <c r="H11" s="122">
        <f t="shared" si="1"/>
        <v>0.54133333333333333</v>
      </c>
      <c r="I11" s="130">
        <v>5000</v>
      </c>
      <c r="J11" s="101">
        <f>SUMIFS(Primary_Order[Total Volume],Primary_Order[Date],"&gt;="&amp;I$3,Primary_Order[Date],"&lt;="&amp;EOMONTH(I$3,0),Primary_Order[TSM/TSE],$C11)</f>
        <v>4296</v>
      </c>
      <c r="K11" s="103">
        <f t="shared" si="2"/>
        <v>0.85919999999999996</v>
      </c>
      <c r="L11" s="101">
        <f>SUMIFS(Primary_Order[Total Volume],Primary_Order[Date],"&gt;="&amp;I$3,Primary_Order[Date],"&lt;="&amp;EOMONTH(I$3,0),Primary_Order[TSM/TSE],$C11,Primary_Order[SKU Model],"3000",Primary_Order[SKU Grade number],"20W50")</f>
        <v>0</v>
      </c>
      <c r="M11" s="104">
        <f t="shared" si="3"/>
        <v>0</v>
      </c>
      <c r="N11" s="33">
        <v>5000</v>
      </c>
      <c r="O11" s="101">
        <f>SUMIFS(Primary_Order[Total Volume],Primary_Order[Date],"&gt;="&amp;N$3,Primary_Order[Date],"&lt;="&amp;EOMONTH(N$3,0),Primary_Order[TSM/TSE],$C11)</f>
        <v>1940</v>
      </c>
      <c r="P11" s="92">
        <f t="shared" si="4"/>
        <v>0.38800000000000001</v>
      </c>
      <c r="Q11" s="101">
        <f>SUMIFS(Primary_Order[Total Volume],Primary_Order[Date],"&gt;="&amp;N$3,Primary_Order[Date],"&lt;="&amp;EOMONTH(N$3,0),Primary_Order[TSM/TSE],$C11,Primary_Order[SKU Model],"3000",Primary_Order[SKU Grade number],"20W50")</f>
        <v>0</v>
      </c>
      <c r="R11" s="89">
        <f t="shared" si="5"/>
        <v>0</v>
      </c>
      <c r="S11" s="130">
        <v>5000</v>
      </c>
      <c r="T11" s="41">
        <f>SUMIFS(Primary_Order[Total Volume],Primary_Order[Date],"&gt;="&amp;S$3,Primary_Order[Date],"&lt;="&amp;EOMONTH(S$3,0),Primary_Order[TSM/TSE],$C11)</f>
        <v>4780</v>
      </c>
      <c r="U11" s="103">
        <f t="shared" si="6"/>
        <v>0.95599999999999996</v>
      </c>
      <c r="V11" s="41">
        <f>SUMIFS(Primary_Order[Total Volume],Primary_Order[Date],"&gt;="&amp;S$3,Primary_Order[Date],"&lt;="&amp;EOMONTH(S$3,0),Primary_Order[TSM/TSE],$C11,Primary_Order[SKU Model],"3000",Primary_Order[SKU Grade number],"20W50")</f>
        <v>600</v>
      </c>
      <c r="W11" s="104">
        <f t="shared" si="7"/>
        <v>0.12</v>
      </c>
    </row>
    <row r="12" spans="3:23" ht="17" thickBot="1" x14ac:dyDescent="0.55000000000000004">
      <c r="C12" s="109" t="s">
        <v>28</v>
      </c>
      <c r="D12" s="110">
        <f>SUM(D13:D14)</f>
        <v>6000</v>
      </c>
      <c r="E12" s="110">
        <f>SUM(E13:E14)</f>
        <v>2664</v>
      </c>
      <c r="F12" s="111">
        <f t="shared" si="0"/>
        <v>0.44400000000000001</v>
      </c>
      <c r="G12" s="110">
        <f>SUM(G13:G14)</f>
        <v>732</v>
      </c>
      <c r="H12" s="120">
        <f t="shared" si="1"/>
        <v>0.122</v>
      </c>
      <c r="I12" s="128">
        <f>SUM(I13:I14)</f>
        <v>7000</v>
      </c>
      <c r="J12" s="110">
        <f>SUM(J13:J14)</f>
        <v>2624.6</v>
      </c>
      <c r="K12" s="111">
        <f t="shared" si="2"/>
        <v>0.37494285714285713</v>
      </c>
      <c r="L12" s="110">
        <f>SUM(L13:L14)</f>
        <v>688</v>
      </c>
      <c r="M12" s="112">
        <f t="shared" si="3"/>
        <v>9.8285714285714282E-2</v>
      </c>
      <c r="N12" s="95">
        <f>SUM(N13:N14)</f>
        <v>7000</v>
      </c>
      <c r="O12" s="87">
        <f>SUM(O13:O14)</f>
        <v>628</v>
      </c>
      <c r="P12" s="91">
        <f t="shared" si="4"/>
        <v>8.9714285714285719E-2</v>
      </c>
      <c r="Q12" s="87">
        <f>SUM(Q13:Q14)</f>
        <v>40</v>
      </c>
      <c r="R12" s="88">
        <f t="shared" si="5"/>
        <v>5.7142857142857143E-3</v>
      </c>
      <c r="S12" s="128">
        <f>SUM(S13:S14)</f>
        <v>7000</v>
      </c>
      <c r="T12" s="110">
        <f>SUM(T13:T14)</f>
        <v>3527.6</v>
      </c>
      <c r="U12" s="111">
        <f t="shared" si="6"/>
        <v>0.50394285714285714</v>
      </c>
      <c r="V12" s="110">
        <f>SUM(V13:V14)</f>
        <v>425.2</v>
      </c>
      <c r="W12" s="112">
        <f t="shared" si="7"/>
        <v>6.074285714285714E-2</v>
      </c>
    </row>
    <row r="13" spans="3:23" ht="17" thickBot="1" x14ac:dyDescent="0.55000000000000004">
      <c r="C13" s="105" t="s">
        <v>27</v>
      </c>
      <c r="D13" s="41">
        <v>2000</v>
      </c>
      <c r="E13" s="41">
        <f>SUMIFS(Primary_Order[Total Volume],Primary_Order[Date],"&gt;="&amp;DATE(YEAR(D$3),MONTH(D$3),1),Primary_Order[Date],"&lt;="&amp;EOMONTH(D$3,0),Primary_Order[TSM/TSE],$C13)</f>
        <v>876</v>
      </c>
      <c r="F13" s="106">
        <f t="shared" si="0"/>
        <v>0.438</v>
      </c>
      <c r="G13" s="41">
        <f>SUMIFS(Primary_Order[Total Volume],Primary_Order[Date],"&gt;="&amp;DATE(YEAR(D$3),MONTH(D$3),1),Primary_Order[Date],"&lt;="&amp;EOMONTH(D$3,0),Primary_Order[TSM/TSE],$C13,Primary_Order[SKU Model],"3000",Primary_Order[SKU Grade number],"20W50")</f>
        <v>20</v>
      </c>
      <c r="H13" s="121">
        <f t="shared" si="1"/>
        <v>0.01</v>
      </c>
      <c r="I13" s="129">
        <v>3000</v>
      </c>
      <c r="J13" s="41">
        <f>SUMIFS(Primary_Order[Total Volume],Primary_Order[Date],"&gt;="&amp;I$3,Primary_Order[Date],"&lt;="&amp;EOMONTH(I$3,0),Primary_Order[TSM/TSE],$C13)</f>
        <v>1152.5999999999999</v>
      </c>
      <c r="K13" s="107">
        <f t="shared" si="2"/>
        <v>0.38419999999999999</v>
      </c>
      <c r="L13" s="41">
        <f>SUMIFS(Primary_Order[Total Volume],Primary_Order[Date],"&gt;="&amp;I$3,Primary_Order[Date],"&lt;="&amp;EOMONTH(I$3,0),Primary_Order[TSM/TSE],$C13,Primary_Order[SKU Model],"3000",Primary_Order[SKU Grade number],"20W50")</f>
        <v>0</v>
      </c>
      <c r="M13" s="108">
        <f t="shared" si="3"/>
        <v>0</v>
      </c>
      <c r="N13" s="33">
        <v>3000</v>
      </c>
      <c r="O13" s="41">
        <f>SUMIFS(Primary_Order[Total Volume],Primary_Order[Date],"&gt;="&amp;N$3,Primary_Order[Date],"&lt;="&amp;EOMONTH(N$3,0),Primary_Order[TSM/TSE],$C13)</f>
        <v>0</v>
      </c>
      <c r="P13" s="92">
        <f t="shared" si="4"/>
        <v>0</v>
      </c>
      <c r="Q13" s="101">
        <f>SUMIFS(Primary_Order[Total Volume],Primary_Order[Date],"&gt;="&amp;N$3,Primary_Order[Date],"&lt;="&amp;EOMONTH(N$3,0),Primary_Order[TSM/TSE],$C13,Primary_Order[SKU Model],"3000",Primary_Order[SKU Grade number],"20W50")</f>
        <v>0</v>
      </c>
      <c r="R13" s="89">
        <f t="shared" si="5"/>
        <v>0</v>
      </c>
      <c r="S13" s="129">
        <v>3000</v>
      </c>
      <c r="T13" s="41">
        <f>SUMIFS(Primary_Order[Total Volume],Primary_Order[Date],"&gt;="&amp;S$3,Primary_Order[Date],"&lt;="&amp;EOMONTH(S$3,0),Primary_Order[TSM/TSE],$C13)</f>
        <v>2491.6</v>
      </c>
      <c r="U13" s="107">
        <f t="shared" si="6"/>
        <v>0.83053333333333335</v>
      </c>
      <c r="V13" s="41">
        <f>SUMIFS(Primary_Order[Total Volume],Primary_Order[Date],"&gt;="&amp;S$3,Primary_Order[Date],"&lt;="&amp;EOMONTH(S$3,0),Primary_Order[TSM/TSE],$C13,Primary_Order[SKU Model],"3000",Primary_Order[SKU Grade number],"20W50")</f>
        <v>341.2</v>
      </c>
      <c r="W13" s="108">
        <f t="shared" si="7"/>
        <v>0.11373333333333333</v>
      </c>
    </row>
    <row r="14" spans="3:23" ht="17" thickBot="1" x14ac:dyDescent="0.55000000000000004">
      <c r="C14" s="100" t="s">
        <v>45</v>
      </c>
      <c r="D14" s="101">
        <v>4000</v>
      </c>
      <c r="E14" s="101">
        <f>SUMIFS(Primary_Order[Total Volume],Primary_Order[Date],"&gt;="&amp;DATE(YEAR(D$3),MONTH(D$3),1),Primary_Order[Date],"&lt;="&amp;EOMONTH(D$3,0),Primary_Order[TSM/TSE],$C14)</f>
        <v>1788</v>
      </c>
      <c r="F14" s="102">
        <f t="shared" si="0"/>
        <v>0.44700000000000001</v>
      </c>
      <c r="G14" s="101">
        <f>SUMIFS(Primary_Order[Total Volume],Primary_Order[Date],"&gt;="&amp;DATE(YEAR(D$3),MONTH(D$3),1),Primary_Order[Date],"&lt;="&amp;EOMONTH(D$3,0),Primary_Order[TSM/TSE],$C14,Primary_Order[SKU Model],"3000",Primary_Order[SKU Grade number],"20W50")</f>
        <v>712</v>
      </c>
      <c r="H14" s="122">
        <f t="shared" si="1"/>
        <v>0.17799999999999999</v>
      </c>
      <c r="I14" s="130">
        <v>4000</v>
      </c>
      <c r="J14" s="101">
        <f>SUMIFS(Primary_Order[Total Volume],Primary_Order[Date],"&gt;="&amp;I$3,Primary_Order[Date],"&lt;="&amp;EOMONTH(I$3,0),Primary_Order[TSM/TSE],$C14)</f>
        <v>1472</v>
      </c>
      <c r="K14" s="103">
        <f t="shared" si="2"/>
        <v>0.36799999999999999</v>
      </c>
      <c r="L14" s="101">
        <f>SUMIFS(Primary_Order[Total Volume],Primary_Order[Date],"&gt;="&amp;I$3,Primary_Order[Date],"&lt;="&amp;EOMONTH(I$3,0),Primary_Order[TSM/TSE],$C14,Primary_Order[SKU Model],"3000",Primary_Order[SKU Grade number],"20W50")</f>
        <v>688</v>
      </c>
      <c r="M14" s="104">
        <f t="shared" si="3"/>
        <v>0.17199999999999999</v>
      </c>
      <c r="N14" s="33">
        <v>4000</v>
      </c>
      <c r="O14" s="101">
        <f>SUMIFS(Primary_Order[Total Volume],Primary_Order[Date],"&gt;="&amp;N$3,Primary_Order[Date],"&lt;="&amp;EOMONTH(N$3,0),Primary_Order[TSM/TSE],$C14)</f>
        <v>628</v>
      </c>
      <c r="P14" s="92">
        <f t="shared" si="4"/>
        <v>0.157</v>
      </c>
      <c r="Q14" s="101">
        <f>SUMIFS(Primary_Order[Total Volume],Primary_Order[Date],"&gt;="&amp;N$3,Primary_Order[Date],"&lt;="&amp;EOMONTH(N$3,0),Primary_Order[TSM/TSE],$C14,Primary_Order[SKU Model],"3000",Primary_Order[SKU Grade number],"20W50")</f>
        <v>40</v>
      </c>
      <c r="R14" s="89">
        <f t="shared" si="5"/>
        <v>0.01</v>
      </c>
      <c r="S14" s="130">
        <v>4000</v>
      </c>
      <c r="T14" s="41">
        <f>SUMIFS(Primary_Order[Total Volume],Primary_Order[Date],"&gt;="&amp;S$3,Primary_Order[Date],"&lt;="&amp;EOMONTH(S$3,0),Primary_Order[TSM/TSE],$C14)</f>
        <v>1036</v>
      </c>
      <c r="U14" s="103">
        <f t="shared" si="6"/>
        <v>0.25900000000000001</v>
      </c>
      <c r="V14" s="41">
        <f>SUMIFS(Primary_Order[Total Volume],Primary_Order[Date],"&gt;="&amp;S$3,Primary_Order[Date],"&lt;="&amp;EOMONTH(S$3,0),Primary_Order[TSM/TSE],$C14,Primary_Order[SKU Model],"3000",Primary_Order[SKU Grade number],"20W50")</f>
        <v>84</v>
      </c>
      <c r="W14" s="104">
        <f t="shared" si="7"/>
        <v>2.1000000000000001E-2</v>
      </c>
    </row>
    <row r="15" spans="3:23" ht="17" thickBot="1" x14ac:dyDescent="0.55000000000000004">
      <c r="C15" s="114" t="s">
        <v>206</v>
      </c>
      <c r="D15" s="115">
        <f>D5+D8+D12</f>
        <v>22000</v>
      </c>
      <c r="E15" s="115">
        <f>E5+E8+E12</f>
        <v>35287.599999999999</v>
      </c>
      <c r="F15" s="116">
        <f t="shared" si="0"/>
        <v>1.6039818181818182</v>
      </c>
      <c r="G15" s="115">
        <f>G5+G8+G12</f>
        <v>5404</v>
      </c>
      <c r="H15" s="124">
        <f t="shared" si="1"/>
        <v>0.24563636363636362</v>
      </c>
      <c r="I15" s="132">
        <f>I5+I8+I12</f>
        <v>33000</v>
      </c>
      <c r="J15" s="115">
        <f>J5+J8+J12</f>
        <v>21716.6</v>
      </c>
      <c r="K15" s="117">
        <f t="shared" si="2"/>
        <v>0.65807878787878782</v>
      </c>
      <c r="L15" s="115">
        <f>L5+L8+L12</f>
        <v>3752</v>
      </c>
      <c r="M15" s="118">
        <f t="shared" si="3"/>
        <v>0.1136969696969697</v>
      </c>
      <c r="N15" s="113">
        <f>N5+N8+N12</f>
        <v>33000</v>
      </c>
      <c r="O15" s="86">
        <f>O5+O8+O12</f>
        <v>23499.4</v>
      </c>
      <c r="P15" s="93">
        <f t="shared" si="4"/>
        <v>0.71210303030303035</v>
      </c>
      <c r="Q15" s="86">
        <f>Q5+Q8+Q12</f>
        <v>8296</v>
      </c>
      <c r="R15" s="90">
        <f t="shared" si="5"/>
        <v>0.25139393939393939</v>
      </c>
      <c r="S15" s="132">
        <f>S5+S8+S12</f>
        <v>33000</v>
      </c>
      <c r="T15" s="115">
        <f>T5+T8+T12</f>
        <v>50839.199999999997</v>
      </c>
      <c r="U15" s="117">
        <f t="shared" si="6"/>
        <v>1.5405818181818181</v>
      </c>
      <c r="V15" s="115">
        <f>V5+V8+V12</f>
        <v>5265.2</v>
      </c>
      <c r="W15" s="118">
        <f t="shared" si="7"/>
        <v>0.15955151515151514</v>
      </c>
    </row>
  </sheetData>
  <sheetProtection algorithmName="SHA-512" hashValue="XArqAYruVzqnKHWHAlXwZTzzdSI4NMRX0WoNDek1EbwXqGnF1OI74vCdPR9CcSgIX974z0jg6DMQ3EO9VmNCBg==" saltValue="fkQ7LKIx9KfnQCZmUnJQlg==" spinCount="100000" sheet="1" objects="1" scenarios="1" formatColumns="0" autoFilter="0"/>
  <mergeCells count="8">
    <mergeCell ref="S3:W3"/>
    <mergeCell ref="D2:W2"/>
    <mergeCell ref="D1:T1"/>
    <mergeCell ref="N3:R3"/>
    <mergeCell ref="C3:C4"/>
    <mergeCell ref="D3:H3"/>
    <mergeCell ref="I3:M3"/>
    <mergeCell ref="C1:C2"/>
  </mergeCells>
  <phoneticPr fontId="3" type="noConversion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5E685-EE82-46FF-B3E4-36C52F91F8C2}">
  <sheetPr codeName="Sheet14"/>
  <dimension ref="A1:E72"/>
  <sheetViews>
    <sheetView workbookViewId="0">
      <selection activeCell="B3" sqref="B3"/>
    </sheetView>
  </sheetViews>
  <sheetFormatPr defaultRowHeight="16.5" x14ac:dyDescent="0.5"/>
  <cols>
    <col min="1" max="1" width="12.90625" bestFit="1" customWidth="1"/>
    <col min="2" max="2" width="37.453125" bestFit="1" customWidth="1"/>
    <col min="3" max="3" width="13.7265625" bestFit="1" customWidth="1"/>
    <col min="4" max="4" width="13.54296875" bestFit="1" customWidth="1"/>
    <col min="5" max="5" width="14.6328125" bestFit="1" customWidth="1"/>
  </cols>
  <sheetData>
    <row r="1" spans="1:5" ht="17" thickBot="1" x14ac:dyDescent="0.55000000000000004">
      <c r="A1" s="81" t="s">
        <v>1150</v>
      </c>
      <c r="B1" s="82" t="s">
        <v>209</v>
      </c>
      <c r="C1" s="82" t="s">
        <v>1151</v>
      </c>
      <c r="D1" s="82" t="s">
        <v>1148</v>
      </c>
      <c r="E1" s="83" t="s">
        <v>1149</v>
      </c>
    </row>
    <row r="2" spans="1:5" hidden="1" x14ac:dyDescent="0.5">
      <c r="A2" s="13" t="s">
        <v>106</v>
      </c>
      <c r="B2" s="2" t="s">
        <v>210</v>
      </c>
      <c r="C2" s="84">
        <v>45.154293569131831</v>
      </c>
      <c r="D2" s="85">
        <f>VLOOKUP(AIT[[#This Row],[Part no.]],Current_Stock[],16,0)</f>
        <v>0</v>
      </c>
      <c r="E2" s="85">
        <f>AIT[[#This Row],[Sold Qty]]*AIT[[#This Row],[AIT/Unit]]</f>
        <v>0</v>
      </c>
    </row>
    <row r="3" spans="1:5" x14ac:dyDescent="0.5">
      <c r="A3" s="13" t="s">
        <v>56</v>
      </c>
      <c r="B3" s="2" t="s">
        <v>1075</v>
      </c>
      <c r="C3" s="84">
        <v>24.88359649610679</v>
      </c>
      <c r="D3" s="85">
        <f>VLOOKUP(AIT[[#This Row],[Part no.]],Current_Stock[],16,0)</f>
        <v>601</v>
      </c>
      <c r="E3" s="85">
        <f>AIT[[#This Row],[Sold Qty]]*AIT[[#This Row],[AIT/Unit]]</f>
        <v>14955.041494160181</v>
      </c>
    </row>
    <row r="4" spans="1:5" x14ac:dyDescent="0.5">
      <c r="A4" s="13" t="s">
        <v>43</v>
      </c>
      <c r="B4" s="2" t="s">
        <v>212</v>
      </c>
      <c r="C4" s="84">
        <v>30.15</v>
      </c>
      <c r="D4" s="85">
        <f>VLOOKUP(AIT[[#This Row],[Part no.]],Current_Stock[],16,0)</f>
        <v>516</v>
      </c>
      <c r="E4" s="85">
        <f>AIT[[#This Row],[Sold Qty]]*AIT[[#This Row],[AIT/Unit]]</f>
        <v>15557.4</v>
      </c>
    </row>
    <row r="5" spans="1:5" x14ac:dyDescent="0.5">
      <c r="A5" s="13" t="s">
        <v>57</v>
      </c>
      <c r="B5" s="2" t="s">
        <v>1076</v>
      </c>
      <c r="C5" s="84">
        <v>25.031971305738853</v>
      </c>
      <c r="D5" s="85">
        <f>VLOOKUP(AIT[[#This Row],[Part no.]],Current_Stock[],16,0)</f>
        <v>0</v>
      </c>
      <c r="E5" s="85">
        <f>AIT[[#This Row],[Sold Qty]]*AIT[[#This Row],[AIT/Unit]]</f>
        <v>0</v>
      </c>
    </row>
    <row r="6" spans="1:5" x14ac:dyDescent="0.5">
      <c r="A6" s="13" t="s">
        <v>58</v>
      </c>
      <c r="B6" s="2" t="s">
        <v>1077</v>
      </c>
      <c r="C6" s="84">
        <v>27.712890292553194</v>
      </c>
      <c r="D6" s="85">
        <f>VLOOKUP(AIT[[#This Row],[Part no.]],Current_Stock[],16,0)</f>
        <v>565</v>
      </c>
      <c r="E6" s="85">
        <f>AIT[[#This Row],[Sold Qty]]*AIT[[#This Row],[AIT/Unit]]</f>
        <v>15657.783015292554</v>
      </c>
    </row>
    <row r="7" spans="1:5" x14ac:dyDescent="0.5">
      <c r="A7" s="13" t="s">
        <v>35</v>
      </c>
      <c r="B7" s="2" t="s">
        <v>215</v>
      </c>
      <c r="C7" s="84">
        <v>20.058263141491793</v>
      </c>
      <c r="D7" s="85">
        <f>VLOOKUP(AIT[[#This Row],[Part no.]],Current_Stock[],16,0)</f>
        <v>24</v>
      </c>
      <c r="E7" s="85">
        <f>AIT[[#This Row],[Sold Qty]]*AIT[[#This Row],[AIT/Unit]]</f>
        <v>481.39831539580302</v>
      </c>
    </row>
    <row r="8" spans="1:5" x14ac:dyDescent="0.5">
      <c r="A8" s="13" t="s">
        <v>36</v>
      </c>
      <c r="B8" s="2" t="s">
        <v>216</v>
      </c>
      <c r="C8" s="84">
        <v>22.831696879008128</v>
      </c>
      <c r="D8" s="85">
        <f>VLOOKUP(AIT[[#This Row],[Part no.]],Current_Stock[],16,0)</f>
        <v>696</v>
      </c>
      <c r="E8" s="85">
        <f>AIT[[#This Row],[Sold Qty]]*AIT[[#This Row],[AIT/Unit]]</f>
        <v>15890.861027789657</v>
      </c>
    </row>
    <row r="9" spans="1:5" x14ac:dyDescent="0.5">
      <c r="A9" s="13" t="s">
        <v>77</v>
      </c>
      <c r="B9" s="2" t="s">
        <v>217</v>
      </c>
      <c r="C9" s="84">
        <v>16.510409052982897</v>
      </c>
      <c r="D9" s="85">
        <f>VLOOKUP(AIT[[#This Row],[Part no.]],Current_Stock[],16,0)</f>
        <v>100</v>
      </c>
      <c r="E9" s="85">
        <f>AIT[[#This Row],[Sold Qty]]*AIT[[#This Row],[AIT/Unit]]</f>
        <v>1651.0409052982898</v>
      </c>
    </row>
    <row r="10" spans="1:5" hidden="1" x14ac:dyDescent="0.5">
      <c r="A10" s="13" t="s">
        <v>73</v>
      </c>
      <c r="B10" s="2" t="s">
        <v>218</v>
      </c>
      <c r="C10" s="84">
        <v>16.260514614215129</v>
      </c>
      <c r="D10" s="85">
        <f>VLOOKUP(AIT[[#This Row],[Part no.]],Current_Stock[],16,0)</f>
        <v>0</v>
      </c>
      <c r="E10" s="85">
        <f>AIT[[#This Row],[Sold Qty]]*AIT[[#This Row],[AIT/Unit]]</f>
        <v>0</v>
      </c>
    </row>
    <row r="11" spans="1:5" x14ac:dyDescent="0.5">
      <c r="A11" s="13" t="s">
        <v>75</v>
      </c>
      <c r="B11" s="2" t="s">
        <v>219</v>
      </c>
      <c r="C11" s="84">
        <v>17.537095410292075</v>
      </c>
      <c r="D11" s="85">
        <f>VLOOKUP(AIT[[#This Row],[Part no.]],Current_Stock[],16,0)</f>
        <v>1108</v>
      </c>
      <c r="E11" s="85">
        <f>AIT[[#This Row],[Sold Qty]]*AIT[[#This Row],[AIT/Unit]]</f>
        <v>19431.101714603617</v>
      </c>
    </row>
    <row r="12" spans="1:5" x14ac:dyDescent="0.5">
      <c r="A12" s="13" t="s">
        <v>31</v>
      </c>
      <c r="B12" s="2" t="s">
        <v>220</v>
      </c>
      <c r="C12" s="84">
        <v>13.940654417513684</v>
      </c>
      <c r="D12" s="85">
        <f>VLOOKUP(AIT[[#This Row],[Part no.]],Current_Stock[],16,0)</f>
        <v>6652</v>
      </c>
      <c r="E12" s="85">
        <f>AIT[[#This Row],[Sold Qty]]*AIT[[#This Row],[AIT/Unit]]</f>
        <v>92733.233185301026</v>
      </c>
    </row>
    <row r="13" spans="1:5" hidden="1" x14ac:dyDescent="0.5">
      <c r="A13" s="13" t="s">
        <v>32</v>
      </c>
      <c r="B13" s="2" t="s">
        <v>221</v>
      </c>
      <c r="C13" s="84">
        <v>16.37</v>
      </c>
      <c r="D13" s="85">
        <f>VLOOKUP(AIT[[#This Row],[Part no.]],Current_Stock[],16,0)</f>
        <v>2</v>
      </c>
      <c r="E13" s="85">
        <f>AIT[[#This Row],[Sold Qty]]*AIT[[#This Row],[AIT/Unit]]</f>
        <v>32.74</v>
      </c>
    </row>
    <row r="14" spans="1:5" x14ac:dyDescent="0.5">
      <c r="A14" s="13" t="s">
        <v>54</v>
      </c>
      <c r="B14" s="2" t="s">
        <v>222</v>
      </c>
      <c r="C14" s="84">
        <v>15.115788557993733</v>
      </c>
      <c r="D14" s="85">
        <f>VLOOKUP(AIT[[#This Row],[Part no.]],Current_Stock[],16,0)</f>
        <v>11317</v>
      </c>
      <c r="E14" s="85">
        <f>AIT[[#This Row],[Sold Qty]]*AIT[[#This Row],[AIT/Unit]]</f>
        <v>171065.37911081509</v>
      </c>
    </row>
    <row r="15" spans="1:5" x14ac:dyDescent="0.5">
      <c r="A15" s="13" t="s">
        <v>53</v>
      </c>
      <c r="B15" s="2" t="s">
        <v>223</v>
      </c>
      <c r="C15" s="84">
        <v>14.913778308684112</v>
      </c>
      <c r="D15" s="85">
        <f>VLOOKUP(AIT[[#This Row],[Part no.]],Current_Stock[],16,0)</f>
        <v>5630</v>
      </c>
      <c r="E15" s="85">
        <f>AIT[[#This Row],[Sold Qty]]*AIT[[#This Row],[AIT/Unit]]</f>
        <v>83964.571877891547</v>
      </c>
    </row>
    <row r="16" spans="1:5" x14ac:dyDescent="0.5">
      <c r="A16" s="13" t="s">
        <v>33</v>
      </c>
      <c r="B16" s="2" t="s">
        <v>224</v>
      </c>
      <c r="C16" s="84">
        <v>17.672835750000001</v>
      </c>
      <c r="D16" s="85">
        <f>VLOOKUP(AIT[[#This Row],[Part no.]],Current_Stock[],16,0)</f>
        <v>787</v>
      </c>
      <c r="E16" s="85">
        <f>AIT[[#This Row],[Sold Qty]]*AIT[[#This Row],[AIT/Unit]]</f>
        <v>13908.52173525</v>
      </c>
    </row>
    <row r="17" spans="1:5" x14ac:dyDescent="0.5">
      <c r="A17" s="13" t="s">
        <v>81</v>
      </c>
      <c r="B17" s="2" t="s">
        <v>225</v>
      </c>
      <c r="C17" s="84">
        <v>14.544540000000001</v>
      </c>
      <c r="D17" s="85">
        <f>VLOOKUP(AIT[[#This Row],[Part no.]],Current_Stock[],16,0)</f>
        <v>5020</v>
      </c>
      <c r="E17" s="85">
        <f>AIT[[#This Row],[Sold Qty]]*AIT[[#This Row],[AIT/Unit]]</f>
        <v>73013.590800000005</v>
      </c>
    </row>
    <row r="18" spans="1:5" x14ac:dyDescent="0.5">
      <c r="A18" s="13" t="s">
        <v>99</v>
      </c>
      <c r="B18" s="2" t="s">
        <v>226</v>
      </c>
      <c r="C18" s="84">
        <v>17.223779999999998</v>
      </c>
      <c r="D18" s="85">
        <f>VLOOKUP(AIT[[#This Row],[Part no.]],Current_Stock[],16,0)</f>
        <v>221</v>
      </c>
      <c r="E18" s="85">
        <f>AIT[[#This Row],[Sold Qty]]*AIT[[#This Row],[AIT/Unit]]</f>
        <v>3806.4553799999994</v>
      </c>
    </row>
    <row r="19" spans="1:5" hidden="1" x14ac:dyDescent="0.5">
      <c r="A19" s="13" t="s">
        <v>48</v>
      </c>
      <c r="B19" s="2" t="s">
        <v>227</v>
      </c>
      <c r="C19" s="72">
        <v>14.022779252512111</v>
      </c>
      <c r="D19" s="85">
        <f>VLOOKUP(AIT[[#This Row],[Part no.]],Current_Stock[],16,0)</f>
        <v>230</v>
      </c>
      <c r="E19" s="78">
        <f>AIT[[#This Row],[Sold Qty]]*AIT[[#This Row],[AIT/Unit]]</f>
        <v>3225.2392280777854</v>
      </c>
    </row>
    <row r="20" spans="1:5" x14ac:dyDescent="0.5">
      <c r="A20" s="13" t="s">
        <v>59</v>
      </c>
      <c r="B20" s="2" t="s">
        <v>228</v>
      </c>
      <c r="C20" s="84">
        <v>12.807247290640394</v>
      </c>
      <c r="D20" s="85">
        <f>VLOOKUP(AIT[[#This Row],[Part no.]],Current_Stock[],16,0)</f>
        <v>300</v>
      </c>
      <c r="E20" s="85">
        <f>AIT[[#This Row],[Sold Qty]]*AIT[[#This Row],[AIT/Unit]]</f>
        <v>3842.1741871921181</v>
      </c>
    </row>
    <row r="21" spans="1:5" hidden="1" x14ac:dyDescent="0.5">
      <c r="A21" s="13" t="s">
        <v>117</v>
      </c>
      <c r="B21" s="2" t="s">
        <v>229</v>
      </c>
      <c r="C21" s="72">
        <v>3.0051395833333339</v>
      </c>
      <c r="D21" s="85">
        <f>VLOOKUP(AIT[[#This Row],[Part no.]],Current_Stock[],16,0)</f>
        <v>0</v>
      </c>
      <c r="E21" s="78">
        <f>AIT[[#This Row],[Sold Qty]]*AIT[[#This Row],[AIT/Unit]]</f>
        <v>0</v>
      </c>
    </row>
    <row r="22" spans="1:5" hidden="1" x14ac:dyDescent="0.5">
      <c r="A22" s="13" t="s">
        <v>145</v>
      </c>
      <c r="B22" s="2" t="s">
        <v>230</v>
      </c>
      <c r="C22" s="84">
        <v>5.66</v>
      </c>
      <c r="D22" s="85">
        <f>VLOOKUP(AIT[[#This Row],[Part no.]],Current_Stock[],16,0)</f>
        <v>0</v>
      </c>
      <c r="E22" s="85">
        <f>AIT[[#This Row],[Sold Qty]]*AIT[[#This Row],[AIT/Unit]]</f>
        <v>0</v>
      </c>
    </row>
    <row r="23" spans="1:5" x14ac:dyDescent="0.5">
      <c r="A23" s="13" t="s">
        <v>152</v>
      </c>
      <c r="B23" s="2" t="s">
        <v>231</v>
      </c>
      <c r="C23" s="84">
        <v>9.3814011904761898</v>
      </c>
      <c r="D23" s="85">
        <f>VLOOKUP(AIT[[#This Row],[Part no.]],Current_Stock[],16,0)</f>
        <v>301</v>
      </c>
      <c r="E23" s="85">
        <f>AIT[[#This Row],[Sold Qty]]*AIT[[#This Row],[AIT/Unit]]</f>
        <v>2823.8017583333331</v>
      </c>
    </row>
    <row r="24" spans="1:5" x14ac:dyDescent="0.5">
      <c r="A24" s="75" t="s">
        <v>168</v>
      </c>
      <c r="B24" s="70" t="s">
        <v>232</v>
      </c>
      <c r="C24" s="71">
        <v>6.562005000000001</v>
      </c>
      <c r="D24" s="85">
        <f>VLOOKUP(AIT[[#This Row],[Part no.]],Current_Stock[],16,0)</f>
        <v>0</v>
      </c>
      <c r="E24" s="77">
        <f>AIT[[#This Row],[Sold Qty]]*AIT[[#This Row],[AIT/Unit]]</f>
        <v>0</v>
      </c>
    </row>
    <row r="25" spans="1:5" hidden="1" x14ac:dyDescent="0.5">
      <c r="A25" s="13" t="s">
        <v>126</v>
      </c>
      <c r="B25" s="2" t="s">
        <v>233</v>
      </c>
      <c r="C25" s="72">
        <v>3.0051395833333339</v>
      </c>
      <c r="D25" s="85">
        <f>VLOOKUP(AIT[[#This Row],[Part no.]],Current_Stock[],16,0)</f>
        <v>0</v>
      </c>
      <c r="E25" s="78">
        <f>AIT[[#This Row],[Sold Qty]]*AIT[[#This Row],[AIT/Unit]]</f>
        <v>0</v>
      </c>
    </row>
    <row r="26" spans="1:5" hidden="1" x14ac:dyDescent="0.5">
      <c r="A26" s="75" t="s">
        <v>147</v>
      </c>
      <c r="B26" s="70" t="s">
        <v>234</v>
      </c>
      <c r="C26" s="71">
        <v>26</v>
      </c>
      <c r="D26" s="85">
        <f>VLOOKUP(AIT[[#This Row],[Part no.]],Current_Stock[],16,0)</f>
        <v>0</v>
      </c>
      <c r="E26" s="77">
        <f>AIT[[#This Row],[Sold Qty]]*AIT[[#This Row],[AIT/Unit]]</f>
        <v>0</v>
      </c>
    </row>
    <row r="27" spans="1:5" hidden="1" x14ac:dyDescent="0.5">
      <c r="A27" s="13" t="s">
        <v>37</v>
      </c>
      <c r="B27" s="2" t="s">
        <v>235</v>
      </c>
      <c r="C27" s="72">
        <v>19.96</v>
      </c>
      <c r="D27" s="85">
        <f>VLOOKUP(AIT[[#This Row],[Part no.]],Current_Stock[],16,0)</f>
        <v>0</v>
      </c>
      <c r="E27" s="78">
        <f>AIT[[#This Row],[Sold Qty]]*AIT[[#This Row],[AIT/Unit]]</f>
        <v>0</v>
      </c>
    </row>
    <row r="28" spans="1:5" hidden="1" x14ac:dyDescent="0.5">
      <c r="A28" s="75" t="s">
        <v>148</v>
      </c>
      <c r="B28" s="70" t="s">
        <v>236</v>
      </c>
      <c r="C28" s="71">
        <v>29.028499641181345</v>
      </c>
      <c r="D28" s="85">
        <f>VLOOKUP(AIT[[#This Row],[Part no.]],Current_Stock[],16,0)</f>
        <v>0</v>
      </c>
      <c r="E28" s="77">
        <f>AIT[[#This Row],[Sold Qty]]*AIT[[#This Row],[AIT/Unit]]</f>
        <v>0</v>
      </c>
    </row>
    <row r="29" spans="1:5" hidden="1" x14ac:dyDescent="0.5">
      <c r="A29" s="13" t="s">
        <v>193</v>
      </c>
      <c r="B29" s="2" t="s">
        <v>237</v>
      </c>
      <c r="C29" s="72">
        <v>16.02</v>
      </c>
      <c r="D29" s="85">
        <f>VLOOKUP(AIT[[#This Row],[Part no.]],Current_Stock[],16,0)</f>
        <v>0</v>
      </c>
      <c r="E29" s="78">
        <f>AIT[[#This Row],[Sold Qty]]*AIT[[#This Row],[AIT/Unit]]</f>
        <v>0</v>
      </c>
    </row>
    <row r="30" spans="1:5" hidden="1" x14ac:dyDescent="0.5">
      <c r="A30" s="75" t="s">
        <v>181</v>
      </c>
      <c r="B30" s="70" t="s">
        <v>238</v>
      </c>
      <c r="C30" s="71">
        <v>16.02</v>
      </c>
      <c r="D30" s="85">
        <f>VLOOKUP(AIT[[#This Row],[Part no.]],Current_Stock[],16,0)</f>
        <v>0</v>
      </c>
      <c r="E30" s="77">
        <f>AIT[[#This Row],[Sold Qty]]*AIT[[#This Row],[AIT/Unit]]</f>
        <v>0</v>
      </c>
    </row>
    <row r="31" spans="1:5" hidden="1" x14ac:dyDescent="0.5">
      <c r="A31" s="13" t="s">
        <v>149</v>
      </c>
      <c r="B31" s="2" t="s">
        <v>239</v>
      </c>
      <c r="C31" s="72">
        <v>24.94</v>
      </c>
      <c r="D31" s="85">
        <f>VLOOKUP(AIT[[#This Row],[Part no.]],Current_Stock[],16,0)</f>
        <v>0</v>
      </c>
      <c r="E31" s="78">
        <f>AIT[[#This Row],[Sold Qty]]*AIT[[#This Row],[AIT/Unit]]</f>
        <v>0</v>
      </c>
    </row>
    <row r="32" spans="1:5" x14ac:dyDescent="0.5">
      <c r="A32" s="13" t="s">
        <v>107</v>
      </c>
      <c r="B32" s="2" t="s">
        <v>240</v>
      </c>
      <c r="C32" s="84">
        <v>2.74</v>
      </c>
      <c r="D32" s="85">
        <f>VLOOKUP(AIT[[#This Row],[Part no.]],Current_Stock[],16,0)</f>
        <v>0</v>
      </c>
      <c r="E32" s="85">
        <f>AIT[[#This Row],[Sold Qty]]*AIT[[#This Row],[AIT/Unit]]</f>
        <v>0</v>
      </c>
    </row>
    <row r="33" spans="1:5" hidden="1" x14ac:dyDescent="0.5">
      <c r="A33" s="13" t="s">
        <v>197</v>
      </c>
      <c r="B33" s="2" t="s">
        <v>241</v>
      </c>
      <c r="C33" s="72">
        <v>150</v>
      </c>
      <c r="D33" s="85">
        <f>VLOOKUP(AIT[[#This Row],[Part no.]],Current_Stock[],16,0)</f>
        <v>0</v>
      </c>
      <c r="E33" s="78">
        <f>AIT[[#This Row],[Sold Qty]]*AIT[[#This Row],[AIT/Unit]]</f>
        <v>0</v>
      </c>
    </row>
    <row r="34" spans="1:5" x14ac:dyDescent="0.5">
      <c r="A34" s="13" t="s">
        <v>104</v>
      </c>
      <c r="B34" s="2" t="s">
        <v>242</v>
      </c>
      <c r="C34" s="84">
        <v>4.45</v>
      </c>
      <c r="D34" s="85">
        <f>VLOOKUP(AIT[[#This Row],[Part no.]],Current_Stock[],16,0)</f>
        <v>0</v>
      </c>
      <c r="E34" s="85">
        <f>AIT[[#This Row],[Sold Qty]]*AIT[[#This Row],[AIT/Unit]]</f>
        <v>0</v>
      </c>
    </row>
    <row r="35" spans="1:5" hidden="1" x14ac:dyDescent="0.5">
      <c r="A35" s="13" t="s">
        <v>243</v>
      </c>
      <c r="B35" s="2" t="s">
        <v>244</v>
      </c>
      <c r="C35" s="72">
        <v>0</v>
      </c>
      <c r="D35" s="85">
        <f>VLOOKUP(AIT[[#This Row],[Part no.]],Current_Stock[],16,0)</f>
        <v>0</v>
      </c>
      <c r="E35" s="78">
        <f>AIT[[#This Row],[Sold Qty]]*AIT[[#This Row],[AIT/Unit]]</f>
        <v>0</v>
      </c>
    </row>
    <row r="36" spans="1:5" hidden="1" x14ac:dyDescent="0.5">
      <c r="A36" s="75" t="s">
        <v>245</v>
      </c>
      <c r="B36" s="70" t="s">
        <v>246</v>
      </c>
      <c r="C36" s="71">
        <v>25.123944444444447</v>
      </c>
      <c r="D36" s="85">
        <f>VLOOKUP(AIT[[#This Row],[Part no.]],Current_Stock[],16,0)</f>
        <v>0</v>
      </c>
      <c r="E36" s="77">
        <f>AIT[[#This Row],[Sold Qty]]*AIT[[#This Row],[AIT/Unit]]</f>
        <v>0</v>
      </c>
    </row>
    <row r="37" spans="1:5" hidden="1" x14ac:dyDescent="0.5">
      <c r="A37" s="13" t="s">
        <v>247</v>
      </c>
      <c r="B37" s="2" t="s">
        <v>248</v>
      </c>
      <c r="C37" s="72">
        <v>0</v>
      </c>
      <c r="D37" s="85">
        <f>VLOOKUP(AIT[[#This Row],[Part no.]],Current_Stock[],16,0)</f>
        <v>0</v>
      </c>
      <c r="E37" s="78">
        <f>AIT[[#This Row],[Sold Qty]]*AIT[[#This Row],[AIT/Unit]]</f>
        <v>0</v>
      </c>
    </row>
    <row r="38" spans="1:5" hidden="1" x14ac:dyDescent="0.5">
      <c r="A38" s="13" t="s">
        <v>105</v>
      </c>
      <c r="B38" s="2" t="s">
        <v>249</v>
      </c>
      <c r="C38" s="84">
        <v>4.5</v>
      </c>
      <c r="D38" s="85">
        <f>VLOOKUP(AIT[[#This Row],[Part no.]],Current_Stock[],16,0)</f>
        <v>0</v>
      </c>
      <c r="E38" s="85">
        <f>AIT[[#This Row],[Sold Qty]]*AIT[[#This Row],[AIT/Unit]]</f>
        <v>0</v>
      </c>
    </row>
    <row r="39" spans="1:5" hidden="1" x14ac:dyDescent="0.5">
      <c r="A39" s="13" t="s">
        <v>131</v>
      </c>
      <c r="B39" s="2" t="s">
        <v>250</v>
      </c>
      <c r="C39" s="84">
        <v>73.677549999999997</v>
      </c>
      <c r="D39" s="85">
        <f>VLOOKUP(AIT[[#This Row],[Part no.]],Current_Stock[],16,0)</f>
        <v>0</v>
      </c>
      <c r="E39" s="85">
        <f>AIT[[#This Row],[Sold Qty]]*AIT[[#This Row],[AIT/Unit]]</f>
        <v>0</v>
      </c>
    </row>
    <row r="40" spans="1:5" hidden="1" x14ac:dyDescent="0.5">
      <c r="A40" s="13" t="s">
        <v>96</v>
      </c>
      <c r="B40" s="2" t="s">
        <v>716</v>
      </c>
      <c r="C40" s="84">
        <v>50.8</v>
      </c>
      <c r="D40" s="85">
        <f>VLOOKUP(AIT[[#This Row],[Part no.]],Current_Stock[],16,0)</f>
        <v>150</v>
      </c>
      <c r="E40" s="85">
        <f>AIT[[#This Row],[Sold Qty]]*AIT[[#This Row],[AIT/Unit]]</f>
        <v>7620</v>
      </c>
    </row>
    <row r="41" spans="1:5" x14ac:dyDescent="0.5">
      <c r="A41" s="13" t="s">
        <v>157</v>
      </c>
      <c r="B41" s="2" t="s">
        <v>252</v>
      </c>
      <c r="C41" s="84">
        <v>73.677549999999997</v>
      </c>
      <c r="D41" s="85">
        <f>VLOOKUP(AIT[[#This Row],[Part no.]],Current_Stock[],16,0)</f>
        <v>0</v>
      </c>
      <c r="E41" s="85">
        <f>AIT[[#This Row],[Sold Qty]]*AIT[[#This Row],[AIT/Unit]]</f>
        <v>0</v>
      </c>
    </row>
    <row r="42" spans="1:5" hidden="1" x14ac:dyDescent="0.5">
      <c r="A42" s="13" t="s">
        <v>189</v>
      </c>
      <c r="B42" s="2" t="s">
        <v>253</v>
      </c>
      <c r="C42" s="84">
        <v>52.14</v>
      </c>
      <c r="D42" s="85">
        <f>VLOOKUP(AIT[[#This Row],[Part no.]],Current_Stock[],16,0)</f>
        <v>0</v>
      </c>
      <c r="E42" s="85">
        <f>AIT[[#This Row],[Sold Qty]]*AIT[[#This Row],[AIT/Unit]]</f>
        <v>0</v>
      </c>
    </row>
    <row r="43" spans="1:5" hidden="1" x14ac:dyDescent="0.5">
      <c r="A43" s="13" t="s">
        <v>71</v>
      </c>
      <c r="B43" s="2" t="s">
        <v>254</v>
      </c>
      <c r="C43" s="84">
        <v>48.12</v>
      </c>
      <c r="D43" s="85">
        <f>VLOOKUP(AIT[[#This Row],[Part no.]],Current_Stock[],16,0)</f>
        <v>95</v>
      </c>
      <c r="E43" s="85">
        <f>AIT[[#This Row],[Sold Qty]]*AIT[[#This Row],[AIT/Unit]]</f>
        <v>4571.3999999999996</v>
      </c>
    </row>
    <row r="44" spans="1:5" hidden="1" x14ac:dyDescent="0.5">
      <c r="A44" s="75" t="s">
        <v>161</v>
      </c>
      <c r="B44" s="70" t="s">
        <v>255</v>
      </c>
      <c r="C44" s="71">
        <v>52.141948453608244</v>
      </c>
      <c r="D44" s="85">
        <f>VLOOKUP(AIT[[#This Row],[Part no.]],Current_Stock[],16,0)</f>
        <v>760</v>
      </c>
      <c r="E44" s="77">
        <f>AIT[[#This Row],[Sold Qty]]*AIT[[#This Row],[AIT/Unit]]</f>
        <v>39627.880824742264</v>
      </c>
    </row>
    <row r="45" spans="1:5" x14ac:dyDescent="0.5">
      <c r="A45" s="13" t="s">
        <v>156</v>
      </c>
      <c r="B45" s="2" t="s">
        <v>256</v>
      </c>
      <c r="C45" s="84">
        <v>52.14</v>
      </c>
      <c r="D45" s="85">
        <f>VLOOKUP(AIT[[#This Row],[Part no.]],Current_Stock[],16,0)</f>
        <v>444</v>
      </c>
      <c r="E45" s="85">
        <f>AIT[[#This Row],[Sold Qty]]*AIT[[#This Row],[AIT/Unit]]</f>
        <v>23150.16</v>
      </c>
    </row>
    <row r="46" spans="1:5" hidden="1" x14ac:dyDescent="0.5">
      <c r="A46" s="75" t="s">
        <v>180</v>
      </c>
      <c r="B46" s="70" t="s">
        <v>257</v>
      </c>
      <c r="C46" s="71">
        <v>46.428286458333332</v>
      </c>
      <c r="D46" s="85">
        <f>VLOOKUP(AIT[[#This Row],[Part no.]],Current_Stock[],16,0)</f>
        <v>0</v>
      </c>
      <c r="E46" s="77">
        <f>AIT[[#This Row],[Sold Qty]]*AIT[[#This Row],[AIT/Unit]]</f>
        <v>0</v>
      </c>
    </row>
    <row r="47" spans="1:5" hidden="1" x14ac:dyDescent="0.5">
      <c r="A47" s="13" t="s">
        <v>258</v>
      </c>
      <c r="B47" s="2" t="s">
        <v>259</v>
      </c>
      <c r="C47" s="72">
        <v>0</v>
      </c>
      <c r="D47" s="85">
        <f>VLOOKUP(AIT[[#This Row],[Part no.]],Current_Stock[],16,0)</f>
        <v>0</v>
      </c>
      <c r="E47" s="78">
        <f>AIT[[#This Row],[Sold Qty]]*AIT[[#This Row],[AIT/Unit]]</f>
        <v>0</v>
      </c>
    </row>
    <row r="48" spans="1:5" hidden="1" x14ac:dyDescent="0.5">
      <c r="A48" s="75" t="s">
        <v>166</v>
      </c>
      <c r="B48" s="70" t="s">
        <v>260</v>
      </c>
      <c r="C48" s="71">
        <v>15.904295739348374</v>
      </c>
      <c r="D48" s="85">
        <f>VLOOKUP(AIT[[#This Row],[Part no.]],Current_Stock[],16,0)</f>
        <v>0</v>
      </c>
      <c r="E48" s="77">
        <f>AIT[[#This Row],[Sold Qty]]*AIT[[#This Row],[AIT/Unit]]</f>
        <v>0</v>
      </c>
    </row>
    <row r="49" spans="1:5" hidden="1" x14ac:dyDescent="0.5">
      <c r="A49" s="13" t="s">
        <v>179</v>
      </c>
      <c r="B49" s="2" t="s">
        <v>261</v>
      </c>
      <c r="C49" s="72">
        <v>91.529074386821478</v>
      </c>
      <c r="D49" s="85">
        <f>VLOOKUP(AIT[[#This Row],[Part no.]],Current_Stock[],16,0)</f>
        <v>0</v>
      </c>
      <c r="E49" s="78">
        <f>AIT[[#This Row],[Sold Qty]]*AIT[[#This Row],[AIT/Unit]]</f>
        <v>0</v>
      </c>
    </row>
    <row r="50" spans="1:5" hidden="1" x14ac:dyDescent="0.5">
      <c r="A50" s="75" t="s">
        <v>113</v>
      </c>
      <c r="B50" s="70" t="s">
        <v>262</v>
      </c>
      <c r="C50" s="71">
        <v>17.223779999999998</v>
      </c>
      <c r="D50" s="85">
        <f>VLOOKUP(AIT[[#This Row],[Part no.]],Current_Stock[],16,0)</f>
        <v>0</v>
      </c>
      <c r="E50" s="77">
        <f>AIT[[#This Row],[Sold Qty]]*AIT[[#This Row],[AIT/Unit]]</f>
        <v>0</v>
      </c>
    </row>
    <row r="51" spans="1:5" hidden="1" x14ac:dyDescent="0.5">
      <c r="A51" s="13" t="s">
        <v>177</v>
      </c>
      <c r="B51" s="2" t="s">
        <v>263</v>
      </c>
      <c r="C51" s="72">
        <v>14.069014843750002</v>
      </c>
      <c r="D51" s="85">
        <f>VLOOKUP(AIT[[#This Row],[Part no.]],Current_Stock[],16,0)</f>
        <v>0</v>
      </c>
      <c r="E51" s="78">
        <f>AIT[[#This Row],[Sold Qty]]*AIT[[#This Row],[AIT/Unit]]</f>
        <v>0</v>
      </c>
    </row>
    <row r="52" spans="1:5" hidden="1" x14ac:dyDescent="0.5">
      <c r="A52" s="75" t="s">
        <v>160</v>
      </c>
      <c r="B52" s="70" t="s">
        <v>264</v>
      </c>
      <c r="C52" s="71">
        <v>67.341065</v>
      </c>
      <c r="D52" s="85">
        <f>VLOOKUP(AIT[[#This Row],[Part no.]],Current_Stock[],16,0)</f>
        <v>0</v>
      </c>
      <c r="E52" s="77">
        <f>AIT[[#This Row],[Sold Qty]]*AIT[[#This Row],[AIT/Unit]]</f>
        <v>0</v>
      </c>
    </row>
    <row r="53" spans="1:5" hidden="1" x14ac:dyDescent="0.5">
      <c r="A53" s="13" t="s">
        <v>185</v>
      </c>
      <c r="B53" s="2" t="s">
        <v>265</v>
      </c>
      <c r="C53" s="72">
        <v>148.25591979166668</v>
      </c>
      <c r="D53" s="85">
        <f>VLOOKUP(AIT[[#This Row],[Part no.]],Current_Stock[],16,0)</f>
        <v>0</v>
      </c>
      <c r="E53" s="78">
        <f>AIT[[#This Row],[Sold Qty]]*AIT[[#This Row],[AIT/Unit]]</f>
        <v>0</v>
      </c>
    </row>
    <row r="54" spans="1:5" hidden="1" x14ac:dyDescent="0.5">
      <c r="A54" s="75" t="s">
        <v>67</v>
      </c>
      <c r="B54" s="70" t="s">
        <v>266</v>
      </c>
      <c r="C54" s="71">
        <v>200.393686</v>
      </c>
      <c r="D54" s="85">
        <f>VLOOKUP(AIT[[#This Row],[Part no.]],Current_Stock[],16,0)</f>
        <v>0</v>
      </c>
      <c r="E54" s="77">
        <f>AIT[[#This Row],[Sold Qty]]*AIT[[#This Row],[AIT/Unit]]</f>
        <v>0</v>
      </c>
    </row>
    <row r="55" spans="1:5" hidden="1" x14ac:dyDescent="0.5">
      <c r="A55" s="13" t="s">
        <v>159</v>
      </c>
      <c r="B55" s="2" t="s">
        <v>267</v>
      </c>
      <c r="C55" s="72">
        <v>236.34</v>
      </c>
      <c r="D55" s="85">
        <f>VLOOKUP(AIT[[#This Row],[Part no.]],Current_Stock[],16,0)</f>
        <v>0</v>
      </c>
      <c r="E55" s="78">
        <f>AIT[[#This Row],[Sold Qty]]*AIT[[#This Row],[AIT/Unit]]</f>
        <v>0</v>
      </c>
    </row>
    <row r="56" spans="1:5" hidden="1" x14ac:dyDescent="0.5">
      <c r="A56" s="75" t="s">
        <v>135</v>
      </c>
      <c r="B56" s="70" t="s">
        <v>268</v>
      </c>
      <c r="C56" s="71">
        <v>16.339932000000001</v>
      </c>
      <c r="D56" s="85">
        <f>VLOOKUP(AIT[[#This Row],[Part no.]],Current_Stock[],16,0)</f>
        <v>240</v>
      </c>
      <c r="E56" s="77">
        <f>AIT[[#This Row],[Sold Qty]]*AIT[[#This Row],[AIT/Unit]]</f>
        <v>3921.5836800000002</v>
      </c>
    </row>
    <row r="57" spans="1:5" hidden="1" x14ac:dyDescent="0.5">
      <c r="A57" s="13" t="s">
        <v>136</v>
      </c>
      <c r="B57" s="2" t="s">
        <v>269</v>
      </c>
      <c r="C57" s="72">
        <v>81.386664999999994</v>
      </c>
      <c r="D57" s="85">
        <f>VLOOKUP(AIT[[#This Row],[Part no.]],Current_Stock[],16,0)</f>
        <v>88</v>
      </c>
      <c r="E57" s="78">
        <f>AIT[[#This Row],[Sold Qty]]*AIT[[#This Row],[AIT/Unit]]</f>
        <v>7162.0265199999994</v>
      </c>
    </row>
    <row r="58" spans="1:5" hidden="1" x14ac:dyDescent="0.5">
      <c r="A58" s="75" t="s">
        <v>137</v>
      </c>
      <c r="B58" s="70" t="s">
        <v>270</v>
      </c>
      <c r="C58" s="71">
        <v>121.61050500000002</v>
      </c>
      <c r="D58" s="85">
        <f>VLOOKUP(AIT[[#This Row],[Part no.]],Current_Stock[],16,0)</f>
        <v>72</v>
      </c>
      <c r="E58" s="77">
        <f>AIT[[#This Row],[Sold Qty]]*AIT[[#This Row],[AIT/Unit]]</f>
        <v>8755.956360000002</v>
      </c>
    </row>
    <row r="59" spans="1:5" hidden="1" x14ac:dyDescent="0.5">
      <c r="A59" s="13" t="s">
        <v>138</v>
      </c>
      <c r="B59" s="2" t="s">
        <v>271</v>
      </c>
      <c r="C59" s="72">
        <v>161.52105499999999</v>
      </c>
      <c r="D59" s="85">
        <f>VLOOKUP(AIT[[#This Row],[Part no.]],Current_Stock[],16,0)</f>
        <v>144</v>
      </c>
      <c r="E59" s="78">
        <f>AIT[[#This Row],[Sold Qty]]*AIT[[#This Row],[AIT/Unit]]</f>
        <v>23259.031919999998</v>
      </c>
    </row>
    <row r="60" spans="1:5" hidden="1" x14ac:dyDescent="0.5">
      <c r="A60" s="15" t="s">
        <v>345</v>
      </c>
      <c r="B60" s="8" t="s">
        <v>346</v>
      </c>
      <c r="C60" s="71">
        <v>46.39</v>
      </c>
      <c r="D60" s="85">
        <f>VLOOKUP(AIT[[#This Row],[Part no.]],Current_Stock[],16,0)</f>
        <v>0</v>
      </c>
      <c r="E60" s="77">
        <f>AIT[[#This Row],[Sold Qty]]*AIT[[#This Row],[AIT/Unit]]</f>
        <v>0</v>
      </c>
    </row>
    <row r="61" spans="1:5" hidden="1" x14ac:dyDescent="0.5">
      <c r="A61" s="15" t="s">
        <v>349</v>
      </c>
      <c r="B61" s="8" t="s">
        <v>350</v>
      </c>
      <c r="C61" s="72">
        <v>0</v>
      </c>
      <c r="D61" s="85">
        <f>VLOOKUP(AIT[[#This Row],[Part no.]],Current_Stock[],16,0)</f>
        <v>0</v>
      </c>
      <c r="E61" s="78">
        <f>AIT[[#This Row],[Sold Qty]]*AIT[[#This Row],[AIT/Unit]]</f>
        <v>0</v>
      </c>
    </row>
    <row r="62" spans="1:5" hidden="1" x14ac:dyDescent="0.5">
      <c r="A62" s="15" t="s">
        <v>353</v>
      </c>
      <c r="B62" s="8" t="s">
        <v>354</v>
      </c>
      <c r="C62" s="71">
        <v>6.562005000000001</v>
      </c>
      <c r="D62" s="85">
        <f>VLOOKUP(AIT[[#This Row],[Part no.]],Current_Stock[],16,0)</f>
        <v>0</v>
      </c>
      <c r="E62" s="77">
        <f>AIT[[#This Row],[Sold Qty]]*AIT[[#This Row],[AIT/Unit]]</f>
        <v>0</v>
      </c>
    </row>
    <row r="63" spans="1:5" hidden="1" x14ac:dyDescent="0.5">
      <c r="A63" s="15" t="s">
        <v>357</v>
      </c>
      <c r="B63" s="8" t="s">
        <v>358</v>
      </c>
      <c r="C63" s="72">
        <v>0</v>
      </c>
      <c r="D63" s="85">
        <f>VLOOKUP(AIT[[#This Row],[Part no.]],Current_Stock[],16,0)</f>
        <v>0</v>
      </c>
      <c r="E63" s="78">
        <f>AIT[[#This Row],[Sold Qty]]*AIT[[#This Row],[AIT/Unit]]</f>
        <v>0</v>
      </c>
    </row>
    <row r="64" spans="1:5" hidden="1" x14ac:dyDescent="0.5">
      <c r="A64" s="15" t="s">
        <v>361</v>
      </c>
      <c r="B64" s="8" t="s">
        <v>362</v>
      </c>
      <c r="C64" s="71">
        <v>52.141948453608251</v>
      </c>
      <c r="D64" s="85">
        <f>VLOOKUP(AIT[[#This Row],[Part no.]],Current_Stock[],16,0)</f>
        <v>0</v>
      </c>
      <c r="E64" s="77">
        <f>AIT[[#This Row],[Sold Qty]]*AIT[[#This Row],[AIT/Unit]]</f>
        <v>0</v>
      </c>
    </row>
    <row r="65" spans="1:5" hidden="1" x14ac:dyDescent="0.5">
      <c r="A65" s="15" t="s">
        <v>363</v>
      </c>
      <c r="B65" s="8" t="s">
        <v>364</v>
      </c>
      <c r="C65" s="72">
        <v>48.736986842105267</v>
      </c>
      <c r="D65" s="85">
        <f>VLOOKUP(AIT[[#This Row],[Part no.]],Current_Stock[],16,0)</f>
        <v>0</v>
      </c>
      <c r="E65" s="78">
        <f>AIT[[#This Row],[Sold Qty]]*AIT[[#This Row],[AIT/Unit]]</f>
        <v>0</v>
      </c>
    </row>
    <row r="66" spans="1:5" hidden="1" x14ac:dyDescent="0.5">
      <c r="A66" s="15" t="s">
        <v>143</v>
      </c>
      <c r="B66" s="8" t="s">
        <v>277</v>
      </c>
      <c r="C66" s="71">
        <v>13.133975375000002</v>
      </c>
      <c r="D66" s="85">
        <f>VLOOKUP(AIT[[#This Row],[Part no.]],Current_Stock[],16,0)</f>
        <v>8</v>
      </c>
      <c r="E66" s="77">
        <f>AIT[[#This Row],[Sold Qty]]*AIT[[#This Row],[AIT/Unit]]</f>
        <v>105.07180300000002</v>
      </c>
    </row>
    <row r="67" spans="1:5" hidden="1" x14ac:dyDescent="0.5">
      <c r="A67" s="15" t="s">
        <v>164</v>
      </c>
      <c r="B67" s="8" t="s">
        <v>278</v>
      </c>
      <c r="C67" s="72">
        <v>18.309535128205127</v>
      </c>
      <c r="D67" s="85">
        <f>VLOOKUP(AIT[[#This Row],[Part no.]],Current_Stock[],16,0)</f>
        <v>0</v>
      </c>
      <c r="E67" s="78">
        <f>AIT[[#This Row],[Sold Qty]]*AIT[[#This Row],[AIT/Unit]]</f>
        <v>0</v>
      </c>
    </row>
    <row r="68" spans="1:5" hidden="1" x14ac:dyDescent="0.5">
      <c r="A68" s="15" t="s">
        <v>154</v>
      </c>
      <c r="B68" s="8" t="s">
        <v>279</v>
      </c>
      <c r="C68" s="71">
        <v>14.808</v>
      </c>
      <c r="D68" s="85">
        <f>VLOOKUP(AIT[[#This Row],[Part no.]],Current_Stock[],16,0)</f>
        <v>0</v>
      </c>
      <c r="E68" s="77">
        <f>AIT[[#This Row],[Sold Qty]]*AIT[[#This Row],[AIT/Unit]]</f>
        <v>0</v>
      </c>
    </row>
    <row r="69" spans="1:5" hidden="1" x14ac:dyDescent="0.5">
      <c r="A69" s="13" t="s">
        <v>369</v>
      </c>
      <c r="B69" s="2" t="s">
        <v>370</v>
      </c>
      <c r="C69" s="72">
        <v>5.6336805555555554</v>
      </c>
      <c r="D69" s="85">
        <f>VLOOKUP(AIT[[#This Row],[Part no.]],Current_Stock[],16,0)</f>
        <v>0</v>
      </c>
      <c r="E69" s="78">
        <f>AIT[[#This Row],[Sold Qty]]*AIT[[#This Row],[AIT/Unit]]</f>
        <v>0</v>
      </c>
    </row>
    <row r="70" spans="1:5" hidden="1" x14ac:dyDescent="0.5">
      <c r="A70" s="76" t="s">
        <v>372</v>
      </c>
      <c r="B70" s="73" t="s">
        <v>373</v>
      </c>
      <c r="C70" s="74">
        <v>18.029908333333331</v>
      </c>
      <c r="D70" s="85">
        <f>VLOOKUP(AIT[[#This Row],[Part no.]],Current_Stock[],16,0)</f>
        <v>0</v>
      </c>
      <c r="E70" s="79">
        <f>AIT[[#This Row],[Sold Qty]]*AIT[[#This Row],[AIT/Unit]]</f>
        <v>0</v>
      </c>
    </row>
    <row r="71" spans="1:5" ht="17" thickBot="1" x14ac:dyDescent="0.55000000000000004">
      <c r="A71" s="135">
        <f>'Stock Report'!$B$1</f>
        <v>45777</v>
      </c>
      <c r="B71" s="506" t="s">
        <v>206</v>
      </c>
      <c r="C71" s="507"/>
      <c r="D71" s="80">
        <f t="shared" ref="D71:E71" si="0">SUM(D2:D70)</f>
        <v>36071</v>
      </c>
      <c r="E71" s="80">
        <f t="shared" si="0"/>
        <v>650213.44484314334</v>
      </c>
    </row>
    <row r="72" spans="1:5" ht="18.5" x14ac:dyDescent="0.5">
      <c r="A72" s="134"/>
    </row>
  </sheetData>
  <mergeCells count="1">
    <mergeCell ref="B71:C71"/>
  </mergeCells>
  <conditionalFormatting sqref="A2:A70">
    <cfRule type="duplicateValues" dxfId="181" priority="1"/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560C3-43EA-4DC8-9F0F-5D74D84CAAAF}">
  <sheetPr codeName="Sheet11"/>
  <dimension ref="A1:P20"/>
  <sheetViews>
    <sheetView workbookViewId="0">
      <selection activeCell="O5" sqref="O5"/>
    </sheetView>
  </sheetViews>
  <sheetFormatPr defaultRowHeight="16.5" x14ac:dyDescent="0.5"/>
  <cols>
    <col min="1" max="1" width="9.54296875" customWidth="1"/>
    <col min="11" max="11" width="9.6328125" customWidth="1"/>
    <col min="16" max="16" width="9.453125" customWidth="1"/>
  </cols>
  <sheetData>
    <row r="1" spans="1:16" ht="17" thickBot="1" x14ac:dyDescent="0.55000000000000004">
      <c r="A1" s="392" t="s">
        <v>904</v>
      </c>
      <c r="B1" s="393"/>
      <c r="C1" s="393"/>
      <c r="D1" s="508"/>
    </row>
    <row r="2" spans="1:16" x14ac:dyDescent="0.5">
      <c r="A2" s="47" t="s">
        <v>902</v>
      </c>
      <c r="B2" s="44" t="s">
        <v>903</v>
      </c>
      <c r="C2" s="45" t="s">
        <v>900</v>
      </c>
      <c r="D2" s="46" t="s">
        <v>901</v>
      </c>
    </row>
    <row r="3" spans="1:16" ht="17" thickBot="1" x14ac:dyDescent="0.55000000000000004">
      <c r="A3" s="52">
        <v>1260</v>
      </c>
      <c r="B3" s="48">
        <v>1.2</v>
      </c>
      <c r="C3" s="49">
        <v>6</v>
      </c>
      <c r="D3" s="53">
        <f>IFERROR(A3-((A3/B3)-C3)*B3,0)</f>
        <v>7.2000000000000455</v>
      </c>
      <c r="K3" s="509" t="s">
        <v>1049</v>
      </c>
      <c r="L3" s="510"/>
      <c r="M3" s="510"/>
    </row>
    <row r="4" spans="1:16" x14ac:dyDescent="0.5">
      <c r="K4" s="50" t="s">
        <v>918</v>
      </c>
      <c r="L4" s="50" t="s">
        <v>900</v>
      </c>
      <c r="M4" s="50" t="s">
        <v>901</v>
      </c>
    </row>
    <row r="5" spans="1:16" x14ac:dyDescent="0.5">
      <c r="K5" s="2">
        <v>100</v>
      </c>
      <c r="L5" s="2">
        <v>7</v>
      </c>
      <c r="M5" s="2">
        <v>8.4</v>
      </c>
    </row>
    <row r="6" spans="1:16" x14ac:dyDescent="0.5">
      <c r="K6" s="2">
        <v>300</v>
      </c>
      <c r="L6" s="2">
        <v>9</v>
      </c>
      <c r="M6" s="2">
        <v>10.8</v>
      </c>
    </row>
    <row r="7" spans="1:16" x14ac:dyDescent="0.5">
      <c r="K7" s="2">
        <v>500</v>
      </c>
      <c r="L7" s="2">
        <v>10</v>
      </c>
      <c r="M7" s="2">
        <v>12</v>
      </c>
    </row>
    <row r="8" spans="1:16" x14ac:dyDescent="0.5">
      <c r="K8" s="2">
        <v>800</v>
      </c>
      <c r="L8" s="2">
        <v>12</v>
      </c>
      <c r="M8" s="2">
        <v>14.4</v>
      </c>
    </row>
    <row r="9" spans="1:16" x14ac:dyDescent="0.5">
      <c r="K9" s="2">
        <v>1000</v>
      </c>
      <c r="L9" s="2">
        <v>15</v>
      </c>
      <c r="M9" s="2">
        <v>18</v>
      </c>
    </row>
    <row r="10" spans="1:16" x14ac:dyDescent="0.5">
      <c r="K10" s="2">
        <v>2000</v>
      </c>
      <c r="L10" s="2">
        <v>17</v>
      </c>
      <c r="M10" s="2">
        <v>20.399999999999999</v>
      </c>
    </row>
    <row r="12" spans="1:16" x14ac:dyDescent="0.5">
      <c r="P12" s="51">
        <v>46439</v>
      </c>
    </row>
    <row r="14" spans="1:16" x14ac:dyDescent="0.5">
      <c r="D14">
        <v>600</v>
      </c>
      <c r="F14" t="str">
        <f>"F-"&amp; D14-469</f>
        <v>F-131</v>
      </c>
    </row>
    <row r="15" spans="1:16" x14ac:dyDescent="0.5">
      <c r="O15">
        <f>143+32</f>
        <v>175</v>
      </c>
    </row>
    <row r="16" spans="1:16" x14ac:dyDescent="0.5">
      <c r="K16">
        <f>1000/75</f>
        <v>13.333333333333334</v>
      </c>
      <c r="M16">
        <f>0.075*14</f>
        <v>1.05</v>
      </c>
    </row>
    <row r="20" spans="5:7" x14ac:dyDescent="0.5">
      <c r="E20">
        <v>137</v>
      </c>
      <c r="F20">
        <v>28182</v>
      </c>
      <c r="G20">
        <f>F20-E20</f>
        <v>28045</v>
      </c>
    </row>
  </sheetData>
  <mergeCells count="2">
    <mergeCell ref="A1:D1"/>
    <mergeCell ref="K3:M3"/>
  </mergeCell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28F3AD-FAFA-4250-9E6B-EE5AFD551A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Sheet1</vt:lpstr>
      <vt:lpstr>Order Data</vt:lpstr>
      <vt:lpstr>Search(test)</vt:lpstr>
      <vt:lpstr>Customized Sales Report</vt:lpstr>
      <vt:lpstr>Stock(yr)</vt:lpstr>
      <vt:lpstr>Transfer-Draft</vt:lpstr>
      <vt:lpstr>S.Order</vt:lpstr>
      <vt:lpstr>Sales Report</vt:lpstr>
      <vt:lpstr>Products</vt:lpstr>
      <vt:lpstr>SP</vt:lpstr>
      <vt:lpstr>MMD</vt:lpstr>
      <vt:lpstr>EBM</vt:lpstr>
      <vt:lpstr>Customized Stock Report</vt:lpstr>
      <vt:lpstr>Stock Report</vt:lpstr>
      <vt:lpstr>Target</vt:lpstr>
      <vt:lpstr>AIT</vt:lpstr>
      <vt:lpstr>Rough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Sourav Saha</dc:creator>
  <cp:lastModifiedBy>Sourav Saha</cp:lastModifiedBy>
  <cp:lastPrinted>2025-03-17T04:31:51Z</cp:lastPrinted>
  <dcterms:created xsi:type="dcterms:W3CDTF">2015-06-05T18:17:20Z</dcterms:created>
  <dcterms:modified xsi:type="dcterms:W3CDTF">2025-04-30T11:25:17Z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TEDDL1">
    <vt:lpwstr>'S.Order'!$Q$1-AC,'S.Order'!$Y$2-AC,'Search(test)'!$F$1-AC</vt:lpwstr>
  </property>
</Properties>
</file>